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AlgorithmName="SHA-512" workbookHashValue="sDUczpIPnr/q9+vY8PG/McKdN/dwsZY0axZBs4YDhrOC+MYf7kMGR6aGbzv+bai8zVYpwhYOTBHSEr50RKJssg==" workbookSaltValue="CkIN9vndXtwi4fTbBVdeIA==" workbookSpinCount="100000" lockStructure="1"/>
  <bookViews>
    <workbookView xWindow="0" yWindow="0" windowWidth="23256" windowHeight="13020" tabRatio="946" activeTab="5"/>
  </bookViews>
  <sheets>
    <sheet name="Circuit Criminal" sheetId="2" r:id="rId1"/>
    <sheet name="Circ Crim Drug Trfc Cases" sheetId="18" r:id="rId2"/>
    <sheet name="County Criminal" sheetId="3" r:id="rId3"/>
    <sheet name="Juvenile Delinquency" sheetId="4" r:id="rId4"/>
    <sheet name="Criminal Traffic" sheetId="5" r:id="rId5"/>
    <sheet name="Circuit Civil" sheetId="6" r:id="rId6"/>
    <sheet name="County Civil" sheetId="7" r:id="rId7"/>
    <sheet name="Civil Traffic" sheetId="8" r:id="rId8"/>
    <sheet name="Probate" sheetId="9" r:id="rId9"/>
    <sheet name="Family" sheetId="10" r:id="rId10"/>
    <sheet name="Corrective Action Tab" sheetId="13" state="hidden" r:id="rId11"/>
    <sheet name="Lookup" sheetId="11" state="hidden" r:id="rId12"/>
    <sheet name="CATLookup" sheetId="14" state="hidden" r:id="rId13"/>
    <sheet name="Action Plan Summary" sheetId="15" r:id="rId14"/>
  </sheets>
  <definedNames>
    <definedName name="_xlnm._FilterDatabase" localSheetId="1" hidden="1">'Circ Crim Drug Trfc Cases'!#REF!</definedName>
    <definedName name="_xlnm._FilterDatabase" localSheetId="5" hidden="1">'Circuit Civil'!#REF!</definedName>
    <definedName name="_xlnm._FilterDatabase" localSheetId="0" hidden="1">'Circuit Criminal'!#REF!</definedName>
    <definedName name="_xlnm._FilterDatabase" localSheetId="7" hidden="1">'Civil Traffic'!#REF!</definedName>
    <definedName name="_xlnm._FilterDatabase" localSheetId="10" hidden="1">'Corrective Action Tab'!#REF!</definedName>
    <definedName name="_xlnm._FilterDatabase" localSheetId="6" hidden="1">'County Civil'!#REF!</definedName>
    <definedName name="_xlnm._FilterDatabase" localSheetId="2" hidden="1">'County Criminal'!#REF!</definedName>
    <definedName name="_xlnm._FilterDatabase" localSheetId="4" hidden="1">'Criminal Traffic'!#REF!</definedName>
    <definedName name="_xlnm._FilterDatabase" localSheetId="9" hidden="1">Family!#REF!</definedName>
    <definedName name="_xlnm._FilterDatabase" localSheetId="3" hidden="1">'Juvenile Delinquency'!#REF!</definedName>
    <definedName name="_xlnm._FilterDatabase" localSheetId="11" hidden="1">Lookup!$A$2:$AQ$672</definedName>
    <definedName name="_xlnm._FilterDatabase" localSheetId="8" hidden="1">Probate!#REF!</definedName>
    <definedName name="_xlnm.Print_Area" localSheetId="1">'Circ Crim Drug Trfc Cases'!$B$2:$X$47</definedName>
    <definedName name="_xlnm.Print_Area" localSheetId="5">'Circuit Civil'!$B$2:$M$52</definedName>
    <definedName name="_xlnm.Print_Area" localSheetId="0">'Circuit Criminal'!$B$2:$M$49</definedName>
    <definedName name="_xlnm.Print_Area" localSheetId="7">'Civil Traffic'!$B$2:$M$52</definedName>
    <definedName name="_xlnm.Print_Area" localSheetId="6">'County Civil'!$B$2:$M$52</definedName>
    <definedName name="_xlnm.Print_Area" localSheetId="2">'County Criminal'!$B$2:$M$51</definedName>
    <definedName name="_xlnm.Print_Area" localSheetId="4">'Criminal Traffic'!$B$2:$M$52</definedName>
    <definedName name="_xlnm.Print_Area" localSheetId="9">Family!$B$2:$M$52</definedName>
    <definedName name="_xlnm.Print_Area" localSheetId="3">'Juvenile Delinquency'!$B$2:$M$52</definedName>
    <definedName name="_xlnm.Print_Area" localSheetId="8">Probate!$B$2:$M$57</definedName>
    <definedName name="_xlnm.Print_Titles" localSheetId="10">'Corrective Action Tab'!$2:$10</definedName>
  </definedNames>
  <calcPr calcId="145621"/>
</workbook>
</file>

<file path=xl/calcChain.xml><?xml version="1.0" encoding="utf-8"?>
<calcChain xmlns="http://schemas.openxmlformats.org/spreadsheetml/2006/main">
  <c r="M25" i="18" l="1"/>
  <c r="M24" i="18"/>
  <c r="M21" i="18"/>
  <c r="M20" i="18"/>
  <c r="M17" i="18"/>
  <c r="M16" i="18"/>
  <c r="M13" i="18"/>
  <c r="M12" i="18"/>
  <c r="M26" i="18" l="1"/>
  <c r="M18" i="18"/>
  <c r="M22" i="18"/>
  <c r="M14" i="18"/>
  <c r="C5" i="11" l="1"/>
  <c r="C15" i="11"/>
  <c r="C25" i="11"/>
  <c r="C35" i="11"/>
  <c r="C45" i="11"/>
  <c r="C55" i="11"/>
  <c r="C65" i="11"/>
  <c r="C75" i="11"/>
  <c r="C85" i="11"/>
  <c r="C95" i="11"/>
  <c r="C105" i="11"/>
  <c r="C115" i="11"/>
  <c r="C125" i="11"/>
  <c r="C135" i="11"/>
  <c r="C145" i="11"/>
  <c r="C155" i="11"/>
  <c r="C165" i="11"/>
  <c r="C175" i="11"/>
  <c r="C185" i="11"/>
  <c r="C195" i="11"/>
  <c r="C205" i="11"/>
  <c r="C215" i="11"/>
  <c r="C225" i="11"/>
  <c r="C235" i="11"/>
  <c r="C245" i="11"/>
  <c r="C255" i="11"/>
  <c r="C265" i="11"/>
  <c r="C275" i="11"/>
  <c r="C285" i="11"/>
  <c r="C295" i="11"/>
  <c r="C305" i="11"/>
  <c r="C315" i="11"/>
  <c r="C325" i="11"/>
  <c r="C335" i="11"/>
  <c r="C345" i="11"/>
  <c r="C355" i="11"/>
  <c r="C365" i="11"/>
  <c r="C375" i="11"/>
  <c r="C385" i="11"/>
  <c r="C395" i="11"/>
  <c r="C405" i="11"/>
  <c r="C415" i="11"/>
  <c r="C425" i="11"/>
  <c r="C435" i="11"/>
  <c r="C445" i="11"/>
  <c r="C455" i="11"/>
  <c r="C465" i="11"/>
  <c r="C475" i="11"/>
  <c r="C485" i="11"/>
  <c r="C495" i="11"/>
  <c r="C505" i="11"/>
  <c r="C515" i="11"/>
  <c r="C525" i="11"/>
  <c r="C535" i="11"/>
  <c r="C545" i="11"/>
  <c r="C555" i="11"/>
  <c r="C565" i="11"/>
  <c r="C575" i="11"/>
  <c r="C585" i="11"/>
  <c r="C595" i="11"/>
  <c r="C605" i="11"/>
  <c r="C615" i="11"/>
  <c r="C625" i="11"/>
  <c r="C635" i="11"/>
  <c r="C645" i="11"/>
  <c r="C655" i="11"/>
  <c r="C665" i="11"/>
  <c r="C672" i="11" l="1"/>
  <c r="C671" i="11"/>
  <c r="C670" i="11"/>
  <c r="C669" i="11"/>
  <c r="C668" i="11"/>
  <c r="C667" i="11"/>
  <c r="C666" i="11"/>
  <c r="C664" i="11"/>
  <c r="C663" i="11"/>
  <c r="C662" i="11"/>
  <c r="C661" i="11"/>
  <c r="C660" i="11"/>
  <c r="C659" i="11"/>
  <c r="C658" i="11"/>
  <c r="C657" i="11"/>
  <c r="C656" i="11"/>
  <c r="C654" i="11"/>
  <c r="C653" i="11"/>
  <c r="C652" i="11"/>
  <c r="C651" i="11"/>
  <c r="C650" i="11"/>
  <c r="C649" i="11"/>
  <c r="C648" i="11"/>
  <c r="C647" i="11"/>
  <c r="C646" i="11"/>
  <c r="C644" i="11"/>
  <c r="C643" i="11"/>
  <c r="C642" i="11"/>
  <c r="C641" i="11"/>
  <c r="C640" i="11"/>
  <c r="C639" i="11"/>
  <c r="C638" i="11"/>
  <c r="C637" i="11"/>
  <c r="C636" i="11"/>
  <c r="C634" i="11"/>
  <c r="C633" i="11"/>
  <c r="C632" i="11"/>
  <c r="C631" i="11"/>
  <c r="C630" i="11"/>
  <c r="C629" i="11"/>
  <c r="C628" i="11"/>
  <c r="C627" i="11"/>
  <c r="C626" i="11"/>
  <c r="C624" i="11"/>
  <c r="C623" i="11"/>
  <c r="C622" i="11"/>
  <c r="C621" i="11"/>
  <c r="C620" i="11"/>
  <c r="C619" i="11"/>
  <c r="C618" i="11"/>
  <c r="C617" i="11"/>
  <c r="C616" i="11"/>
  <c r="C614" i="11"/>
  <c r="C613" i="11"/>
  <c r="C612" i="11"/>
  <c r="C611" i="11"/>
  <c r="C610" i="11"/>
  <c r="C609" i="11"/>
  <c r="C608" i="11"/>
  <c r="C607" i="11"/>
  <c r="C606" i="11"/>
  <c r="C604" i="11"/>
  <c r="C603" i="11"/>
  <c r="C602" i="11"/>
  <c r="C601" i="11"/>
  <c r="C600" i="11"/>
  <c r="C599" i="11"/>
  <c r="C598" i="11"/>
  <c r="C597" i="11"/>
  <c r="C596" i="11"/>
  <c r="C594" i="11"/>
  <c r="C593" i="11"/>
  <c r="C592" i="11"/>
  <c r="C591" i="11"/>
  <c r="C590" i="11"/>
  <c r="C589" i="11"/>
  <c r="C588" i="11"/>
  <c r="C587" i="11"/>
  <c r="C586" i="11"/>
  <c r="C584" i="11"/>
  <c r="C583" i="11"/>
  <c r="C582" i="11"/>
  <c r="C581" i="11"/>
  <c r="C580" i="11"/>
  <c r="C579" i="11"/>
  <c r="C578" i="11"/>
  <c r="C577" i="11"/>
  <c r="C576" i="11"/>
  <c r="C574" i="11"/>
  <c r="C573" i="11"/>
  <c r="C572" i="11"/>
  <c r="C571" i="11"/>
  <c r="C570" i="11"/>
  <c r="C569" i="11"/>
  <c r="C568" i="11"/>
  <c r="C567" i="11"/>
  <c r="C566" i="11"/>
  <c r="C564" i="11"/>
  <c r="C563" i="11"/>
  <c r="C562" i="11"/>
  <c r="C561" i="11"/>
  <c r="C560" i="11"/>
  <c r="C559" i="11"/>
  <c r="C558" i="11"/>
  <c r="C557" i="11"/>
  <c r="C556" i="11"/>
  <c r="C554" i="11"/>
  <c r="C553" i="11"/>
  <c r="C552" i="11"/>
  <c r="C551" i="11"/>
  <c r="C550" i="11"/>
  <c r="C549" i="11"/>
  <c r="C548" i="11"/>
  <c r="C547" i="11"/>
  <c r="C546" i="11"/>
  <c r="C544" i="11"/>
  <c r="C543" i="11"/>
  <c r="C542" i="11"/>
  <c r="C541" i="11"/>
  <c r="C540" i="11"/>
  <c r="C539" i="11"/>
  <c r="C538" i="11"/>
  <c r="C537" i="11"/>
  <c r="C536" i="11"/>
  <c r="C534" i="11"/>
  <c r="C533" i="11"/>
  <c r="C532" i="11"/>
  <c r="C531" i="11"/>
  <c r="C530" i="11"/>
  <c r="C529" i="11"/>
  <c r="C528" i="11"/>
  <c r="C527" i="11"/>
  <c r="C526" i="11"/>
  <c r="C524" i="11"/>
  <c r="C523" i="11"/>
  <c r="C522" i="11"/>
  <c r="C521" i="11"/>
  <c r="C520" i="11"/>
  <c r="C519" i="11"/>
  <c r="C518" i="11"/>
  <c r="C517" i="11"/>
  <c r="C516" i="11"/>
  <c r="C514" i="11"/>
  <c r="C513" i="11"/>
  <c r="C512" i="11"/>
  <c r="C511" i="11"/>
  <c r="C510" i="11"/>
  <c r="C509" i="11"/>
  <c r="C508" i="11"/>
  <c r="C507" i="11"/>
  <c r="C506" i="11"/>
  <c r="C504" i="11"/>
  <c r="C503" i="11"/>
  <c r="C502" i="11"/>
  <c r="C501" i="11"/>
  <c r="C500" i="11"/>
  <c r="C499" i="11"/>
  <c r="C498" i="11"/>
  <c r="C497" i="11"/>
  <c r="C496" i="11"/>
  <c r="C494" i="11"/>
  <c r="C493" i="11"/>
  <c r="C492" i="11"/>
  <c r="C491" i="11"/>
  <c r="C490" i="11"/>
  <c r="C489" i="11"/>
  <c r="C488" i="11"/>
  <c r="C487" i="11"/>
  <c r="C486" i="11"/>
  <c r="C484" i="11"/>
  <c r="C483" i="11"/>
  <c r="C482" i="11"/>
  <c r="C481" i="11"/>
  <c r="C480" i="11"/>
  <c r="C479" i="11"/>
  <c r="C478" i="11"/>
  <c r="C477" i="11"/>
  <c r="C476" i="11"/>
  <c r="C474" i="11"/>
  <c r="C473" i="11"/>
  <c r="C472" i="11"/>
  <c r="C471" i="11"/>
  <c r="C470" i="11"/>
  <c r="C469" i="11"/>
  <c r="C468" i="11"/>
  <c r="C467" i="11"/>
  <c r="C466" i="11"/>
  <c r="C464" i="11"/>
  <c r="C463" i="11"/>
  <c r="C462" i="11"/>
  <c r="C461" i="11"/>
  <c r="C460" i="11"/>
  <c r="C459" i="11"/>
  <c r="C458" i="11"/>
  <c r="C457" i="11"/>
  <c r="C456" i="11"/>
  <c r="C454" i="11"/>
  <c r="C453" i="11"/>
  <c r="C452" i="11"/>
  <c r="C451" i="11"/>
  <c r="C450" i="11"/>
  <c r="C449" i="11"/>
  <c r="C448" i="11"/>
  <c r="C447" i="11"/>
  <c r="C446" i="11"/>
  <c r="C444" i="11"/>
  <c r="C443" i="11"/>
  <c r="C442" i="11"/>
  <c r="C441" i="11"/>
  <c r="C440" i="11"/>
  <c r="C439" i="11"/>
  <c r="C438" i="11"/>
  <c r="C437" i="11"/>
  <c r="C436" i="11"/>
  <c r="C434" i="11"/>
  <c r="C433" i="11"/>
  <c r="C432" i="11"/>
  <c r="C431" i="11"/>
  <c r="C430" i="11"/>
  <c r="C429" i="11"/>
  <c r="C428" i="11"/>
  <c r="C427" i="11"/>
  <c r="C426" i="11"/>
  <c r="C424" i="11"/>
  <c r="C423" i="11"/>
  <c r="C422" i="11"/>
  <c r="C421" i="11"/>
  <c r="C420" i="11"/>
  <c r="C419" i="11"/>
  <c r="C418" i="11"/>
  <c r="C417" i="11"/>
  <c r="C416" i="11"/>
  <c r="C414" i="11"/>
  <c r="C413" i="11"/>
  <c r="C412" i="11"/>
  <c r="C411" i="11"/>
  <c r="C410" i="11"/>
  <c r="C409" i="11"/>
  <c r="C408" i="11"/>
  <c r="C407" i="11"/>
  <c r="C406" i="11"/>
  <c r="C404" i="11"/>
  <c r="C403" i="11"/>
  <c r="C402" i="11"/>
  <c r="C401" i="11"/>
  <c r="C400" i="11"/>
  <c r="C399" i="11"/>
  <c r="C398" i="11"/>
  <c r="C397" i="11"/>
  <c r="C396" i="11"/>
  <c r="C394" i="11"/>
  <c r="C393" i="11"/>
  <c r="C392" i="11"/>
  <c r="C391" i="11"/>
  <c r="C390" i="11"/>
  <c r="C389" i="11"/>
  <c r="C388" i="11"/>
  <c r="C387" i="11"/>
  <c r="C386" i="11"/>
  <c r="C384" i="11"/>
  <c r="C383" i="11"/>
  <c r="C382" i="11"/>
  <c r="C381" i="11"/>
  <c r="C380" i="11"/>
  <c r="C379" i="11"/>
  <c r="C378" i="11"/>
  <c r="C377" i="11"/>
  <c r="C376" i="11"/>
  <c r="C374" i="11"/>
  <c r="C373" i="11"/>
  <c r="C372" i="11"/>
  <c r="C371" i="11"/>
  <c r="C370" i="11"/>
  <c r="C369" i="11"/>
  <c r="C368" i="11"/>
  <c r="C367" i="11"/>
  <c r="C366" i="11"/>
  <c r="C364" i="11"/>
  <c r="C363" i="11"/>
  <c r="C362" i="11"/>
  <c r="C361" i="11"/>
  <c r="C360" i="11"/>
  <c r="C359" i="11"/>
  <c r="C358" i="11"/>
  <c r="C357" i="11"/>
  <c r="C356" i="11"/>
  <c r="C354" i="11"/>
  <c r="C353" i="11"/>
  <c r="C352" i="11"/>
  <c r="C351" i="11"/>
  <c r="C350" i="11"/>
  <c r="C349" i="11"/>
  <c r="C348" i="11"/>
  <c r="C347" i="11"/>
  <c r="C346" i="11"/>
  <c r="C344" i="11"/>
  <c r="C343" i="11"/>
  <c r="C342" i="11"/>
  <c r="C341" i="11"/>
  <c r="C340" i="11"/>
  <c r="C339" i="11"/>
  <c r="C338" i="11"/>
  <c r="C337" i="11"/>
  <c r="C336" i="11"/>
  <c r="C334" i="11"/>
  <c r="C333" i="11"/>
  <c r="C332" i="11"/>
  <c r="C331" i="11"/>
  <c r="C330" i="11"/>
  <c r="C329" i="11"/>
  <c r="C328" i="11"/>
  <c r="C327" i="11"/>
  <c r="C326" i="11"/>
  <c r="C324" i="11"/>
  <c r="C323" i="11"/>
  <c r="C322" i="11"/>
  <c r="C321" i="11"/>
  <c r="C320" i="11"/>
  <c r="C319" i="11"/>
  <c r="C318" i="11"/>
  <c r="C317" i="11"/>
  <c r="C316" i="11"/>
  <c r="C314" i="11"/>
  <c r="C313" i="11"/>
  <c r="C312" i="11"/>
  <c r="C311" i="11"/>
  <c r="C310" i="11"/>
  <c r="C309" i="11"/>
  <c r="C308" i="11"/>
  <c r="C307" i="11"/>
  <c r="C306" i="11"/>
  <c r="C304" i="11"/>
  <c r="C303" i="11"/>
  <c r="C302" i="11"/>
  <c r="C301" i="11"/>
  <c r="C300" i="11"/>
  <c r="C299" i="11"/>
  <c r="C298" i="11"/>
  <c r="C297" i="11"/>
  <c r="C296" i="11"/>
  <c r="C294" i="11"/>
  <c r="C293" i="11"/>
  <c r="C292" i="11"/>
  <c r="C291" i="11"/>
  <c r="C290" i="11"/>
  <c r="C289" i="11"/>
  <c r="C288" i="11"/>
  <c r="C287" i="11"/>
  <c r="C286" i="11"/>
  <c r="C284" i="11"/>
  <c r="C283" i="11"/>
  <c r="C282" i="11"/>
  <c r="C281" i="11"/>
  <c r="C280" i="11"/>
  <c r="C279" i="11"/>
  <c r="C278" i="11"/>
  <c r="C277" i="11"/>
  <c r="C276" i="11"/>
  <c r="C274" i="11"/>
  <c r="C273" i="11"/>
  <c r="C272" i="11"/>
  <c r="C271" i="11"/>
  <c r="C270" i="11"/>
  <c r="C269" i="11"/>
  <c r="C268" i="11"/>
  <c r="C267" i="11"/>
  <c r="C266" i="11"/>
  <c r="C264" i="11"/>
  <c r="C263" i="11"/>
  <c r="C262" i="11"/>
  <c r="C261" i="11"/>
  <c r="C260" i="11"/>
  <c r="C259" i="11"/>
  <c r="C258" i="11"/>
  <c r="C257" i="11"/>
  <c r="C256" i="11"/>
  <c r="C254" i="11"/>
  <c r="C253" i="11"/>
  <c r="C252" i="11"/>
  <c r="C251" i="11"/>
  <c r="C250" i="11"/>
  <c r="C249" i="11"/>
  <c r="C248" i="11"/>
  <c r="C247" i="11"/>
  <c r="C246" i="11"/>
  <c r="C244" i="11"/>
  <c r="C243" i="11"/>
  <c r="C242" i="11"/>
  <c r="C241" i="11"/>
  <c r="C240" i="11"/>
  <c r="C239" i="11"/>
  <c r="C238" i="11"/>
  <c r="C237" i="11"/>
  <c r="C236" i="11"/>
  <c r="C234" i="11"/>
  <c r="C233" i="11"/>
  <c r="C232" i="11"/>
  <c r="C231" i="11"/>
  <c r="C230" i="11"/>
  <c r="C229" i="11"/>
  <c r="C228" i="11"/>
  <c r="C227" i="11"/>
  <c r="C226" i="11"/>
  <c r="C224" i="11"/>
  <c r="C223" i="11"/>
  <c r="C222" i="11"/>
  <c r="C221" i="11"/>
  <c r="C220" i="11"/>
  <c r="C219" i="11"/>
  <c r="C218" i="11"/>
  <c r="C217" i="11"/>
  <c r="C216" i="11"/>
  <c r="C214" i="11"/>
  <c r="C213" i="11"/>
  <c r="C212" i="11"/>
  <c r="C211" i="11"/>
  <c r="C210" i="11"/>
  <c r="C209" i="11"/>
  <c r="C208" i="11"/>
  <c r="C207" i="11"/>
  <c r="C206" i="11"/>
  <c r="C204" i="11"/>
  <c r="C203" i="11"/>
  <c r="C202" i="11"/>
  <c r="C201" i="11"/>
  <c r="C200" i="11"/>
  <c r="C199" i="11"/>
  <c r="C198" i="11"/>
  <c r="C197" i="11"/>
  <c r="C196" i="11"/>
  <c r="C194" i="11"/>
  <c r="C193" i="11"/>
  <c r="C192" i="11"/>
  <c r="C191" i="11"/>
  <c r="C190" i="11"/>
  <c r="C189" i="11"/>
  <c r="C188" i="11"/>
  <c r="C187" i="11"/>
  <c r="C186" i="11"/>
  <c r="C184" i="11"/>
  <c r="C183" i="11"/>
  <c r="C182" i="11"/>
  <c r="C181" i="11"/>
  <c r="C180" i="11"/>
  <c r="C179" i="11"/>
  <c r="C178" i="11"/>
  <c r="C177" i="11"/>
  <c r="C176" i="11"/>
  <c r="C174" i="11"/>
  <c r="C173" i="11"/>
  <c r="C172" i="11"/>
  <c r="C171" i="11"/>
  <c r="C170" i="11"/>
  <c r="C169" i="11"/>
  <c r="C168" i="11"/>
  <c r="C167" i="11"/>
  <c r="C166" i="11"/>
  <c r="C164" i="11"/>
  <c r="C163" i="11"/>
  <c r="C162" i="11"/>
  <c r="C161" i="11"/>
  <c r="C160" i="11"/>
  <c r="C159" i="11"/>
  <c r="C158" i="11"/>
  <c r="C157" i="11"/>
  <c r="C156" i="11"/>
  <c r="C154" i="11"/>
  <c r="C153" i="11"/>
  <c r="C152" i="11"/>
  <c r="C151" i="11"/>
  <c r="C150" i="11"/>
  <c r="C149" i="11"/>
  <c r="C148" i="11"/>
  <c r="C147" i="11"/>
  <c r="C146" i="11"/>
  <c r="C144" i="11"/>
  <c r="C143" i="11"/>
  <c r="C142" i="11"/>
  <c r="C141" i="11"/>
  <c r="C140" i="11"/>
  <c r="C139" i="11"/>
  <c r="C138" i="11"/>
  <c r="C137" i="11"/>
  <c r="C136" i="11"/>
  <c r="C134" i="11"/>
  <c r="C133" i="11"/>
  <c r="C132" i="11"/>
  <c r="C131" i="11"/>
  <c r="C130" i="11"/>
  <c r="C129" i="11"/>
  <c r="C128" i="11"/>
  <c r="C127" i="11"/>
  <c r="C126" i="11"/>
  <c r="C124" i="11"/>
  <c r="C123" i="11"/>
  <c r="C122" i="11"/>
  <c r="C121" i="11"/>
  <c r="C120" i="11"/>
  <c r="C119" i="11"/>
  <c r="C118" i="11"/>
  <c r="C117" i="11"/>
  <c r="C116" i="11"/>
  <c r="C114" i="11"/>
  <c r="C113" i="11"/>
  <c r="C112" i="11"/>
  <c r="C111" i="11"/>
  <c r="C110" i="11"/>
  <c r="C109" i="11"/>
  <c r="C108" i="11"/>
  <c r="C107" i="11"/>
  <c r="C106" i="11"/>
  <c r="C104" i="11"/>
  <c r="C103" i="11"/>
  <c r="C102" i="11"/>
  <c r="C101" i="11"/>
  <c r="C100" i="11"/>
  <c r="C99" i="11"/>
  <c r="C98" i="11"/>
  <c r="C97" i="11"/>
  <c r="C96" i="11"/>
  <c r="C94" i="11"/>
  <c r="C93" i="11"/>
  <c r="C92" i="11"/>
  <c r="C91" i="11"/>
  <c r="C90" i="11"/>
  <c r="C89" i="11"/>
  <c r="C88" i="11"/>
  <c r="C87" i="11"/>
  <c r="C86" i="11"/>
  <c r="C84" i="11"/>
  <c r="C83" i="11"/>
  <c r="C82" i="11"/>
  <c r="C81" i="11"/>
  <c r="C80" i="11"/>
  <c r="C79" i="11"/>
  <c r="C78" i="11"/>
  <c r="C77" i="11"/>
  <c r="C76" i="11"/>
  <c r="C74" i="11"/>
  <c r="C73" i="11"/>
  <c r="C72" i="11"/>
  <c r="C71" i="11"/>
  <c r="C70" i="11"/>
  <c r="C69" i="11"/>
  <c r="C68" i="11"/>
  <c r="C67" i="11"/>
  <c r="C66" i="11"/>
  <c r="C64" i="11"/>
  <c r="C63" i="11"/>
  <c r="C62" i="11"/>
  <c r="C61" i="11"/>
  <c r="C60" i="11"/>
  <c r="C59" i="11"/>
  <c r="C58" i="11"/>
  <c r="C57" i="11"/>
  <c r="C56" i="11"/>
  <c r="C54" i="11"/>
  <c r="C53" i="11"/>
  <c r="C52" i="11"/>
  <c r="C51" i="11"/>
  <c r="C50" i="11"/>
  <c r="C49" i="11"/>
  <c r="C48" i="11"/>
  <c r="C47" i="11"/>
  <c r="C46" i="11"/>
  <c r="C44" i="11"/>
  <c r="C43" i="11"/>
  <c r="C42" i="11"/>
  <c r="C41" i="11"/>
  <c r="C40" i="11"/>
  <c r="C39" i="11"/>
  <c r="C38" i="11"/>
  <c r="C37" i="11"/>
  <c r="C36" i="11"/>
  <c r="C34" i="11"/>
  <c r="C33" i="11"/>
  <c r="C32" i="11"/>
  <c r="C31" i="11"/>
  <c r="C30" i="11"/>
  <c r="C29" i="11"/>
  <c r="C28" i="11"/>
  <c r="C27" i="11"/>
  <c r="C26" i="11"/>
  <c r="C24" i="11"/>
  <c r="C23" i="11"/>
  <c r="C22" i="11"/>
  <c r="C21" i="11"/>
  <c r="C20" i="11"/>
  <c r="C19" i="11"/>
  <c r="C18" i="11"/>
  <c r="C17" i="11"/>
  <c r="C16" i="11"/>
  <c r="C14" i="11"/>
  <c r="C13" i="11"/>
  <c r="C12" i="11"/>
  <c r="C11" i="11"/>
  <c r="C10" i="11"/>
  <c r="C9" i="11"/>
  <c r="C8" i="11"/>
  <c r="C7" i="11"/>
  <c r="C6" i="11"/>
  <c r="C4" i="11"/>
  <c r="C3" i="11"/>
  <c r="C6" i="15" l="1"/>
  <c r="C5" i="15"/>
  <c r="C4" i="15"/>
  <c r="F80" i="18" l="1"/>
  <c r="E80" i="18" s="1"/>
  <c r="B80" i="18" s="1"/>
  <c r="A80" i="18"/>
  <c r="F79" i="18"/>
  <c r="E79" i="18" s="1"/>
  <c r="B79" i="18" s="1"/>
  <c r="A79" i="18"/>
  <c r="J78" i="18"/>
  <c r="D78" i="18" s="1"/>
  <c r="F78" i="18"/>
  <c r="E78" i="18" s="1"/>
  <c r="B78" i="18" s="1"/>
  <c r="A78" i="18"/>
  <c r="G77" i="18"/>
  <c r="F77" i="18"/>
  <c r="A77" i="18"/>
  <c r="G76" i="18"/>
  <c r="F76" i="18"/>
  <c r="A76" i="18"/>
  <c r="J75" i="18"/>
  <c r="D75" i="18" s="1"/>
  <c r="G75" i="18"/>
  <c r="F75" i="18"/>
  <c r="A75" i="18"/>
  <c r="H74" i="18"/>
  <c r="G74" i="18"/>
  <c r="F74" i="18"/>
  <c r="A74" i="18"/>
  <c r="H73" i="18"/>
  <c r="G73" i="18"/>
  <c r="F73" i="18"/>
  <c r="A73" i="18"/>
  <c r="J72" i="18"/>
  <c r="H72" i="18"/>
  <c r="G72" i="18"/>
  <c r="F72" i="18"/>
  <c r="D72" i="18"/>
  <c r="A72" i="18"/>
  <c r="J71" i="18"/>
  <c r="D71" i="18" s="1"/>
  <c r="F71" i="18"/>
  <c r="E71" i="18"/>
  <c r="B71" i="18" s="1"/>
  <c r="A71" i="18"/>
  <c r="J70" i="18"/>
  <c r="D70" i="18" s="1"/>
  <c r="A70" i="18"/>
  <c r="I69" i="18"/>
  <c r="H69" i="18"/>
  <c r="G69" i="18"/>
  <c r="F69" i="18"/>
  <c r="A69" i="18"/>
  <c r="I68" i="18"/>
  <c r="H68" i="18"/>
  <c r="G68" i="18"/>
  <c r="F68" i="18"/>
  <c r="A68" i="18"/>
  <c r="J67" i="18"/>
  <c r="I67" i="18"/>
  <c r="H67" i="18"/>
  <c r="G67" i="18"/>
  <c r="F67" i="18"/>
  <c r="D67" i="18"/>
  <c r="A67" i="18"/>
  <c r="J66" i="18"/>
  <c r="D66" i="18" s="1"/>
  <c r="G66" i="18"/>
  <c r="F66" i="18"/>
  <c r="A66" i="18"/>
  <c r="J65" i="18"/>
  <c r="D65" i="18" s="1"/>
  <c r="A65" i="18"/>
  <c r="I64" i="18"/>
  <c r="H64" i="18"/>
  <c r="G64" i="18"/>
  <c r="A64" i="18"/>
  <c r="I63" i="18"/>
  <c r="H63" i="18"/>
  <c r="G63" i="18"/>
  <c r="A63" i="18"/>
  <c r="J62" i="18"/>
  <c r="I62" i="18"/>
  <c r="H62" i="18"/>
  <c r="G62" i="18"/>
  <c r="D62" i="18"/>
  <c r="A62" i="18"/>
  <c r="J61" i="18"/>
  <c r="G61" i="18"/>
  <c r="F61" i="18"/>
  <c r="D61" i="18"/>
  <c r="A61" i="18"/>
  <c r="J60" i="18"/>
  <c r="D60" i="18" s="1"/>
  <c r="A60" i="18"/>
  <c r="I59" i="18"/>
  <c r="H59" i="18"/>
  <c r="A59" i="18"/>
  <c r="I58" i="18"/>
  <c r="H58" i="18"/>
  <c r="A58" i="18"/>
  <c r="J57" i="18"/>
  <c r="D57" i="18" s="1"/>
  <c r="I57" i="18"/>
  <c r="H57" i="18"/>
  <c r="A57" i="18"/>
  <c r="J56" i="18"/>
  <c r="D56" i="18" s="1"/>
  <c r="G56" i="18"/>
  <c r="F56" i="18"/>
  <c r="A56" i="18"/>
  <c r="I55" i="18"/>
  <c r="A55" i="18"/>
  <c r="I54" i="18"/>
  <c r="A54" i="18"/>
  <c r="J53" i="18"/>
  <c r="D53" i="18" s="1"/>
  <c r="A53" i="18"/>
  <c r="J52" i="18"/>
  <c r="I52" i="18"/>
  <c r="D52" i="18"/>
  <c r="A52" i="18"/>
  <c r="J51" i="18"/>
  <c r="G51" i="18"/>
  <c r="D51" i="18"/>
  <c r="A51" i="18"/>
  <c r="K43" i="18"/>
  <c r="A40" i="18"/>
  <c r="K39" i="18"/>
  <c r="J39" i="18"/>
  <c r="A36" i="18"/>
  <c r="C79" i="18" s="1"/>
  <c r="R35" i="18"/>
  <c r="R41" i="18" s="1"/>
  <c r="Q35" i="18"/>
  <c r="Q41" i="18" s="1"/>
  <c r="K35" i="18"/>
  <c r="J35" i="18"/>
  <c r="I35" i="18"/>
  <c r="R34" i="18"/>
  <c r="R40" i="18" s="1"/>
  <c r="Q34" i="18"/>
  <c r="Q40" i="18" s="1"/>
  <c r="R33" i="18"/>
  <c r="R39" i="18" s="1"/>
  <c r="Q33" i="18"/>
  <c r="Q39" i="18" s="1"/>
  <c r="R32" i="18"/>
  <c r="R38" i="18" s="1"/>
  <c r="Q32" i="18"/>
  <c r="Q38" i="18" s="1"/>
  <c r="A32" i="18"/>
  <c r="C77" i="18" s="1"/>
  <c r="R31" i="18"/>
  <c r="R37" i="18" s="1"/>
  <c r="Q31" i="18"/>
  <c r="Q37" i="18" s="1"/>
  <c r="K31" i="18"/>
  <c r="J31" i="18"/>
  <c r="I31" i="18"/>
  <c r="H31" i="18"/>
  <c r="R28" i="18"/>
  <c r="P41" i="18" s="1"/>
  <c r="Q28" i="18"/>
  <c r="O41" i="18" s="1"/>
  <c r="A28" i="18"/>
  <c r="C74" i="18" s="1"/>
  <c r="R27" i="18"/>
  <c r="P40" i="18" s="1"/>
  <c r="Q27" i="18"/>
  <c r="O40" i="18" s="1"/>
  <c r="K27" i="18"/>
  <c r="F70" i="18" s="1"/>
  <c r="E70" i="18" s="1"/>
  <c r="B70" i="18" s="1"/>
  <c r="J27" i="18"/>
  <c r="I27" i="18"/>
  <c r="H27" i="18"/>
  <c r="R26" i="18"/>
  <c r="P39" i="18" s="1"/>
  <c r="Q26" i="18"/>
  <c r="O39" i="18" s="1"/>
  <c r="R25" i="18"/>
  <c r="P38" i="18" s="1"/>
  <c r="Q25" i="18"/>
  <c r="O38" i="18" s="1"/>
  <c r="R24" i="18"/>
  <c r="P37" i="18" s="1"/>
  <c r="Q24" i="18"/>
  <c r="O37" i="18" s="1"/>
  <c r="A24" i="18"/>
  <c r="C70" i="18" s="1"/>
  <c r="J23" i="18"/>
  <c r="F65" i="18" s="1"/>
  <c r="E65" i="18" s="1"/>
  <c r="B65" i="18" s="1"/>
  <c r="I23" i="18"/>
  <c r="H23" i="18"/>
  <c r="P20" i="18"/>
  <c r="U19" i="18" s="1"/>
  <c r="A20" i="18"/>
  <c r="C64" i="18" s="1"/>
  <c r="P19" i="18"/>
  <c r="U18" i="18" s="1"/>
  <c r="I19" i="18"/>
  <c r="F60" i="18" s="1"/>
  <c r="E60" i="18" s="1"/>
  <c r="B60" i="18" s="1"/>
  <c r="H19" i="18"/>
  <c r="P18" i="18"/>
  <c r="U17" i="18" s="1"/>
  <c r="A16" i="18"/>
  <c r="C60" i="18" s="1"/>
  <c r="H15" i="18"/>
  <c r="F53" i="18" s="1"/>
  <c r="E53" i="18" s="1"/>
  <c r="B53" i="18" s="1"/>
  <c r="A12" i="18"/>
  <c r="C55" i="18" s="1"/>
  <c r="D6" i="18"/>
  <c r="U12" i="18" s="1"/>
  <c r="D5" i="18"/>
  <c r="D4" i="18"/>
  <c r="D14" i="18" l="1"/>
  <c r="D13" i="18"/>
  <c r="F13" i="18"/>
  <c r="E13" i="18"/>
  <c r="G13" i="18"/>
  <c r="G26" i="18"/>
  <c r="G21" i="18"/>
  <c r="E18" i="18"/>
  <c r="E14" i="18"/>
  <c r="G25" i="18"/>
  <c r="F21" i="18"/>
  <c r="F17" i="18"/>
  <c r="F14" i="18"/>
  <c r="G22" i="18"/>
  <c r="F18" i="18"/>
  <c r="G17" i="18"/>
  <c r="G14" i="18"/>
  <c r="F22" i="18"/>
  <c r="G18" i="18"/>
  <c r="E17" i="18"/>
  <c r="E66" i="18"/>
  <c r="B66" i="18" s="1"/>
  <c r="E61" i="18"/>
  <c r="B61" i="18" s="1"/>
  <c r="E73" i="18"/>
  <c r="B73" i="18" s="1"/>
  <c r="E74" i="18"/>
  <c r="E69" i="18"/>
  <c r="S39" i="18"/>
  <c r="S26" i="18" s="1"/>
  <c r="S40" i="18"/>
  <c r="S27" i="18" s="1"/>
  <c r="C52" i="18"/>
  <c r="C61" i="18"/>
  <c r="C63" i="18"/>
  <c r="C65" i="18"/>
  <c r="C51" i="18"/>
  <c r="C53" i="18"/>
  <c r="C62" i="18"/>
  <c r="E75" i="18"/>
  <c r="B75" i="18" s="1"/>
  <c r="E76" i="18"/>
  <c r="B76" i="18" s="1"/>
  <c r="E56" i="18"/>
  <c r="B56" i="18" s="1"/>
  <c r="E67" i="18"/>
  <c r="B67" i="18" s="1"/>
  <c r="E68" i="18"/>
  <c r="B68" i="18" s="1"/>
  <c r="E72" i="18"/>
  <c r="B72" i="18" s="1"/>
  <c r="E77" i="18"/>
  <c r="B77" i="18" s="1"/>
  <c r="O42" i="18"/>
  <c r="S37" i="18"/>
  <c r="S24" i="18" s="1"/>
  <c r="R42" i="18"/>
  <c r="S41" i="18"/>
  <c r="S28" i="18" s="1"/>
  <c r="P42" i="18"/>
  <c r="Q42" i="18"/>
  <c r="S38" i="18"/>
  <c r="S25" i="18" s="1"/>
  <c r="C71" i="18"/>
  <c r="C73" i="18"/>
  <c r="C75" i="18"/>
  <c r="C76" i="18"/>
  <c r="C78" i="18"/>
  <c r="C80" i="18"/>
  <c r="C54" i="18"/>
  <c r="C56" i="18"/>
  <c r="C57" i="18"/>
  <c r="C58" i="18"/>
  <c r="C59" i="18"/>
  <c r="C66" i="18"/>
  <c r="C67" i="18"/>
  <c r="C68" i="18"/>
  <c r="C69" i="18"/>
  <c r="C72" i="18"/>
  <c r="J22" i="2"/>
  <c r="F66" i="2" s="1"/>
  <c r="E66" i="2" s="1"/>
  <c r="H14" i="2"/>
  <c r="F54" i="2" s="1"/>
  <c r="E54" i="2" s="1"/>
  <c r="E4" i="14" s="1"/>
  <c r="A19" i="10"/>
  <c r="C67" i="10" s="1"/>
  <c r="C132" i="14" s="1"/>
  <c r="A11" i="10"/>
  <c r="C57" i="10" s="1"/>
  <c r="C42" i="14" s="1"/>
  <c r="A15" i="9"/>
  <c r="C68" i="9" s="1"/>
  <c r="C83" i="14" s="1"/>
  <c r="A19" i="9"/>
  <c r="C76" i="9" s="1"/>
  <c r="C131" i="14" s="1"/>
  <c r="A23" i="9"/>
  <c r="A27" i="9"/>
  <c r="C83" i="9" s="1"/>
  <c r="C211" i="14" s="1"/>
  <c r="A31" i="9"/>
  <c r="C87" i="9" s="1"/>
  <c r="A35" i="9"/>
  <c r="A11" i="9"/>
  <c r="C66" i="9" s="1"/>
  <c r="C41" i="14" s="1"/>
  <c r="A23" i="8"/>
  <c r="A27" i="8"/>
  <c r="A35" i="8"/>
  <c r="A11" i="8"/>
  <c r="C61" i="8" s="1"/>
  <c r="C36" i="14" s="1"/>
  <c r="A15" i="7"/>
  <c r="C62" i="7" s="1"/>
  <c r="C72" i="14" s="1"/>
  <c r="A19" i="7"/>
  <c r="C69" i="7" s="1"/>
  <c r="C119" i="14" s="1"/>
  <c r="A23" i="7"/>
  <c r="A27" i="7"/>
  <c r="C77" i="7" s="1"/>
  <c r="C202" i="14" s="1"/>
  <c r="A35" i="7"/>
  <c r="C85" i="7" s="1"/>
  <c r="C261" i="14" s="1"/>
  <c r="A27" i="6"/>
  <c r="A31" i="6"/>
  <c r="C82" i="6" s="1"/>
  <c r="C231" i="14" s="1"/>
  <c r="A35" i="6"/>
  <c r="C85" i="6" s="1"/>
  <c r="C258" i="14" s="1"/>
  <c r="A11" i="6"/>
  <c r="C59" i="6" s="1"/>
  <c r="C24" i="14" s="1"/>
  <c r="A19" i="5"/>
  <c r="C70" i="5" s="1"/>
  <c r="C110" i="14" s="1"/>
  <c r="A27" i="5"/>
  <c r="C77" i="5" s="1"/>
  <c r="C194" i="14" s="1"/>
  <c r="A31" i="5"/>
  <c r="C82" i="5" s="1"/>
  <c r="C228" i="14" s="1"/>
  <c r="A39" i="5"/>
  <c r="A11" i="5"/>
  <c r="C61" i="5" s="1"/>
  <c r="A27" i="4"/>
  <c r="C77" i="4" s="1"/>
  <c r="C190" i="14" s="1"/>
  <c r="A31" i="4"/>
  <c r="C81" i="4" s="1"/>
  <c r="C224" i="14" s="1"/>
  <c r="A35" i="4"/>
  <c r="C85" i="4" s="1"/>
  <c r="C252" i="14" s="1"/>
  <c r="A39" i="4"/>
  <c r="A11" i="4"/>
  <c r="C57" i="4" s="1"/>
  <c r="C12" i="14" s="1"/>
  <c r="A35" i="3"/>
  <c r="A11" i="3"/>
  <c r="C59" i="3" s="1"/>
  <c r="C9" i="14" s="1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0" i="15"/>
  <c r="C11" i="15"/>
  <c r="C12" i="15"/>
  <c r="C9" i="15"/>
  <c r="B12" i="15"/>
  <c r="B11" i="15"/>
  <c r="B10" i="15"/>
  <c r="B9" i="15"/>
  <c r="U11" i="2"/>
  <c r="B41" i="15"/>
  <c r="B43" i="15"/>
  <c r="B44" i="15"/>
  <c r="B37" i="15"/>
  <c r="B39" i="15"/>
  <c r="B40" i="15"/>
  <c r="B33" i="15"/>
  <c r="B34" i="15"/>
  <c r="B35" i="15"/>
  <c r="B36" i="15"/>
  <c r="B29" i="15"/>
  <c r="B30" i="15"/>
  <c r="B31" i="15"/>
  <c r="B32" i="15"/>
  <c r="B25" i="15"/>
  <c r="B26" i="15"/>
  <c r="B27" i="15"/>
  <c r="B28" i="15"/>
  <c r="B21" i="15"/>
  <c r="B22" i="15"/>
  <c r="B23" i="15"/>
  <c r="B24" i="15"/>
  <c r="B17" i="15"/>
  <c r="B18" i="15"/>
  <c r="B19" i="15"/>
  <c r="B20" i="15"/>
  <c r="O10" i="4"/>
  <c r="P10" i="4"/>
  <c r="Q10" i="4"/>
  <c r="R10" i="4"/>
  <c r="S10" i="4"/>
  <c r="T10" i="4"/>
  <c r="U10" i="4"/>
  <c r="V10" i="4"/>
  <c r="J57" i="4" s="1"/>
  <c r="D57" i="4" s="1"/>
  <c r="D12" i="14" s="1"/>
  <c r="B13" i="15"/>
  <c r="B14" i="15"/>
  <c r="B15" i="15"/>
  <c r="B16" i="15"/>
  <c r="A11" i="2"/>
  <c r="C53" i="2" s="1"/>
  <c r="C3" i="14" s="1"/>
  <c r="D5" i="10"/>
  <c r="D5" i="13" s="1"/>
  <c r="D4" i="10"/>
  <c r="D4" i="13" s="1"/>
  <c r="D5" i="9"/>
  <c r="D4" i="9"/>
  <c r="D5" i="8"/>
  <c r="D4" i="8"/>
  <c r="D5" i="7"/>
  <c r="D4" i="7"/>
  <c r="D5" i="6"/>
  <c r="D4" i="6"/>
  <c r="D5" i="5"/>
  <c r="D4" i="5"/>
  <c r="D5" i="4"/>
  <c r="D4" i="4"/>
  <c r="D5" i="3"/>
  <c r="D4" i="3"/>
  <c r="D6" i="5"/>
  <c r="U11" i="5" s="1"/>
  <c r="D6" i="6"/>
  <c r="U11" i="6" s="1"/>
  <c r="D6" i="7"/>
  <c r="U11" i="7" s="1"/>
  <c r="D6" i="8"/>
  <c r="U11" i="8" s="1"/>
  <c r="D6" i="9"/>
  <c r="U11" i="9" s="1"/>
  <c r="D6" i="10"/>
  <c r="U11" i="10" s="1"/>
  <c r="D6" i="4"/>
  <c r="U11" i="4" s="1"/>
  <c r="D6" i="3"/>
  <c r="U11" i="3" s="1"/>
  <c r="I65" i="3"/>
  <c r="I65" i="4"/>
  <c r="I65" i="5"/>
  <c r="I65" i="6"/>
  <c r="I65" i="7"/>
  <c r="I65" i="8"/>
  <c r="I70" i="9"/>
  <c r="I65" i="10"/>
  <c r="I60" i="2"/>
  <c r="I64" i="3"/>
  <c r="I64" i="4"/>
  <c r="I64" i="5"/>
  <c r="I64" i="6"/>
  <c r="I64" i="7"/>
  <c r="I64" i="8"/>
  <c r="I69" i="9"/>
  <c r="I64" i="10"/>
  <c r="I59" i="2"/>
  <c r="I63" i="3"/>
  <c r="I63" i="4"/>
  <c r="I63" i="5"/>
  <c r="I63" i="6"/>
  <c r="I63" i="7"/>
  <c r="I63" i="8"/>
  <c r="I68" i="9"/>
  <c r="I63" i="10"/>
  <c r="I58" i="2"/>
  <c r="G62" i="3"/>
  <c r="G62" i="4"/>
  <c r="G62" i="5"/>
  <c r="G62" i="6"/>
  <c r="G62" i="7"/>
  <c r="G62" i="8"/>
  <c r="G67" i="9"/>
  <c r="G62" i="10"/>
  <c r="G57" i="2"/>
  <c r="F86" i="10"/>
  <c r="E86" i="10" s="1"/>
  <c r="F85" i="10"/>
  <c r="E85" i="10"/>
  <c r="B85" i="10" s="1"/>
  <c r="J84" i="10"/>
  <c r="D84" i="10"/>
  <c r="D269" i="14" s="1"/>
  <c r="F84" i="10"/>
  <c r="E84" i="10" s="1"/>
  <c r="G83" i="10"/>
  <c r="F83" i="10"/>
  <c r="G82" i="10"/>
  <c r="F82" i="10"/>
  <c r="J81" i="10"/>
  <c r="D81" i="10" s="1"/>
  <c r="D242" i="14" s="1"/>
  <c r="G81" i="10"/>
  <c r="F81" i="10"/>
  <c r="H80" i="10"/>
  <c r="G80" i="10"/>
  <c r="F80" i="10"/>
  <c r="E80" i="10" s="1"/>
  <c r="E217" i="14" s="1"/>
  <c r="A217" i="14" s="1"/>
  <c r="H79" i="10"/>
  <c r="G79" i="10"/>
  <c r="F79" i="10"/>
  <c r="J78" i="10"/>
  <c r="D78" i="10" s="1"/>
  <c r="D215" i="14" s="1"/>
  <c r="H78" i="10"/>
  <c r="G78" i="10"/>
  <c r="F78" i="10"/>
  <c r="J77" i="10"/>
  <c r="D77" i="10" s="1"/>
  <c r="D214" i="14" s="1"/>
  <c r="F77" i="10"/>
  <c r="E77" i="10" s="1"/>
  <c r="B77" i="10" s="1"/>
  <c r="J76" i="10"/>
  <c r="D76" i="10" s="1"/>
  <c r="D181" i="14" s="1"/>
  <c r="I75" i="10"/>
  <c r="H75" i="10"/>
  <c r="G75" i="10"/>
  <c r="I74" i="10"/>
  <c r="H74" i="10"/>
  <c r="G74" i="10"/>
  <c r="J73" i="10"/>
  <c r="I73" i="10"/>
  <c r="H73" i="10"/>
  <c r="G73" i="10"/>
  <c r="D73" i="10"/>
  <c r="D178" i="14" s="1"/>
  <c r="J72" i="10"/>
  <c r="D72" i="10" s="1"/>
  <c r="D177" i="14" s="1"/>
  <c r="G72" i="10"/>
  <c r="F72" i="10"/>
  <c r="J71" i="10"/>
  <c r="D71" i="10" s="1"/>
  <c r="D136" i="14" s="1"/>
  <c r="I70" i="10"/>
  <c r="H70" i="10"/>
  <c r="I69" i="10"/>
  <c r="H69" i="10"/>
  <c r="J68" i="10"/>
  <c r="D68" i="10" s="1"/>
  <c r="D133" i="14" s="1"/>
  <c r="I68" i="10"/>
  <c r="H68" i="10"/>
  <c r="J67" i="10"/>
  <c r="D67" i="10" s="1"/>
  <c r="D132" i="14" s="1"/>
  <c r="G67" i="10"/>
  <c r="F67" i="10"/>
  <c r="J66" i="10"/>
  <c r="D66" i="10" s="1"/>
  <c r="D91" i="14" s="1"/>
  <c r="J63" i="10"/>
  <c r="D63" i="10" s="1"/>
  <c r="D88" i="14" s="1"/>
  <c r="J62" i="10"/>
  <c r="D62" i="10" s="1"/>
  <c r="D87" i="14" s="1"/>
  <c r="J59" i="10"/>
  <c r="D59" i="10"/>
  <c r="D44" i="14" s="1"/>
  <c r="J58" i="10"/>
  <c r="D58" i="10" s="1"/>
  <c r="D43" i="14" s="1"/>
  <c r="J57" i="10"/>
  <c r="D57" i="10" s="1"/>
  <c r="D42" i="14" s="1"/>
  <c r="F91" i="9"/>
  <c r="E91" i="9" s="1"/>
  <c r="B91" i="9" s="1"/>
  <c r="F90" i="9"/>
  <c r="E90" i="9" s="1"/>
  <c r="E267" i="14" s="1"/>
  <c r="A267" i="14" s="1"/>
  <c r="J89" i="9"/>
  <c r="D89" i="9" s="1"/>
  <c r="D266" i="14" s="1"/>
  <c r="F89" i="9"/>
  <c r="E89" i="9" s="1"/>
  <c r="G88" i="9"/>
  <c r="F88" i="9"/>
  <c r="G87" i="9"/>
  <c r="F87" i="9"/>
  <c r="J86" i="9"/>
  <c r="D86" i="9" s="1"/>
  <c r="D239" i="14" s="1"/>
  <c r="G86" i="9"/>
  <c r="F86" i="9"/>
  <c r="H85" i="9"/>
  <c r="G85" i="9"/>
  <c r="F85" i="9"/>
  <c r="H84" i="9"/>
  <c r="G84" i="9"/>
  <c r="F84" i="9"/>
  <c r="J83" i="9"/>
  <c r="H83" i="9"/>
  <c r="G83" i="9"/>
  <c r="F83" i="9"/>
  <c r="D83" i="9"/>
  <c r="D211" i="14" s="1"/>
  <c r="J82" i="9"/>
  <c r="D82" i="9" s="1"/>
  <c r="D210" i="14" s="1"/>
  <c r="F82" i="9"/>
  <c r="E82" i="9" s="1"/>
  <c r="B82" i="9" s="1"/>
  <c r="J81" i="9"/>
  <c r="D81" i="9" s="1"/>
  <c r="D176" i="14" s="1"/>
  <c r="I80" i="9"/>
  <c r="H80" i="9"/>
  <c r="G80" i="9"/>
  <c r="I79" i="9"/>
  <c r="H79" i="9"/>
  <c r="G79" i="9"/>
  <c r="J78" i="9"/>
  <c r="I78" i="9"/>
  <c r="H78" i="9"/>
  <c r="G78" i="9"/>
  <c r="D78" i="9"/>
  <c r="D173" i="14" s="1"/>
  <c r="J77" i="9"/>
  <c r="D77" i="9" s="1"/>
  <c r="D172" i="14" s="1"/>
  <c r="G77" i="9"/>
  <c r="F77" i="9"/>
  <c r="J76" i="9"/>
  <c r="D76" i="9" s="1"/>
  <c r="D131" i="14" s="1"/>
  <c r="I75" i="9"/>
  <c r="H75" i="9"/>
  <c r="I74" i="9"/>
  <c r="H74" i="9"/>
  <c r="J73" i="9"/>
  <c r="D73" i="9" s="1"/>
  <c r="D128" i="14" s="1"/>
  <c r="I73" i="9"/>
  <c r="H73" i="9"/>
  <c r="J72" i="9"/>
  <c r="D72" i="9" s="1"/>
  <c r="D127" i="14" s="1"/>
  <c r="G72" i="9"/>
  <c r="F72" i="9"/>
  <c r="J71" i="9"/>
  <c r="D71" i="9" s="1"/>
  <c r="D86" i="14" s="1"/>
  <c r="J68" i="9"/>
  <c r="D68" i="9" s="1"/>
  <c r="D83" i="14" s="1"/>
  <c r="J67" i="9"/>
  <c r="D67" i="9" s="1"/>
  <c r="D82" i="14" s="1"/>
  <c r="J64" i="9"/>
  <c r="D64" i="9" s="1"/>
  <c r="D39" i="14" s="1"/>
  <c r="J63" i="9"/>
  <c r="D63" i="9"/>
  <c r="D38" i="14" s="1"/>
  <c r="J62" i="9"/>
  <c r="D62" i="9" s="1"/>
  <c r="D37" i="14" s="1"/>
  <c r="F86" i="8"/>
  <c r="E86" i="8" s="1"/>
  <c r="E265" i="14" s="1"/>
  <c r="A265" i="14" s="1"/>
  <c r="F85" i="8"/>
  <c r="E85" i="8" s="1"/>
  <c r="J84" i="8"/>
  <c r="D84" i="8" s="1"/>
  <c r="D263" i="14" s="1"/>
  <c r="F84" i="8"/>
  <c r="E84" i="8" s="1"/>
  <c r="G83" i="8"/>
  <c r="F83" i="8"/>
  <c r="G82" i="8"/>
  <c r="F82" i="8"/>
  <c r="J81" i="8"/>
  <c r="D81" i="8" s="1"/>
  <c r="D236" i="14" s="1"/>
  <c r="G81" i="8"/>
  <c r="F81" i="8"/>
  <c r="H80" i="8"/>
  <c r="G80" i="8"/>
  <c r="F80" i="8"/>
  <c r="H79" i="8"/>
  <c r="G79" i="8"/>
  <c r="F79" i="8"/>
  <c r="J78" i="8"/>
  <c r="D78" i="8" s="1"/>
  <c r="D207" i="14" s="1"/>
  <c r="H78" i="8"/>
  <c r="G78" i="8"/>
  <c r="F78" i="8"/>
  <c r="J77" i="8"/>
  <c r="D77" i="8" s="1"/>
  <c r="D206" i="14" s="1"/>
  <c r="F77" i="8"/>
  <c r="E77" i="8" s="1"/>
  <c r="B77" i="8" s="1"/>
  <c r="J76" i="8"/>
  <c r="D76" i="8" s="1"/>
  <c r="D171" i="14" s="1"/>
  <c r="I75" i="8"/>
  <c r="H75" i="8"/>
  <c r="G75" i="8"/>
  <c r="I74" i="8"/>
  <c r="H74" i="8"/>
  <c r="G74" i="8"/>
  <c r="J73" i="8"/>
  <c r="I73" i="8"/>
  <c r="H73" i="8"/>
  <c r="G73" i="8"/>
  <c r="D73" i="8"/>
  <c r="D168" i="14" s="1"/>
  <c r="J72" i="8"/>
  <c r="D72" i="8" s="1"/>
  <c r="D167" i="14" s="1"/>
  <c r="G72" i="8"/>
  <c r="F72" i="8"/>
  <c r="J71" i="8"/>
  <c r="D71" i="8" s="1"/>
  <c r="D126" i="14" s="1"/>
  <c r="I70" i="8"/>
  <c r="H70" i="8"/>
  <c r="I69" i="8"/>
  <c r="H69" i="8"/>
  <c r="J68" i="8"/>
  <c r="D68" i="8" s="1"/>
  <c r="D123" i="14" s="1"/>
  <c r="I68" i="8"/>
  <c r="H68" i="8"/>
  <c r="J67" i="8"/>
  <c r="D67" i="8" s="1"/>
  <c r="G67" i="8"/>
  <c r="F67" i="8"/>
  <c r="J66" i="8"/>
  <c r="D66" i="8" s="1"/>
  <c r="D81" i="14" s="1"/>
  <c r="J63" i="8"/>
  <c r="D63" i="8"/>
  <c r="D78" i="14" s="1"/>
  <c r="J62" i="8"/>
  <c r="D62" i="8" s="1"/>
  <c r="D77" i="14" s="1"/>
  <c r="J59" i="8"/>
  <c r="D59" i="8" s="1"/>
  <c r="D34" i="14" s="1"/>
  <c r="J58" i="8"/>
  <c r="D58" i="8" s="1"/>
  <c r="D33" i="14" s="1"/>
  <c r="J57" i="8"/>
  <c r="D57" i="8" s="1"/>
  <c r="D32" i="14" s="1"/>
  <c r="F86" i="7"/>
  <c r="E86" i="7" s="1"/>
  <c r="E262" i="14" s="1"/>
  <c r="A262" i="14" s="1"/>
  <c r="F85" i="7"/>
  <c r="E85" i="7" s="1"/>
  <c r="B85" i="7" s="1"/>
  <c r="J84" i="7"/>
  <c r="D84" i="7" s="1"/>
  <c r="D260" i="14" s="1"/>
  <c r="F84" i="7"/>
  <c r="E84" i="7" s="1"/>
  <c r="G83" i="7"/>
  <c r="F83" i="7"/>
  <c r="G82" i="7"/>
  <c r="F82" i="7"/>
  <c r="J81" i="7"/>
  <c r="D81" i="7" s="1"/>
  <c r="D233" i="14" s="1"/>
  <c r="G81" i="7"/>
  <c r="F81" i="7"/>
  <c r="H80" i="7"/>
  <c r="G80" i="7"/>
  <c r="F80" i="7"/>
  <c r="H79" i="7"/>
  <c r="G79" i="7"/>
  <c r="F79" i="7"/>
  <c r="J78" i="7"/>
  <c r="D78" i="7" s="1"/>
  <c r="D203" i="14" s="1"/>
  <c r="H78" i="7"/>
  <c r="G78" i="7"/>
  <c r="F78" i="7"/>
  <c r="J77" i="7"/>
  <c r="D77" i="7" s="1"/>
  <c r="D202" i="14" s="1"/>
  <c r="F77" i="7"/>
  <c r="E77" i="7" s="1"/>
  <c r="B77" i="7" s="1"/>
  <c r="J76" i="7"/>
  <c r="D76" i="7" s="1"/>
  <c r="D166" i="14" s="1"/>
  <c r="I75" i="7"/>
  <c r="H75" i="7"/>
  <c r="G75" i="7"/>
  <c r="I74" i="7"/>
  <c r="H74" i="7"/>
  <c r="G74" i="7"/>
  <c r="J73" i="7"/>
  <c r="I73" i="7"/>
  <c r="H73" i="7"/>
  <c r="G73" i="7"/>
  <c r="D73" i="7"/>
  <c r="D163" i="14"/>
  <c r="J72" i="7"/>
  <c r="G72" i="7"/>
  <c r="F72" i="7"/>
  <c r="D72" i="7"/>
  <c r="J71" i="7"/>
  <c r="D71" i="7" s="1"/>
  <c r="D121" i="14" s="1"/>
  <c r="I70" i="7"/>
  <c r="H70" i="7"/>
  <c r="I69" i="7"/>
  <c r="H69" i="7"/>
  <c r="J68" i="7"/>
  <c r="D68" i="7" s="1"/>
  <c r="D118" i="14" s="1"/>
  <c r="I68" i="7"/>
  <c r="H68" i="7"/>
  <c r="J67" i="7"/>
  <c r="D67" i="7" s="1"/>
  <c r="D117" i="14" s="1"/>
  <c r="G67" i="7"/>
  <c r="F67" i="7"/>
  <c r="J66" i="7"/>
  <c r="D66" i="7" s="1"/>
  <c r="D76" i="14" s="1"/>
  <c r="J63" i="7"/>
  <c r="D63" i="7" s="1"/>
  <c r="D73" i="14" s="1"/>
  <c r="J62" i="7"/>
  <c r="D62" i="7" s="1"/>
  <c r="D72" i="14" s="1"/>
  <c r="J59" i="7"/>
  <c r="D59" i="7" s="1"/>
  <c r="D29" i="14" s="1"/>
  <c r="J58" i="7"/>
  <c r="D58" i="7" s="1"/>
  <c r="D28" i="14" s="1"/>
  <c r="J57" i="7"/>
  <c r="D57" i="7" s="1"/>
  <c r="D27" i="14" s="1"/>
  <c r="F86" i="6"/>
  <c r="E86" i="6" s="1"/>
  <c r="E259" i="14" s="1"/>
  <c r="A259" i="14" s="1"/>
  <c r="F85" i="6"/>
  <c r="E85" i="6" s="1"/>
  <c r="B85" i="6" s="1"/>
  <c r="J84" i="6"/>
  <c r="D84" i="6" s="1"/>
  <c r="D257" i="14" s="1"/>
  <c r="F84" i="6"/>
  <c r="E84" i="6" s="1"/>
  <c r="E257" i="14" s="1"/>
  <c r="A257" i="14" s="1"/>
  <c r="G83" i="6"/>
  <c r="F83" i="6"/>
  <c r="G82" i="6"/>
  <c r="F82" i="6"/>
  <c r="E82" i="6" s="1"/>
  <c r="J81" i="6"/>
  <c r="G81" i="6"/>
  <c r="E81" i="6" s="1"/>
  <c r="F81" i="6"/>
  <c r="D81" i="6"/>
  <c r="H80" i="6"/>
  <c r="G80" i="6"/>
  <c r="F80" i="6"/>
  <c r="H79" i="6"/>
  <c r="G79" i="6"/>
  <c r="F79" i="6"/>
  <c r="J78" i="6"/>
  <c r="D78" i="6" s="1"/>
  <c r="D199" i="14" s="1"/>
  <c r="H78" i="6"/>
  <c r="G78" i="6"/>
  <c r="F78" i="6"/>
  <c r="J77" i="6"/>
  <c r="D77" i="6"/>
  <c r="D198" i="14" s="1"/>
  <c r="F77" i="6"/>
  <c r="E77" i="6" s="1"/>
  <c r="J76" i="6"/>
  <c r="D76" i="6" s="1"/>
  <c r="D161" i="14" s="1"/>
  <c r="I75" i="6"/>
  <c r="H75" i="6"/>
  <c r="G75" i="6"/>
  <c r="I74" i="6"/>
  <c r="H74" i="6"/>
  <c r="G74" i="6"/>
  <c r="J73" i="6"/>
  <c r="I73" i="6"/>
  <c r="H73" i="6"/>
  <c r="G73" i="6"/>
  <c r="D73" i="6"/>
  <c r="J72" i="6"/>
  <c r="D72" i="6" s="1"/>
  <c r="D157" i="14" s="1"/>
  <c r="G72" i="6"/>
  <c r="F72" i="6"/>
  <c r="E72" i="6" s="1"/>
  <c r="E157" i="14" s="1"/>
  <c r="A157" i="14" s="1"/>
  <c r="J71" i="6"/>
  <c r="D71" i="6" s="1"/>
  <c r="D116" i="14" s="1"/>
  <c r="I70" i="6"/>
  <c r="H70" i="6"/>
  <c r="I69" i="6"/>
  <c r="H69" i="6"/>
  <c r="J68" i="6"/>
  <c r="D68" i="6" s="1"/>
  <c r="D113" i="14" s="1"/>
  <c r="I68" i="6"/>
  <c r="H68" i="6"/>
  <c r="J67" i="6"/>
  <c r="D67" i="6" s="1"/>
  <c r="D112" i="14" s="1"/>
  <c r="G67" i="6"/>
  <c r="F67" i="6"/>
  <c r="J66" i="6"/>
  <c r="D66" i="6" s="1"/>
  <c r="D71" i="14" s="1"/>
  <c r="J63" i="6"/>
  <c r="D63" i="6" s="1"/>
  <c r="D68" i="14" s="1"/>
  <c r="J62" i="6"/>
  <c r="D62" i="6" s="1"/>
  <c r="D67" i="14" s="1"/>
  <c r="J59" i="6"/>
  <c r="D59" i="6"/>
  <c r="D24" i="14" s="1"/>
  <c r="J58" i="6"/>
  <c r="D58" i="6" s="1"/>
  <c r="D23" i="14" s="1"/>
  <c r="J57" i="6"/>
  <c r="D57" i="6" s="1"/>
  <c r="D22" i="14" s="1"/>
  <c r="F86" i="5"/>
  <c r="E86" i="5" s="1"/>
  <c r="E256" i="14" s="1"/>
  <c r="A256" i="14" s="1"/>
  <c r="F85" i="5"/>
  <c r="E85" i="5" s="1"/>
  <c r="B85" i="5" s="1"/>
  <c r="J84" i="5"/>
  <c r="D84" i="5" s="1"/>
  <c r="D254" i="14" s="1"/>
  <c r="F84" i="5"/>
  <c r="E84" i="5" s="1"/>
  <c r="G83" i="5"/>
  <c r="F83" i="5"/>
  <c r="G82" i="5"/>
  <c r="F82" i="5"/>
  <c r="J81" i="5"/>
  <c r="D81" i="5" s="1"/>
  <c r="D227" i="14" s="1"/>
  <c r="G81" i="5"/>
  <c r="F81" i="5"/>
  <c r="H80" i="5"/>
  <c r="G80" i="5"/>
  <c r="F80" i="5"/>
  <c r="E80" i="5" s="1"/>
  <c r="B80" i="5" s="1"/>
  <c r="H79" i="5"/>
  <c r="G79" i="5"/>
  <c r="F79" i="5"/>
  <c r="J78" i="5"/>
  <c r="D78" i="5" s="1"/>
  <c r="D195" i="14" s="1"/>
  <c r="H78" i="5"/>
  <c r="G78" i="5"/>
  <c r="F78" i="5"/>
  <c r="J77" i="5"/>
  <c r="D77" i="5" s="1"/>
  <c r="D194" i="14" s="1"/>
  <c r="F77" i="5"/>
  <c r="E77" i="5" s="1"/>
  <c r="J76" i="5"/>
  <c r="D76" i="5" s="1"/>
  <c r="D156" i="14" s="1"/>
  <c r="I75" i="5"/>
  <c r="H75" i="5"/>
  <c r="G75" i="5"/>
  <c r="I74" i="5"/>
  <c r="H74" i="5"/>
  <c r="G74" i="5"/>
  <c r="J73" i="5"/>
  <c r="I73" i="5"/>
  <c r="H73" i="5"/>
  <c r="G73" i="5"/>
  <c r="D73" i="5"/>
  <c r="D153" i="14" s="1"/>
  <c r="J72" i="5"/>
  <c r="D72" i="5" s="1"/>
  <c r="D152" i="14" s="1"/>
  <c r="G72" i="5"/>
  <c r="F72" i="5"/>
  <c r="J71" i="5"/>
  <c r="D71" i="5" s="1"/>
  <c r="D111" i="14" s="1"/>
  <c r="I70" i="5"/>
  <c r="H70" i="5"/>
  <c r="I69" i="5"/>
  <c r="H69" i="5"/>
  <c r="J68" i="5"/>
  <c r="D68" i="5" s="1"/>
  <c r="D108" i="14" s="1"/>
  <c r="I68" i="5"/>
  <c r="H68" i="5"/>
  <c r="J67" i="5"/>
  <c r="D67" i="5" s="1"/>
  <c r="D107" i="14" s="1"/>
  <c r="G67" i="5"/>
  <c r="F67" i="5"/>
  <c r="J66" i="5"/>
  <c r="D66" i="5" s="1"/>
  <c r="D66" i="14" s="1"/>
  <c r="J63" i="5"/>
  <c r="D63" i="5" s="1"/>
  <c r="D63" i="14" s="1"/>
  <c r="J62" i="5"/>
  <c r="D62" i="5"/>
  <c r="D62" i="14" s="1"/>
  <c r="J59" i="5"/>
  <c r="D59" i="5" s="1"/>
  <c r="D19" i="14" s="1"/>
  <c r="J58" i="5"/>
  <c r="D58" i="5" s="1"/>
  <c r="D18" i="14" s="1"/>
  <c r="J57" i="5"/>
  <c r="D57" i="5" s="1"/>
  <c r="D17" i="14" s="1"/>
  <c r="F86" i="4"/>
  <c r="E86" i="4" s="1"/>
  <c r="E253" i="14" s="1"/>
  <c r="A253" i="14" s="1"/>
  <c r="F85" i="4"/>
  <c r="E85" i="4" s="1"/>
  <c r="E252" i="14" s="1"/>
  <c r="A252" i="14" s="1"/>
  <c r="J84" i="4"/>
  <c r="D84" i="4" s="1"/>
  <c r="D251" i="14" s="1"/>
  <c r="F84" i="4"/>
  <c r="E84" i="4" s="1"/>
  <c r="E251" i="14" s="1"/>
  <c r="A251" i="14" s="1"/>
  <c r="G83" i="4"/>
  <c r="F83" i="4"/>
  <c r="G82" i="4"/>
  <c r="F82" i="4"/>
  <c r="E82" i="4" s="1"/>
  <c r="J81" i="4"/>
  <c r="D81" i="4" s="1"/>
  <c r="D224" i="14" s="1"/>
  <c r="G81" i="4"/>
  <c r="F81" i="4"/>
  <c r="H80" i="4"/>
  <c r="G80" i="4"/>
  <c r="F80" i="4"/>
  <c r="H79" i="4"/>
  <c r="G79" i="4"/>
  <c r="F79" i="4"/>
  <c r="J78" i="4"/>
  <c r="H78" i="4"/>
  <c r="G78" i="4"/>
  <c r="F78" i="4"/>
  <c r="D78" i="4"/>
  <c r="D191" i="14" s="1"/>
  <c r="F77" i="4"/>
  <c r="J76" i="4"/>
  <c r="D76" i="4"/>
  <c r="D151" i="14" s="1"/>
  <c r="I75" i="4"/>
  <c r="H75" i="4"/>
  <c r="G75" i="4"/>
  <c r="I74" i="4"/>
  <c r="H74" i="4"/>
  <c r="G74" i="4"/>
  <c r="J73" i="4"/>
  <c r="I73" i="4"/>
  <c r="H73" i="4"/>
  <c r="G73" i="4"/>
  <c r="D73" i="4"/>
  <c r="D148" i="14" s="1"/>
  <c r="G72" i="4"/>
  <c r="F72" i="4"/>
  <c r="J71" i="4"/>
  <c r="D71" i="4" s="1"/>
  <c r="D106" i="14" s="1"/>
  <c r="I70" i="4"/>
  <c r="H70" i="4"/>
  <c r="I69" i="4"/>
  <c r="H69" i="4"/>
  <c r="J68" i="4"/>
  <c r="D68" i="4" s="1"/>
  <c r="D103" i="14" s="1"/>
  <c r="I68" i="4"/>
  <c r="H68" i="4"/>
  <c r="G67" i="4"/>
  <c r="F67" i="4"/>
  <c r="J66" i="4"/>
  <c r="D66" i="4" s="1"/>
  <c r="D61" i="14" s="1"/>
  <c r="J63" i="4"/>
  <c r="D63" i="4" s="1"/>
  <c r="D58" i="14" s="1"/>
  <c r="J59" i="4"/>
  <c r="D59" i="4" s="1"/>
  <c r="D14" i="14" s="1"/>
  <c r="J58" i="4"/>
  <c r="D58" i="4" s="1"/>
  <c r="D13" i="14" s="1"/>
  <c r="F86" i="3"/>
  <c r="E86" i="3"/>
  <c r="B86" i="3" s="1"/>
  <c r="F85" i="3"/>
  <c r="E85" i="3" s="1"/>
  <c r="B85" i="3" s="1"/>
  <c r="J84" i="3"/>
  <c r="D84" i="3" s="1"/>
  <c r="D248" i="14" s="1"/>
  <c r="F84" i="3"/>
  <c r="E84" i="3"/>
  <c r="G83" i="3"/>
  <c r="F83" i="3"/>
  <c r="E83" i="3" s="1"/>
  <c r="E223" i="14" s="1"/>
  <c r="A223" i="14" s="1"/>
  <c r="G82" i="3"/>
  <c r="F82" i="3"/>
  <c r="J81" i="3"/>
  <c r="D81" i="3"/>
  <c r="D221" i="14" s="1"/>
  <c r="G81" i="3"/>
  <c r="F81" i="3"/>
  <c r="H80" i="3"/>
  <c r="G80" i="3"/>
  <c r="F80" i="3"/>
  <c r="H79" i="3"/>
  <c r="G79" i="3"/>
  <c r="F79" i="3"/>
  <c r="J78" i="3"/>
  <c r="H78" i="3"/>
  <c r="G78" i="3"/>
  <c r="F78" i="3"/>
  <c r="D78" i="3"/>
  <c r="D187" i="14" s="1"/>
  <c r="J77" i="3"/>
  <c r="D77" i="3" s="1"/>
  <c r="D186" i="14" s="1"/>
  <c r="F77" i="3"/>
  <c r="E77" i="3" s="1"/>
  <c r="J76" i="3"/>
  <c r="D76" i="3" s="1"/>
  <c r="D146" i="14" s="1"/>
  <c r="I75" i="3"/>
  <c r="H75" i="3"/>
  <c r="G75" i="3"/>
  <c r="I74" i="3"/>
  <c r="H74" i="3"/>
  <c r="G74" i="3"/>
  <c r="J73" i="3"/>
  <c r="I73" i="3"/>
  <c r="H73" i="3"/>
  <c r="G73" i="3"/>
  <c r="D73" i="3"/>
  <c r="J72" i="3"/>
  <c r="D72" i="3" s="1"/>
  <c r="D142" i="14" s="1"/>
  <c r="G72" i="3"/>
  <c r="F72" i="3"/>
  <c r="J71" i="3"/>
  <c r="D71" i="3" s="1"/>
  <c r="D101" i="14" s="1"/>
  <c r="I70" i="3"/>
  <c r="H70" i="3"/>
  <c r="I69" i="3"/>
  <c r="H69" i="3"/>
  <c r="J68" i="3"/>
  <c r="D68" i="3" s="1"/>
  <c r="D98" i="14" s="1"/>
  <c r="I68" i="3"/>
  <c r="H68" i="3"/>
  <c r="J67" i="3"/>
  <c r="D67" i="3" s="1"/>
  <c r="D97" i="14" s="1"/>
  <c r="G67" i="3"/>
  <c r="F67" i="3"/>
  <c r="J66" i="3"/>
  <c r="D66" i="3" s="1"/>
  <c r="D56" i="14" s="1"/>
  <c r="J63" i="3"/>
  <c r="D63" i="3"/>
  <c r="D53" i="14" s="1"/>
  <c r="J62" i="3"/>
  <c r="D62" i="3" s="1"/>
  <c r="D52" i="14" s="1"/>
  <c r="J59" i="3"/>
  <c r="D59" i="3" s="1"/>
  <c r="D9" i="14" s="1"/>
  <c r="J58" i="3"/>
  <c r="D58" i="3" s="1"/>
  <c r="D8" i="14" s="1"/>
  <c r="J57" i="3"/>
  <c r="D57" i="3" s="1"/>
  <c r="D7" i="14" s="1"/>
  <c r="H75" i="2"/>
  <c r="H74" i="2"/>
  <c r="H73" i="2"/>
  <c r="G78" i="2"/>
  <c r="G77" i="2"/>
  <c r="G76" i="2"/>
  <c r="G75" i="2"/>
  <c r="G74" i="2"/>
  <c r="G73" i="2"/>
  <c r="F81" i="2"/>
  <c r="E81" i="2" s="1"/>
  <c r="B81" i="2" s="1"/>
  <c r="F80" i="2"/>
  <c r="E80" i="2" s="1"/>
  <c r="B80" i="2" s="1"/>
  <c r="F79" i="2"/>
  <c r="E79" i="2" s="1"/>
  <c r="F78" i="2"/>
  <c r="F77" i="2"/>
  <c r="F76" i="2"/>
  <c r="F75" i="2"/>
  <c r="F74" i="2"/>
  <c r="F73" i="2"/>
  <c r="F72" i="2"/>
  <c r="E72" i="2" s="1"/>
  <c r="E182" i="14" s="1"/>
  <c r="A182" i="14" s="1"/>
  <c r="I70" i="2"/>
  <c r="I69" i="2"/>
  <c r="I68" i="2"/>
  <c r="H70" i="2"/>
  <c r="H69" i="2"/>
  <c r="H68" i="2"/>
  <c r="G70" i="2"/>
  <c r="G69" i="2"/>
  <c r="G68" i="2"/>
  <c r="G67" i="2"/>
  <c r="F67" i="2"/>
  <c r="I65" i="2"/>
  <c r="I64" i="2"/>
  <c r="I63" i="2"/>
  <c r="H65" i="2"/>
  <c r="H64" i="2"/>
  <c r="H63" i="2"/>
  <c r="G62" i="2"/>
  <c r="F62" i="2"/>
  <c r="D45" i="14"/>
  <c r="D89" i="14"/>
  <c r="D90" i="14"/>
  <c r="D134" i="14"/>
  <c r="D135" i="14"/>
  <c r="D179" i="14"/>
  <c r="D180" i="14"/>
  <c r="D216" i="14"/>
  <c r="D217" i="14"/>
  <c r="D243" i="14"/>
  <c r="D244" i="14"/>
  <c r="D270" i="14"/>
  <c r="D271" i="14"/>
  <c r="D40" i="14"/>
  <c r="D84" i="14"/>
  <c r="D85" i="14"/>
  <c r="D129" i="14"/>
  <c r="D130" i="14"/>
  <c r="D174" i="14"/>
  <c r="D175" i="14"/>
  <c r="D212" i="14"/>
  <c r="D213" i="14"/>
  <c r="D240" i="14"/>
  <c r="D241" i="14"/>
  <c r="D267" i="14"/>
  <c r="D268" i="14"/>
  <c r="D35" i="14"/>
  <c r="D79" i="14"/>
  <c r="D80" i="14"/>
  <c r="D124" i="14"/>
  <c r="D125" i="14"/>
  <c r="D169" i="14"/>
  <c r="D170" i="14"/>
  <c r="D208" i="14"/>
  <c r="D209" i="14"/>
  <c r="D237" i="14"/>
  <c r="D238" i="14"/>
  <c r="D264" i="14"/>
  <c r="D265" i="14"/>
  <c r="D30" i="14"/>
  <c r="D74" i="14"/>
  <c r="D75" i="14"/>
  <c r="D119" i="14"/>
  <c r="D120" i="14"/>
  <c r="D164" i="14"/>
  <c r="D165" i="14"/>
  <c r="D204" i="14"/>
  <c r="D205" i="14"/>
  <c r="D234" i="14"/>
  <c r="D235" i="14"/>
  <c r="D261" i="14"/>
  <c r="D262" i="14"/>
  <c r="D25" i="14"/>
  <c r="D69" i="14"/>
  <c r="D70" i="14"/>
  <c r="D114" i="14"/>
  <c r="D115" i="14"/>
  <c r="D159" i="14"/>
  <c r="D160" i="14"/>
  <c r="D200" i="14"/>
  <c r="D201" i="14"/>
  <c r="D231" i="14"/>
  <c r="D232" i="14"/>
  <c r="D258" i="14"/>
  <c r="D259" i="14"/>
  <c r="D20" i="14"/>
  <c r="D64" i="14"/>
  <c r="D65" i="14"/>
  <c r="D109" i="14"/>
  <c r="D110" i="14"/>
  <c r="D154" i="14"/>
  <c r="D155" i="14"/>
  <c r="D196" i="14"/>
  <c r="D197" i="14"/>
  <c r="D228" i="14"/>
  <c r="D229" i="14"/>
  <c r="D255" i="14"/>
  <c r="D256" i="14"/>
  <c r="D15" i="14"/>
  <c r="D59" i="14"/>
  <c r="D60" i="14"/>
  <c r="D104" i="14"/>
  <c r="D105" i="14"/>
  <c r="D149" i="14"/>
  <c r="D150" i="14"/>
  <c r="D192" i="14"/>
  <c r="D193" i="14"/>
  <c r="D225" i="14"/>
  <c r="D226" i="14"/>
  <c r="D252" i="14"/>
  <c r="D253" i="14"/>
  <c r="D10" i="14"/>
  <c r="D54" i="14"/>
  <c r="D55" i="14"/>
  <c r="D99" i="14"/>
  <c r="D100" i="14"/>
  <c r="D144" i="14"/>
  <c r="D145" i="14"/>
  <c r="D188" i="14"/>
  <c r="D189" i="14"/>
  <c r="D222" i="14"/>
  <c r="D223" i="14"/>
  <c r="D249" i="14"/>
  <c r="D250" i="14"/>
  <c r="D5" i="14"/>
  <c r="D6" i="14"/>
  <c r="D49" i="14"/>
  <c r="D50" i="14"/>
  <c r="D94" i="14"/>
  <c r="D95" i="14"/>
  <c r="D139" i="14"/>
  <c r="D140" i="14"/>
  <c r="D184" i="14"/>
  <c r="D185" i="14"/>
  <c r="D219" i="14"/>
  <c r="D220" i="14"/>
  <c r="D246" i="14"/>
  <c r="D247" i="14"/>
  <c r="D1" i="14"/>
  <c r="J61" i="2"/>
  <c r="D61" i="2" s="1"/>
  <c r="D51" i="14" s="1"/>
  <c r="J66" i="2"/>
  <c r="D66" i="2" s="1"/>
  <c r="D96" i="14" s="1"/>
  <c r="J71" i="2"/>
  <c r="D71" i="2" s="1"/>
  <c r="D141" i="14" s="1"/>
  <c r="J54" i="2"/>
  <c r="D54" i="2" s="1"/>
  <c r="D4" i="14" s="1"/>
  <c r="D11" i="14"/>
  <c r="D16" i="14"/>
  <c r="D21" i="14"/>
  <c r="D26" i="14"/>
  <c r="D31" i="14"/>
  <c r="D36" i="14"/>
  <c r="D41" i="14"/>
  <c r="D46" i="14"/>
  <c r="J58" i="2"/>
  <c r="D58" i="2" s="1"/>
  <c r="D48" i="14" s="1"/>
  <c r="J63" i="2"/>
  <c r="D63" i="2" s="1"/>
  <c r="D93" i="14" s="1"/>
  <c r="J68" i="2"/>
  <c r="D68" i="2" s="1"/>
  <c r="D138" i="14" s="1"/>
  <c r="J73" i="2"/>
  <c r="D73" i="2" s="1"/>
  <c r="D183" i="14" s="1"/>
  <c r="J76" i="2"/>
  <c r="D76" i="2" s="1"/>
  <c r="D218" i="14" s="1"/>
  <c r="J79" i="2"/>
  <c r="D79" i="2" s="1"/>
  <c r="D245" i="14" s="1"/>
  <c r="D143" i="14"/>
  <c r="D158" i="14"/>
  <c r="D230" i="14"/>
  <c r="J53" i="2"/>
  <c r="D53" i="2" s="1"/>
  <c r="D3" i="14" s="1"/>
  <c r="J57" i="2"/>
  <c r="D57" i="2" s="1"/>
  <c r="D47" i="14" s="1"/>
  <c r="J62" i="2"/>
  <c r="D62" i="2" s="1"/>
  <c r="D92" i="14" s="1"/>
  <c r="J67" i="2"/>
  <c r="D67" i="2" s="1"/>
  <c r="D137" i="14" s="1"/>
  <c r="J72" i="2"/>
  <c r="D72" i="2" s="1"/>
  <c r="D182" i="14" s="1"/>
  <c r="D162" i="14"/>
  <c r="D122" i="14"/>
  <c r="J52" i="2"/>
  <c r="D52" i="2" s="1"/>
  <c r="D2" i="14" s="1"/>
  <c r="D6" i="13"/>
  <c r="A15" i="10"/>
  <c r="C66" i="10" s="1"/>
  <c r="C91" i="14" s="1"/>
  <c r="I18" i="10"/>
  <c r="F66" i="10" s="1"/>
  <c r="E66" i="10" s="1"/>
  <c r="P18" i="10"/>
  <c r="U17" i="10" s="1"/>
  <c r="P19" i="10"/>
  <c r="U18" i="10" s="1"/>
  <c r="I22" i="10"/>
  <c r="J22" i="10"/>
  <c r="F71" i="10" s="1"/>
  <c r="E71" i="10" s="1"/>
  <c r="A23" i="10"/>
  <c r="C73" i="10" s="1"/>
  <c r="C178" i="14" s="1"/>
  <c r="R23" i="10"/>
  <c r="P36" i="10" s="1"/>
  <c r="R24" i="10"/>
  <c r="P37" i="10" s="1"/>
  <c r="R25" i="10"/>
  <c r="P38" i="10" s="1"/>
  <c r="I26" i="10"/>
  <c r="J26" i="10"/>
  <c r="K26" i="10"/>
  <c r="F76" i="10" s="1"/>
  <c r="E76" i="10" s="1"/>
  <c r="R26" i="10"/>
  <c r="P39" i="10" s="1"/>
  <c r="A27" i="10"/>
  <c r="C79" i="10" s="1"/>
  <c r="C216" i="14" s="1"/>
  <c r="R27" i="10"/>
  <c r="P40" i="10" s="1"/>
  <c r="I30" i="10"/>
  <c r="J30" i="10"/>
  <c r="K30" i="10"/>
  <c r="Q30" i="10"/>
  <c r="Q36" i="10" s="1"/>
  <c r="R30" i="10"/>
  <c r="R36" i="10" s="1"/>
  <c r="A31" i="10"/>
  <c r="C81" i="10" s="1"/>
  <c r="C242" i="14" s="1"/>
  <c r="Q31" i="10"/>
  <c r="Q37" i="10" s="1"/>
  <c r="R31" i="10"/>
  <c r="R37" i="10" s="1"/>
  <c r="Q32" i="10"/>
  <c r="Q38" i="10" s="1"/>
  <c r="R32" i="10"/>
  <c r="R38" i="10" s="1"/>
  <c r="Q33" i="10"/>
  <c r="Q39" i="10" s="1"/>
  <c r="R33" i="10"/>
  <c r="R39" i="10" s="1"/>
  <c r="I34" i="10"/>
  <c r="J34" i="10"/>
  <c r="K34" i="10"/>
  <c r="Q34" i="10"/>
  <c r="Q40" i="10" s="1"/>
  <c r="R34" i="10"/>
  <c r="R40" i="10" s="1"/>
  <c r="A35" i="10"/>
  <c r="C86" i="10" s="1"/>
  <c r="C271" i="14" s="1"/>
  <c r="J38" i="10"/>
  <c r="K38" i="10"/>
  <c r="A39" i="10"/>
  <c r="K42" i="10"/>
  <c r="A57" i="10"/>
  <c r="B42" i="14"/>
  <c r="A62" i="10"/>
  <c r="B87" i="14"/>
  <c r="A67" i="10"/>
  <c r="B132" i="14"/>
  <c r="A72" i="10"/>
  <c r="B177" i="14"/>
  <c r="A77" i="10"/>
  <c r="B214" i="14"/>
  <c r="A58" i="10"/>
  <c r="B43" i="14"/>
  <c r="A63" i="10"/>
  <c r="B88" i="14"/>
  <c r="A68" i="10"/>
  <c r="B133" i="14"/>
  <c r="A73" i="10"/>
  <c r="B178" i="14"/>
  <c r="A78" i="10"/>
  <c r="B215" i="14"/>
  <c r="A81" i="10"/>
  <c r="B242" i="14"/>
  <c r="A84" i="10"/>
  <c r="B269" i="14"/>
  <c r="A59" i="10"/>
  <c r="B44" i="14"/>
  <c r="A64" i="10"/>
  <c r="B89" i="14"/>
  <c r="A69" i="10"/>
  <c r="B134" i="14"/>
  <c r="A74" i="10"/>
  <c r="B179" i="14"/>
  <c r="A79" i="10"/>
  <c r="B216" i="14"/>
  <c r="A82" i="10"/>
  <c r="B243" i="14"/>
  <c r="A85" i="10"/>
  <c r="B270" i="14"/>
  <c r="A60" i="10"/>
  <c r="B45" i="14"/>
  <c r="A65" i="10"/>
  <c r="B90" i="14"/>
  <c r="A70" i="10"/>
  <c r="B135" i="14"/>
  <c r="A75" i="10"/>
  <c r="B180" i="14"/>
  <c r="A80" i="10"/>
  <c r="B217" i="14"/>
  <c r="A83" i="10"/>
  <c r="B244" i="14"/>
  <c r="A86" i="10"/>
  <c r="B271" i="14"/>
  <c r="A61" i="10"/>
  <c r="B46" i="14"/>
  <c r="A66" i="10"/>
  <c r="B91" i="14"/>
  <c r="A71" i="10"/>
  <c r="B136" i="14"/>
  <c r="A76" i="10"/>
  <c r="B181" i="14"/>
  <c r="I18" i="9"/>
  <c r="F71" i="9" s="1"/>
  <c r="E71" i="9" s="1"/>
  <c r="P18" i="9"/>
  <c r="U17" i="9" s="1"/>
  <c r="P19" i="9"/>
  <c r="U18" i="9" s="1"/>
  <c r="I22" i="9"/>
  <c r="J22" i="9"/>
  <c r="D39" i="15" s="1"/>
  <c r="R23" i="9"/>
  <c r="P36" i="9" s="1"/>
  <c r="R24" i="9"/>
  <c r="P37" i="9" s="1"/>
  <c r="R25" i="9"/>
  <c r="P38" i="9" s="1"/>
  <c r="I26" i="9"/>
  <c r="J26" i="9"/>
  <c r="K26" i="9"/>
  <c r="F81" i="9" s="1"/>
  <c r="E81" i="9" s="1"/>
  <c r="R26" i="9"/>
  <c r="P39" i="9" s="1"/>
  <c r="R27" i="9"/>
  <c r="P40" i="9" s="1"/>
  <c r="I30" i="9"/>
  <c r="J30" i="9"/>
  <c r="K30" i="9"/>
  <c r="Q30" i="9"/>
  <c r="Q36" i="9" s="1"/>
  <c r="R30" i="9"/>
  <c r="R36" i="9" s="1"/>
  <c r="Q31" i="9"/>
  <c r="Q37" i="9" s="1"/>
  <c r="R31" i="9"/>
  <c r="R37" i="9" s="1"/>
  <c r="Q32" i="9"/>
  <c r="Q38" i="9" s="1"/>
  <c r="R32" i="9"/>
  <c r="R38" i="9" s="1"/>
  <c r="Q33" i="9"/>
  <c r="Q39" i="9" s="1"/>
  <c r="R33" i="9"/>
  <c r="R39" i="9" s="1"/>
  <c r="I34" i="9"/>
  <c r="J34" i="9"/>
  <c r="K34" i="9"/>
  <c r="Q34" i="9"/>
  <c r="Q40" i="9" s="1"/>
  <c r="R34" i="9"/>
  <c r="R40" i="9" s="1"/>
  <c r="J38" i="9"/>
  <c r="K38" i="9"/>
  <c r="A39" i="9"/>
  <c r="K42" i="9"/>
  <c r="A62" i="9"/>
  <c r="B37" i="14" s="1"/>
  <c r="A67" i="9"/>
  <c r="B82" i="14" s="1"/>
  <c r="A72" i="9"/>
  <c r="B127" i="14" s="1"/>
  <c r="A77" i="9"/>
  <c r="B172" i="14" s="1"/>
  <c r="A82" i="9"/>
  <c r="B210" i="14" s="1"/>
  <c r="A63" i="9"/>
  <c r="B38" i="14" s="1"/>
  <c r="A68" i="9"/>
  <c r="B83" i="14" s="1"/>
  <c r="A73" i="9"/>
  <c r="B128" i="14" s="1"/>
  <c r="A78" i="9"/>
  <c r="B173" i="14" s="1"/>
  <c r="A83" i="9"/>
  <c r="B211" i="14" s="1"/>
  <c r="A86" i="9"/>
  <c r="B239" i="14" s="1"/>
  <c r="A89" i="9"/>
  <c r="B266" i="14" s="1"/>
  <c r="A64" i="9"/>
  <c r="B39" i="14" s="1"/>
  <c r="A69" i="9"/>
  <c r="B84" i="14" s="1"/>
  <c r="A74" i="9"/>
  <c r="B129" i="14" s="1"/>
  <c r="A79" i="9"/>
  <c r="B174" i="14" s="1"/>
  <c r="A84" i="9"/>
  <c r="B212" i="14" s="1"/>
  <c r="A87" i="9"/>
  <c r="B240" i="14" s="1"/>
  <c r="A90" i="9"/>
  <c r="B267" i="14" s="1"/>
  <c r="A65" i="9"/>
  <c r="B40" i="14" s="1"/>
  <c r="A70" i="9"/>
  <c r="B85" i="14" s="1"/>
  <c r="A75" i="9"/>
  <c r="B130" i="14" s="1"/>
  <c r="A80" i="9"/>
  <c r="B175" i="14" s="1"/>
  <c r="A85" i="9"/>
  <c r="B213" i="14" s="1"/>
  <c r="A88" i="9"/>
  <c r="B241" i="14" s="1"/>
  <c r="A91" i="9"/>
  <c r="B268" i="14" s="1"/>
  <c r="A66" i="9"/>
  <c r="B41" i="14" s="1"/>
  <c r="A71" i="9"/>
  <c r="B86" i="14" s="1"/>
  <c r="A76" i="9"/>
  <c r="B131" i="14" s="1"/>
  <c r="A81" i="9"/>
  <c r="B176" i="14" s="1"/>
  <c r="A15" i="8"/>
  <c r="C65" i="8" s="1"/>
  <c r="C80" i="14" s="1"/>
  <c r="I18" i="8"/>
  <c r="F66" i="8" s="1"/>
  <c r="E66" i="8" s="1"/>
  <c r="P18" i="8"/>
  <c r="U17" i="8" s="1"/>
  <c r="A19" i="8"/>
  <c r="P19" i="8"/>
  <c r="U18" i="8" s="1"/>
  <c r="I22" i="8"/>
  <c r="J22" i="8"/>
  <c r="F71" i="8" s="1"/>
  <c r="E71" i="8" s="1"/>
  <c r="R23" i="8"/>
  <c r="P36" i="8" s="1"/>
  <c r="R24" i="8"/>
  <c r="P37" i="8" s="1"/>
  <c r="R25" i="8"/>
  <c r="P38" i="8" s="1"/>
  <c r="I26" i="8"/>
  <c r="J26" i="8"/>
  <c r="K26" i="8"/>
  <c r="F76" i="8" s="1"/>
  <c r="E76" i="8" s="1"/>
  <c r="R26" i="8"/>
  <c r="P39" i="8" s="1"/>
  <c r="R27" i="8"/>
  <c r="P40" i="8" s="1"/>
  <c r="I30" i="8"/>
  <c r="J30" i="8"/>
  <c r="K30" i="8"/>
  <c r="Q30" i="8"/>
  <c r="Q36" i="8" s="1"/>
  <c r="R30" i="8"/>
  <c r="R36" i="8" s="1"/>
  <c r="A31" i="8"/>
  <c r="C83" i="8" s="1"/>
  <c r="C238" i="14" s="1"/>
  <c r="Q31" i="8"/>
  <c r="Q37" i="8" s="1"/>
  <c r="R31" i="8"/>
  <c r="R37" i="8" s="1"/>
  <c r="Q32" i="8"/>
  <c r="Q38" i="8" s="1"/>
  <c r="R32" i="8"/>
  <c r="R38" i="8" s="1"/>
  <c r="Q33" i="8"/>
  <c r="Q39" i="8" s="1"/>
  <c r="R33" i="8"/>
  <c r="R39" i="8" s="1"/>
  <c r="I34" i="8"/>
  <c r="J34" i="8"/>
  <c r="K34" i="8"/>
  <c r="Q34" i="8"/>
  <c r="Q40" i="8" s="1"/>
  <c r="R34" i="8"/>
  <c r="R40" i="8" s="1"/>
  <c r="C84" i="8"/>
  <c r="C263" i="14" s="1"/>
  <c r="J38" i="8"/>
  <c r="K38" i="8"/>
  <c r="A39" i="8"/>
  <c r="K42" i="8"/>
  <c r="A57" i="8"/>
  <c r="B32" i="14" s="1"/>
  <c r="A62" i="8"/>
  <c r="B77" i="14" s="1"/>
  <c r="A67" i="8"/>
  <c r="B122" i="14" s="1"/>
  <c r="A72" i="8"/>
  <c r="B167" i="14" s="1"/>
  <c r="A77" i="8"/>
  <c r="B206" i="14" s="1"/>
  <c r="A58" i="8"/>
  <c r="B33" i="14" s="1"/>
  <c r="A63" i="8"/>
  <c r="B78" i="14" s="1"/>
  <c r="A68" i="8"/>
  <c r="B123" i="14" s="1"/>
  <c r="A73" i="8"/>
  <c r="B168" i="14" s="1"/>
  <c r="A78" i="8"/>
  <c r="B207" i="14" s="1"/>
  <c r="A81" i="8"/>
  <c r="B236" i="14" s="1"/>
  <c r="A84" i="8"/>
  <c r="B263" i="14" s="1"/>
  <c r="A59" i="8"/>
  <c r="B34" i="14" s="1"/>
  <c r="A64" i="8"/>
  <c r="B79" i="14" s="1"/>
  <c r="A69" i="8"/>
  <c r="B124" i="14" s="1"/>
  <c r="A74" i="8"/>
  <c r="B169" i="14" s="1"/>
  <c r="A79" i="8"/>
  <c r="B208" i="14" s="1"/>
  <c r="A82" i="8"/>
  <c r="B237" i="14" s="1"/>
  <c r="A85" i="8"/>
  <c r="B264" i="14" s="1"/>
  <c r="A60" i="8"/>
  <c r="B35" i="14" s="1"/>
  <c r="A65" i="8"/>
  <c r="B80" i="14" s="1"/>
  <c r="A70" i="8"/>
  <c r="B125" i="14" s="1"/>
  <c r="A75" i="8"/>
  <c r="B170" i="14" s="1"/>
  <c r="A80" i="8"/>
  <c r="B209" i="14" s="1"/>
  <c r="A83" i="8"/>
  <c r="B238" i="14" s="1"/>
  <c r="A86" i="8"/>
  <c r="B265" i="14" s="1"/>
  <c r="A61" i="8"/>
  <c r="B36" i="14" s="1"/>
  <c r="A66" i="8"/>
  <c r="B81" i="14" s="1"/>
  <c r="A71" i="8"/>
  <c r="B126" i="14" s="1"/>
  <c r="A76" i="8"/>
  <c r="B171" i="14" s="1"/>
  <c r="A11" i="7"/>
  <c r="C61" i="7" s="1"/>
  <c r="C31" i="14" s="1"/>
  <c r="I18" i="7"/>
  <c r="F66" i="7" s="1"/>
  <c r="E66" i="7" s="1"/>
  <c r="P18" i="7"/>
  <c r="U17" i="7" s="1"/>
  <c r="P19" i="7"/>
  <c r="U18" i="7" s="1"/>
  <c r="I22" i="7"/>
  <c r="J22" i="7"/>
  <c r="F71" i="7" s="1"/>
  <c r="E71" i="7" s="1"/>
  <c r="R23" i="7"/>
  <c r="P36" i="7" s="1"/>
  <c r="R24" i="7"/>
  <c r="P37" i="7" s="1"/>
  <c r="R25" i="7"/>
  <c r="P38" i="7" s="1"/>
  <c r="I26" i="7"/>
  <c r="J26" i="7"/>
  <c r="K26" i="7"/>
  <c r="F76" i="7" s="1"/>
  <c r="E76" i="7" s="1"/>
  <c r="R26" i="7"/>
  <c r="P39" i="7" s="1"/>
  <c r="R27" i="7"/>
  <c r="P40" i="7" s="1"/>
  <c r="I30" i="7"/>
  <c r="J30" i="7"/>
  <c r="K30" i="7"/>
  <c r="Q30" i="7"/>
  <c r="Q36" i="7" s="1"/>
  <c r="R30" i="7"/>
  <c r="R36" i="7" s="1"/>
  <c r="A31" i="7"/>
  <c r="C81" i="7" s="1"/>
  <c r="C233" i="14" s="1"/>
  <c r="Q31" i="7"/>
  <c r="Q37" i="7" s="1"/>
  <c r="R31" i="7"/>
  <c r="R37" i="7" s="1"/>
  <c r="Q32" i="7"/>
  <c r="Q38" i="7" s="1"/>
  <c r="R32" i="7"/>
  <c r="R38" i="7" s="1"/>
  <c r="Q33" i="7"/>
  <c r="Q39" i="7" s="1"/>
  <c r="R33" i="7"/>
  <c r="R39" i="7" s="1"/>
  <c r="I34" i="7"/>
  <c r="J34" i="7"/>
  <c r="K34" i="7"/>
  <c r="Q34" i="7"/>
  <c r="Q40" i="7" s="1"/>
  <c r="R34" i="7"/>
  <c r="J38" i="7"/>
  <c r="K38" i="7"/>
  <c r="A39" i="7"/>
  <c r="R40" i="7"/>
  <c r="K42" i="7"/>
  <c r="A57" i="7"/>
  <c r="B27" i="14" s="1"/>
  <c r="A62" i="7"/>
  <c r="B72" i="14" s="1"/>
  <c r="A67" i="7"/>
  <c r="B117" i="14" s="1"/>
  <c r="A72" i="7"/>
  <c r="B162" i="14" s="1"/>
  <c r="A77" i="7"/>
  <c r="B202" i="14" s="1"/>
  <c r="A58" i="7"/>
  <c r="B28" i="14" s="1"/>
  <c r="A63" i="7"/>
  <c r="B73" i="14" s="1"/>
  <c r="A68" i="7"/>
  <c r="B118" i="14" s="1"/>
  <c r="A73" i="7"/>
  <c r="B163" i="14" s="1"/>
  <c r="A78" i="7"/>
  <c r="B203" i="14" s="1"/>
  <c r="A81" i="7"/>
  <c r="B233" i="14" s="1"/>
  <c r="A84" i="7"/>
  <c r="B260" i="14" s="1"/>
  <c r="A59" i="7"/>
  <c r="B29" i="14" s="1"/>
  <c r="A64" i="7"/>
  <c r="B74" i="14" s="1"/>
  <c r="A69" i="7"/>
  <c r="B119" i="14" s="1"/>
  <c r="A74" i="7"/>
  <c r="B164" i="14" s="1"/>
  <c r="A79" i="7"/>
  <c r="B204" i="14" s="1"/>
  <c r="A82" i="7"/>
  <c r="B234" i="14" s="1"/>
  <c r="A85" i="7"/>
  <c r="B261" i="14" s="1"/>
  <c r="A60" i="7"/>
  <c r="B30" i="14" s="1"/>
  <c r="A65" i="7"/>
  <c r="B75" i="14" s="1"/>
  <c r="A70" i="7"/>
  <c r="B120" i="14" s="1"/>
  <c r="A75" i="7"/>
  <c r="B165" i="14" s="1"/>
  <c r="A80" i="7"/>
  <c r="B205" i="14" s="1"/>
  <c r="A83" i="7"/>
  <c r="B235" i="14" s="1"/>
  <c r="A86" i="7"/>
  <c r="B262" i="14" s="1"/>
  <c r="A61" i="7"/>
  <c r="B31" i="14" s="1"/>
  <c r="A66" i="7"/>
  <c r="B76" i="14" s="1"/>
  <c r="A71" i="7"/>
  <c r="B121" i="14" s="1"/>
  <c r="A76" i="7"/>
  <c r="B166" i="14" s="1"/>
  <c r="A15" i="6"/>
  <c r="C66" i="6" s="1"/>
  <c r="C71" i="14" s="1"/>
  <c r="I18" i="6"/>
  <c r="F66" i="6" s="1"/>
  <c r="E66" i="6" s="1"/>
  <c r="P18" i="6"/>
  <c r="U17" i="6" s="1"/>
  <c r="A19" i="6"/>
  <c r="C71" i="6" s="1"/>
  <c r="C116" i="14" s="1"/>
  <c r="P19" i="6"/>
  <c r="U18" i="6" s="1"/>
  <c r="I22" i="6"/>
  <c r="J22" i="6"/>
  <c r="F71" i="6" s="1"/>
  <c r="E71" i="6" s="1"/>
  <c r="E116" i="14" s="1"/>
  <c r="A23" i="6"/>
  <c r="C75" i="6" s="1"/>
  <c r="C160" i="14" s="1"/>
  <c r="R23" i="6"/>
  <c r="P36" i="6" s="1"/>
  <c r="R24" i="6"/>
  <c r="P37" i="6" s="1"/>
  <c r="R25" i="6"/>
  <c r="P38" i="6" s="1"/>
  <c r="I26" i="6"/>
  <c r="J26" i="6"/>
  <c r="K26" i="6"/>
  <c r="F76" i="6" s="1"/>
  <c r="E76" i="6" s="1"/>
  <c r="R26" i="6"/>
  <c r="P39" i="6" s="1"/>
  <c r="R27" i="6"/>
  <c r="P40" i="6" s="1"/>
  <c r="I30" i="6"/>
  <c r="J30" i="6"/>
  <c r="K30" i="6"/>
  <c r="Q30" i="6"/>
  <c r="Q36" i="6" s="1"/>
  <c r="R30" i="6"/>
  <c r="R36" i="6" s="1"/>
  <c r="Q31" i="6"/>
  <c r="Q37" i="6" s="1"/>
  <c r="R31" i="6"/>
  <c r="R37" i="6" s="1"/>
  <c r="Q32" i="6"/>
  <c r="Q38" i="6" s="1"/>
  <c r="R32" i="6"/>
  <c r="R38" i="6" s="1"/>
  <c r="Q33" i="6"/>
  <c r="Q39" i="6" s="1"/>
  <c r="R33" i="6"/>
  <c r="R39" i="6" s="1"/>
  <c r="I34" i="6"/>
  <c r="J34" i="6"/>
  <c r="K34" i="6"/>
  <c r="Q34" i="6"/>
  <c r="Q40" i="6" s="1"/>
  <c r="R34" i="6"/>
  <c r="R40" i="6" s="1"/>
  <c r="J38" i="6"/>
  <c r="K38" i="6"/>
  <c r="A39" i="6"/>
  <c r="K42" i="6"/>
  <c r="A57" i="6"/>
  <c r="B22" i="14" s="1"/>
  <c r="A62" i="6"/>
  <c r="B67" i="14" s="1"/>
  <c r="A67" i="6"/>
  <c r="B112" i="14" s="1"/>
  <c r="A72" i="6"/>
  <c r="B157" i="14" s="1"/>
  <c r="A77" i="6"/>
  <c r="B198" i="14" s="1"/>
  <c r="A58" i="6"/>
  <c r="B23" i="14" s="1"/>
  <c r="A63" i="6"/>
  <c r="B68" i="14" s="1"/>
  <c r="A68" i="6"/>
  <c r="B113" i="14" s="1"/>
  <c r="A73" i="6"/>
  <c r="B158" i="14" s="1"/>
  <c r="A78" i="6"/>
  <c r="B199" i="14" s="1"/>
  <c r="A81" i="6"/>
  <c r="B230" i="14" s="1"/>
  <c r="A84" i="6"/>
  <c r="B257" i="14" s="1"/>
  <c r="A59" i="6"/>
  <c r="B24" i="14" s="1"/>
  <c r="A64" i="6"/>
  <c r="B69" i="14" s="1"/>
  <c r="A69" i="6"/>
  <c r="B114" i="14" s="1"/>
  <c r="A74" i="6"/>
  <c r="B159" i="14" s="1"/>
  <c r="A79" i="6"/>
  <c r="B200" i="14" s="1"/>
  <c r="A82" i="6"/>
  <c r="B231" i="14" s="1"/>
  <c r="A85" i="6"/>
  <c r="B258" i="14" s="1"/>
  <c r="A60" i="6"/>
  <c r="B25" i="14" s="1"/>
  <c r="A65" i="6"/>
  <c r="B70" i="14" s="1"/>
  <c r="A70" i="6"/>
  <c r="B115" i="14" s="1"/>
  <c r="A75" i="6"/>
  <c r="B160" i="14" s="1"/>
  <c r="A80" i="6"/>
  <c r="B201" i="14" s="1"/>
  <c r="A83" i="6"/>
  <c r="B232" i="14" s="1"/>
  <c r="A86" i="6"/>
  <c r="B259" i="14" s="1"/>
  <c r="A61" i="6"/>
  <c r="B26" i="14" s="1"/>
  <c r="A66" i="6"/>
  <c r="B71" i="14" s="1"/>
  <c r="A71" i="6"/>
  <c r="B116" i="14" s="1"/>
  <c r="A76" i="6"/>
  <c r="B161" i="14" s="1"/>
  <c r="A15" i="5"/>
  <c r="C62" i="5" s="1"/>
  <c r="C62" i="14" s="1"/>
  <c r="I18" i="5"/>
  <c r="F66" i="5" s="1"/>
  <c r="E66" i="5" s="1"/>
  <c r="E66" i="14" s="1"/>
  <c r="P18" i="5"/>
  <c r="U17" i="5" s="1"/>
  <c r="P19" i="5"/>
  <c r="U18" i="5" s="1"/>
  <c r="I22" i="5"/>
  <c r="J22" i="5"/>
  <c r="F71" i="5" s="1"/>
  <c r="E71" i="5" s="1"/>
  <c r="A23" i="5"/>
  <c r="C74" i="5" s="1"/>
  <c r="C154" i="14" s="1"/>
  <c r="R23" i="5"/>
  <c r="P36" i="5" s="1"/>
  <c r="R24" i="5"/>
  <c r="P37" i="5" s="1"/>
  <c r="R25" i="5"/>
  <c r="P38" i="5" s="1"/>
  <c r="I26" i="5"/>
  <c r="J26" i="5"/>
  <c r="K26" i="5"/>
  <c r="R26" i="5"/>
  <c r="P39" i="5" s="1"/>
  <c r="R27" i="5"/>
  <c r="P40" i="5" s="1"/>
  <c r="I30" i="5"/>
  <c r="J30" i="5"/>
  <c r="K30" i="5"/>
  <c r="Q30" i="5"/>
  <c r="Q36" i="5" s="1"/>
  <c r="R30" i="5"/>
  <c r="R36" i="5" s="1"/>
  <c r="Q31" i="5"/>
  <c r="Q37" i="5" s="1"/>
  <c r="R31" i="5"/>
  <c r="R37" i="5" s="1"/>
  <c r="Q32" i="5"/>
  <c r="Q38" i="5" s="1"/>
  <c r="R32" i="5"/>
  <c r="R38" i="5" s="1"/>
  <c r="Q33" i="5"/>
  <c r="Q39" i="5" s="1"/>
  <c r="R33" i="5"/>
  <c r="R39" i="5" s="1"/>
  <c r="I34" i="5"/>
  <c r="J34" i="5"/>
  <c r="K34" i="5"/>
  <c r="Q34" i="5"/>
  <c r="Q40" i="5" s="1"/>
  <c r="R34" i="5"/>
  <c r="R40" i="5" s="1"/>
  <c r="A35" i="5"/>
  <c r="C86" i="5" s="1"/>
  <c r="C256" i="14" s="1"/>
  <c r="J38" i="5"/>
  <c r="K38" i="5"/>
  <c r="K42" i="5"/>
  <c r="C49" i="5"/>
  <c r="C50" i="5" s="1"/>
  <c r="A57" i="5"/>
  <c r="B17" i="14" s="1"/>
  <c r="A62" i="5"/>
  <c r="B62" i="14" s="1"/>
  <c r="A67" i="5"/>
  <c r="B107" i="14" s="1"/>
  <c r="A72" i="5"/>
  <c r="B152" i="14" s="1"/>
  <c r="A77" i="5"/>
  <c r="B194" i="14" s="1"/>
  <c r="A58" i="5"/>
  <c r="B18" i="14" s="1"/>
  <c r="A63" i="5"/>
  <c r="B63" i="14" s="1"/>
  <c r="A68" i="5"/>
  <c r="B108" i="14" s="1"/>
  <c r="A73" i="5"/>
  <c r="B153" i="14" s="1"/>
  <c r="A78" i="5"/>
  <c r="B195" i="14" s="1"/>
  <c r="A81" i="5"/>
  <c r="B227" i="14" s="1"/>
  <c r="A84" i="5"/>
  <c r="B254" i="14" s="1"/>
  <c r="A59" i="5"/>
  <c r="B19" i="14" s="1"/>
  <c r="A64" i="5"/>
  <c r="B64" i="14" s="1"/>
  <c r="A69" i="5"/>
  <c r="B109" i="14" s="1"/>
  <c r="A74" i="5"/>
  <c r="B154" i="14" s="1"/>
  <c r="A79" i="5"/>
  <c r="B196" i="14" s="1"/>
  <c r="A82" i="5"/>
  <c r="B228" i="14" s="1"/>
  <c r="A85" i="5"/>
  <c r="B255" i="14" s="1"/>
  <c r="A60" i="5"/>
  <c r="B20" i="14" s="1"/>
  <c r="A65" i="5"/>
  <c r="B65" i="14" s="1"/>
  <c r="A70" i="5"/>
  <c r="B110" i="14" s="1"/>
  <c r="A75" i="5"/>
  <c r="B155" i="14" s="1"/>
  <c r="A80" i="5"/>
  <c r="B197" i="14" s="1"/>
  <c r="A83" i="5"/>
  <c r="B229" i="14" s="1"/>
  <c r="A86" i="5"/>
  <c r="B256" i="14" s="1"/>
  <c r="A61" i="5"/>
  <c r="B21" i="14" s="1"/>
  <c r="A66" i="5"/>
  <c r="B66" i="14" s="1"/>
  <c r="A71" i="5"/>
  <c r="B111" i="14" s="1"/>
  <c r="A76" i="5"/>
  <c r="B156" i="14" s="1"/>
  <c r="A15" i="4"/>
  <c r="C63" i="4" s="1"/>
  <c r="C58" i="14" s="1"/>
  <c r="I18" i="4"/>
  <c r="F66" i="4" s="1"/>
  <c r="E66" i="4" s="1"/>
  <c r="P18" i="4"/>
  <c r="U17" i="4" s="1"/>
  <c r="A19" i="4"/>
  <c r="C69" i="4" s="1"/>
  <c r="C104" i="14" s="1"/>
  <c r="P19" i="4"/>
  <c r="U18" i="4" s="1"/>
  <c r="I22" i="4"/>
  <c r="J22" i="4"/>
  <c r="F71" i="4" s="1"/>
  <c r="E71" i="4" s="1"/>
  <c r="A23" i="4"/>
  <c r="C74" i="4" s="1"/>
  <c r="C149" i="14" s="1"/>
  <c r="R23" i="4"/>
  <c r="P36" i="4" s="1"/>
  <c r="R24" i="4"/>
  <c r="P37" i="4" s="1"/>
  <c r="R25" i="4"/>
  <c r="P38" i="4" s="1"/>
  <c r="I26" i="4"/>
  <c r="J26" i="4"/>
  <c r="K26" i="4"/>
  <c r="F76" i="4" s="1"/>
  <c r="E76" i="4" s="1"/>
  <c r="R26" i="4"/>
  <c r="P39" i="4" s="1"/>
  <c r="R27" i="4"/>
  <c r="P40" i="4" s="1"/>
  <c r="I30" i="4"/>
  <c r="J30" i="4"/>
  <c r="K30" i="4"/>
  <c r="Q30" i="4"/>
  <c r="Q36" i="4" s="1"/>
  <c r="R30" i="4"/>
  <c r="R36" i="4" s="1"/>
  <c r="Q31" i="4"/>
  <c r="Q37" i="4" s="1"/>
  <c r="R31" i="4"/>
  <c r="R37" i="4" s="1"/>
  <c r="Q32" i="4"/>
  <c r="Q38" i="4" s="1"/>
  <c r="R32" i="4"/>
  <c r="R38" i="4" s="1"/>
  <c r="Q33" i="4"/>
  <c r="Q39" i="4" s="1"/>
  <c r="R33" i="4"/>
  <c r="R39" i="4" s="1"/>
  <c r="I34" i="4"/>
  <c r="J34" i="4"/>
  <c r="K34" i="4"/>
  <c r="Q34" i="4"/>
  <c r="Q40" i="4" s="1"/>
  <c r="R34" i="4"/>
  <c r="R40" i="4" s="1"/>
  <c r="J38" i="4"/>
  <c r="K38" i="4"/>
  <c r="K42" i="4"/>
  <c r="A57" i="4"/>
  <c r="B12" i="14" s="1"/>
  <c r="A62" i="4"/>
  <c r="B57" i="14" s="1"/>
  <c r="A67" i="4"/>
  <c r="B102" i="14" s="1"/>
  <c r="A72" i="4"/>
  <c r="B147" i="14" s="1"/>
  <c r="A77" i="4"/>
  <c r="B190" i="14" s="1"/>
  <c r="A58" i="4"/>
  <c r="B13" i="14" s="1"/>
  <c r="A63" i="4"/>
  <c r="B58" i="14" s="1"/>
  <c r="A68" i="4"/>
  <c r="B103" i="14" s="1"/>
  <c r="A73" i="4"/>
  <c r="B148" i="14" s="1"/>
  <c r="A78" i="4"/>
  <c r="B191" i="14" s="1"/>
  <c r="A81" i="4"/>
  <c r="B224" i="14" s="1"/>
  <c r="A84" i="4"/>
  <c r="B251" i="14" s="1"/>
  <c r="A59" i="4"/>
  <c r="B14" i="14" s="1"/>
  <c r="A64" i="4"/>
  <c r="B59" i="14" s="1"/>
  <c r="A69" i="4"/>
  <c r="B104" i="14" s="1"/>
  <c r="A74" i="4"/>
  <c r="B149" i="14" s="1"/>
  <c r="A79" i="4"/>
  <c r="B192" i="14" s="1"/>
  <c r="A82" i="4"/>
  <c r="B225" i="14" s="1"/>
  <c r="A85" i="4"/>
  <c r="B252" i="14" s="1"/>
  <c r="A60" i="4"/>
  <c r="B15" i="14" s="1"/>
  <c r="A65" i="4"/>
  <c r="B60" i="14" s="1"/>
  <c r="A70" i="4"/>
  <c r="B105" i="14" s="1"/>
  <c r="A75" i="4"/>
  <c r="B150" i="14" s="1"/>
  <c r="A80" i="4"/>
  <c r="B193" i="14" s="1"/>
  <c r="A83" i="4"/>
  <c r="B226" i="14" s="1"/>
  <c r="A86" i="4"/>
  <c r="B253" i="14" s="1"/>
  <c r="A61" i="4"/>
  <c r="B16" i="14" s="1"/>
  <c r="A66" i="4"/>
  <c r="B61" i="14" s="1"/>
  <c r="A71" i="4"/>
  <c r="B106" i="14" s="1"/>
  <c r="A76" i="4"/>
  <c r="B151" i="14" s="1"/>
  <c r="A15" i="3"/>
  <c r="C66" i="3" s="1"/>
  <c r="C56" i="14" s="1"/>
  <c r="I18" i="3"/>
  <c r="D14" i="15" s="1"/>
  <c r="P18" i="3"/>
  <c r="U17" i="3" s="1"/>
  <c r="A19" i="3"/>
  <c r="C67" i="3" s="1"/>
  <c r="C97" i="14" s="1"/>
  <c r="P19" i="3"/>
  <c r="U18" i="3" s="1"/>
  <c r="I22" i="3"/>
  <c r="J22" i="3"/>
  <c r="F71" i="3" s="1"/>
  <c r="E71" i="3" s="1"/>
  <c r="A23" i="3"/>
  <c r="C72" i="3" s="1"/>
  <c r="C142" i="14" s="1"/>
  <c r="R23" i="3"/>
  <c r="P36" i="3" s="1"/>
  <c r="R24" i="3"/>
  <c r="P37" i="3" s="1"/>
  <c r="R25" i="3"/>
  <c r="P38" i="3" s="1"/>
  <c r="I26" i="3"/>
  <c r="J26" i="3"/>
  <c r="K26" i="3"/>
  <c r="F76" i="3" s="1"/>
  <c r="E76" i="3" s="1"/>
  <c r="R26" i="3"/>
  <c r="P39" i="3" s="1"/>
  <c r="A27" i="3"/>
  <c r="C77" i="3" s="1"/>
  <c r="C186" i="14" s="1"/>
  <c r="R27" i="3"/>
  <c r="P40" i="3" s="1"/>
  <c r="I30" i="3"/>
  <c r="J30" i="3"/>
  <c r="K30" i="3"/>
  <c r="Q30" i="3"/>
  <c r="Q36" i="3" s="1"/>
  <c r="R30" i="3"/>
  <c r="R36" i="3" s="1"/>
  <c r="A31" i="3"/>
  <c r="Q31" i="3"/>
  <c r="Q37" i="3" s="1"/>
  <c r="R31" i="3"/>
  <c r="R37" i="3" s="1"/>
  <c r="Q32" i="3"/>
  <c r="Q38" i="3" s="1"/>
  <c r="R32" i="3"/>
  <c r="R38" i="3" s="1"/>
  <c r="Q33" i="3"/>
  <c r="Q39" i="3" s="1"/>
  <c r="R33" i="3"/>
  <c r="R39" i="3" s="1"/>
  <c r="I34" i="3"/>
  <c r="J34" i="3"/>
  <c r="K34" i="3"/>
  <c r="Q34" i="3"/>
  <c r="Q40" i="3" s="1"/>
  <c r="R34" i="3"/>
  <c r="R40" i="3" s="1"/>
  <c r="J38" i="3"/>
  <c r="K38" i="3"/>
  <c r="A39" i="3"/>
  <c r="K42" i="3"/>
  <c r="A57" i="3"/>
  <c r="B7" i="14" s="1"/>
  <c r="A62" i="3"/>
  <c r="B52" i="14" s="1"/>
  <c r="A67" i="3"/>
  <c r="B97" i="14" s="1"/>
  <c r="A72" i="3"/>
  <c r="B142" i="14" s="1"/>
  <c r="A77" i="3"/>
  <c r="B186" i="14" s="1"/>
  <c r="A58" i="3"/>
  <c r="B8" i="14" s="1"/>
  <c r="A63" i="3"/>
  <c r="B53" i="14" s="1"/>
  <c r="A68" i="3"/>
  <c r="B98" i="14" s="1"/>
  <c r="A73" i="3"/>
  <c r="B143" i="14" s="1"/>
  <c r="A78" i="3"/>
  <c r="B187" i="14" s="1"/>
  <c r="A81" i="3"/>
  <c r="B221" i="14" s="1"/>
  <c r="A84" i="3"/>
  <c r="B248" i="14" s="1"/>
  <c r="A59" i="3"/>
  <c r="B9" i="14" s="1"/>
  <c r="A64" i="3"/>
  <c r="B54" i="14" s="1"/>
  <c r="A69" i="3"/>
  <c r="B99" i="14" s="1"/>
  <c r="A74" i="3"/>
  <c r="B144" i="14" s="1"/>
  <c r="A79" i="3"/>
  <c r="B188" i="14" s="1"/>
  <c r="A82" i="3"/>
  <c r="B222" i="14" s="1"/>
  <c r="A85" i="3"/>
  <c r="B249" i="14" s="1"/>
  <c r="A60" i="3"/>
  <c r="B10" i="14" s="1"/>
  <c r="A65" i="3"/>
  <c r="B55" i="14" s="1"/>
  <c r="A70" i="3"/>
  <c r="B100" i="14" s="1"/>
  <c r="A75" i="3"/>
  <c r="B145" i="14" s="1"/>
  <c r="A80" i="3"/>
  <c r="B189" i="14" s="1"/>
  <c r="A83" i="3"/>
  <c r="B223" i="14" s="1"/>
  <c r="A86" i="3"/>
  <c r="B250" i="14" s="1"/>
  <c r="A61" i="3"/>
  <c r="B11" i="14" s="1"/>
  <c r="A66" i="3"/>
  <c r="B56" i="14" s="1"/>
  <c r="A71" i="3"/>
  <c r="B101" i="14" s="1"/>
  <c r="A76" i="3"/>
  <c r="B146" i="14" s="1"/>
  <c r="A15" i="2"/>
  <c r="C57" i="2" s="1"/>
  <c r="C47" i="14" s="1"/>
  <c r="I18" i="2"/>
  <c r="P18" i="2"/>
  <c r="U17" i="2" s="1"/>
  <c r="A19" i="2"/>
  <c r="C64" i="2" s="1"/>
  <c r="C94" i="14" s="1"/>
  <c r="P19" i="2"/>
  <c r="U18" i="2" s="1"/>
  <c r="I22" i="2"/>
  <c r="A23" i="2"/>
  <c r="C71" i="2" s="1"/>
  <c r="C141" i="14" s="1"/>
  <c r="R23" i="2"/>
  <c r="P36" i="2" s="1"/>
  <c r="R24" i="2"/>
  <c r="P37" i="2" s="1"/>
  <c r="R25" i="2"/>
  <c r="P38" i="2" s="1"/>
  <c r="I26" i="2"/>
  <c r="J26" i="2"/>
  <c r="K26" i="2"/>
  <c r="F71" i="2" s="1"/>
  <c r="E71" i="2" s="1"/>
  <c r="R26" i="2"/>
  <c r="P39" i="2" s="1"/>
  <c r="A27" i="2"/>
  <c r="C72" i="2" s="1"/>
  <c r="C182" i="14" s="1"/>
  <c r="R27" i="2"/>
  <c r="P40" i="2" s="1"/>
  <c r="I30" i="2"/>
  <c r="J30" i="2"/>
  <c r="K30" i="2"/>
  <c r="Q30" i="2"/>
  <c r="Q36" i="2" s="1"/>
  <c r="R30" i="2"/>
  <c r="R36" i="2" s="1"/>
  <c r="A31" i="2"/>
  <c r="C77" i="2" s="1"/>
  <c r="C219" i="14" s="1"/>
  <c r="Q31" i="2"/>
  <c r="Q37" i="2" s="1"/>
  <c r="R31" i="2"/>
  <c r="R37" i="2" s="1"/>
  <c r="Q32" i="2"/>
  <c r="Q38" i="2" s="1"/>
  <c r="R32" i="2"/>
  <c r="R38" i="2" s="1"/>
  <c r="Q33" i="2"/>
  <c r="Q39" i="2" s="1"/>
  <c r="R33" i="2"/>
  <c r="R39" i="2" s="1"/>
  <c r="I34" i="2"/>
  <c r="J34" i="2"/>
  <c r="K34" i="2"/>
  <c r="Q34" i="2"/>
  <c r="Q40" i="2" s="1"/>
  <c r="R34" i="2"/>
  <c r="R40" i="2" s="1"/>
  <c r="A35" i="2"/>
  <c r="C81" i="2" s="1"/>
  <c r="C247" i="14" s="1"/>
  <c r="J38" i="2"/>
  <c r="K38" i="2"/>
  <c r="A39" i="2"/>
  <c r="K42" i="2"/>
  <c r="A52" i="2"/>
  <c r="B2" i="14" s="1"/>
  <c r="A57" i="2"/>
  <c r="B47" i="14" s="1"/>
  <c r="A62" i="2"/>
  <c r="B92" i="14" s="1"/>
  <c r="A67" i="2"/>
  <c r="B137" i="14" s="1"/>
  <c r="A72" i="2"/>
  <c r="B182" i="14" s="1"/>
  <c r="A53" i="2"/>
  <c r="B3" i="14" s="1"/>
  <c r="A58" i="2"/>
  <c r="B48" i="14" s="1"/>
  <c r="A63" i="2"/>
  <c r="B93" i="14" s="1"/>
  <c r="A68" i="2"/>
  <c r="B138" i="14" s="1"/>
  <c r="A73" i="2"/>
  <c r="B183" i="14" s="1"/>
  <c r="A76" i="2"/>
  <c r="B218" i="14" s="1"/>
  <c r="A79" i="2"/>
  <c r="B245" i="14" s="1"/>
  <c r="A55" i="2"/>
  <c r="B5" i="14" s="1"/>
  <c r="A59" i="2"/>
  <c r="B49" i="14" s="1"/>
  <c r="A64" i="2"/>
  <c r="B94" i="14" s="1"/>
  <c r="A69" i="2"/>
  <c r="B139" i="14" s="1"/>
  <c r="A74" i="2"/>
  <c r="B184" i="14" s="1"/>
  <c r="A77" i="2"/>
  <c r="B219" i="14" s="1"/>
  <c r="A80" i="2"/>
  <c r="B246" i="14" s="1"/>
  <c r="A56" i="2"/>
  <c r="B6" i="14" s="1"/>
  <c r="A60" i="2"/>
  <c r="B50" i="14" s="1"/>
  <c r="A65" i="2"/>
  <c r="B95" i="14" s="1"/>
  <c r="A70" i="2"/>
  <c r="B140" i="14" s="1"/>
  <c r="A75" i="2"/>
  <c r="B185" i="14" s="1"/>
  <c r="A78" i="2"/>
  <c r="B220" i="14" s="1"/>
  <c r="A81" i="2"/>
  <c r="B247" i="14" s="1"/>
  <c r="A54" i="2"/>
  <c r="B4" i="14" s="1"/>
  <c r="A61" i="2"/>
  <c r="B51" i="14" s="1"/>
  <c r="A66" i="2"/>
  <c r="B96" i="14" s="1"/>
  <c r="A71" i="2"/>
  <c r="B141" i="14" s="1"/>
  <c r="C69" i="6"/>
  <c r="C114" i="14" s="1"/>
  <c r="C65" i="3"/>
  <c r="C55" i="14" s="1"/>
  <c r="C70" i="6"/>
  <c r="C115" i="14" s="1"/>
  <c r="C74" i="10"/>
  <c r="C179" i="14" s="1"/>
  <c r="C68" i="10"/>
  <c r="C133" i="14" s="1"/>
  <c r="C69" i="10"/>
  <c r="C134" i="14" s="1"/>
  <c r="C70" i="10"/>
  <c r="C135" i="14" s="1"/>
  <c r="C71" i="10"/>
  <c r="C136" i="14" s="1"/>
  <c r="P17" i="5"/>
  <c r="U16" i="5" s="1"/>
  <c r="G68" i="5"/>
  <c r="F75" i="4"/>
  <c r="H18" i="4"/>
  <c r="H26" i="4"/>
  <c r="G69" i="4"/>
  <c r="H14" i="4"/>
  <c r="F59" i="4" s="1"/>
  <c r="E59" i="4" s="1"/>
  <c r="F74" i="7"/>
  <c r="G69" i="7"/>
  <c r="F75" i="7"/>
  <c r="H30" i="7"/>
  <c r="I61" i="7"/>
  <c r="Q23" i="7"/>
  <c r="O36" i="7" s="1"/>
  <c r="H63" i="7"/>
  <c r="H18" i="7"/>
  <c r="H26" i="9"/>
  <c r="I66" i="9"/>
  <c r="G62" i="9"/>
  <c r="F67" i="9"/>
  <c r="P17" i="7"/>
  <c r="U16" i="7" s="1"/>
  <c r="Q24" i="4"/>
  <c r="O37" i="4" s="1"/>
  <c r="Q27" i="4"/>
  <c r="O40" i="4" s="1"/>
  <c r="P17" i="4"/>
  <c r="U16" i="4" s="1"/>
  <c r="P17" i="2"/>
  <c r="U16" i="2" s="1"/>
  <c r="E270" i="14"/>
  <c r="A270" i="14" s="1"/>
  <c r="B86" i="7"/>
  <c r="Q24" i="2"/>
  <c r="O37" i="2" s="1"/>
  <c r="H30" i="2"/>
  <c r="I63" i="9"/>
  <c r="F78" i="9"/>
  <c r="I60" i="7"/>
  <c r="F73" i="7"/>
  <c r="F73" i="4"/>
  <c r="H69" i="9"/>
  <c r="H64" i="7"/>
  <c r="H65" i="7"/>
  <c r="G70" i="4"/>
  <c r="H64" i="4"/>
  <c r="H65" i="4"/>
  <c r="G70" i="5"/>
  <c r="Q27" i="2"/>
  <c r="O40" i="2" s="1"/>
  <c r="Q23" i="5"/>
  <c r="O36" i="5" s="1"/>
  <c r="H22" i="2"/>
  <c r="G68" i="7"/>
  <c r="H63" i="4"/>
  <c r="G68" i="4"/>
  <c r="H18" i="2"/>
  <c r="F62" i="4"/>
  <c r="F62" i="7"/>
  <c r="H70" i="9"/>
  <c r="F80" i="9"/>
  <c r="I65" i="9"/>
  <c r="Q23" i="4"/>
  <c r="O36" i="4" s="1"/>
  <c r="Q27" i="7"/>
  <c r="O40" i="7" s="1"/>
  <c r="G70" i="7"/>
  <c r="I58" i="7"/>
  <c r="H30" i="4"/>
  <c r="Q25" i="2"/>
  <c r="O38" i="2" s="1"/>
  <c r="H68" i="9"/>
  <c r="G57" i="7"/>
  <c r="H18" i="9"/>
  <c r="H22" i="7"/>
  <c r="H26" i="7"/>
  <c r="Q25" i="4"/>
  <c r="O38" i="4" s="1"/>
  <c r="H14" i="5"/>
  <c r="F59" i="5" s="1"/>
  <c r="E59" i="5" s="1"/>
  <c r="H26" i="3"/>
  <c r="H26" i="2"/>
  <c r="Q26" i="7"/>
  <c r="O39" i="7" s="1"/>
  <c r="P17" i="6"/>
  <c r="U16" i="6" s="1"/>
  <c r="Q27" i="6"/>
  <c r="O40" i="6" s="1"/>
  <c r="H14" i="6"/>
  <c r="F59" i="6" s="1"/>
  <c r="E59" i="6" s="1"/>
  <c r="Q24" i="7"/>
  <c r="O37" i="7" s="1"/>
  <c r="Q25" i="7"/>
  <c r="O38" i="7" s="1"/>
  <c r="H14" i="7"/>
  <c r="F59" i="7" s="1"/>
  <c r="E59" i="7" s="1"/>
  <c r="Q27" i="10"/>
  <c r="O40" i="10" s="1"/>
  <c r="P17" i="10"/>
  <c r="U16" i="10" s="1"/>
  <c r="H30" i="10"/>
  <c r="H14" i="9"/>
  <c r="F64" i="9" s="1"/>
  <c r="E64" i="9" s="1"/>
  <c r="Q23" i="9"/>
  <c r="O36" i="9" s="1"/>
  <c r="G74" i="9"/>
  <c r="Q26" i="9"/>
  <c r="O39" i="9" s="1"/>
  <c r="H22" i="4"/>
  <c r="F74" i="4"/>
  <c r="Q26" i="4"/>
  <c r="O39" i="4" s="1"/>
  <c r="G69" i="10"/>
  <c r="Q25" i="3"/>
  <c r="O38" i="3" s="1"/>
  <c r="H14" i="8"/>
  <c r="F59" i="8" s="1"/>
  <c r="E59" i="8" s="1"/>
  <c r="I60" i="8"/>
  <c r="Q23" i="8"/>
  <c r="O36" i="8" s="1"/>
  <c r="G57" i="8"/>
  <c r="H18" i="3"/>
  <c r="Q24" i="3"/>
  <c r="O37" i="3" s="1"/>
  <c r="Q26" i="3"/>
  <c r="O39" i="3" s="1"/>
  <c r="Q23" i="3"/>
  <c r="O36" i="3" s="1"/>
  <c r="H14" i="3"/>
  <c r="D13" i="15" s="1"/>
  <c r="F73" i="3"/>
  <c r="F75" i="3"/>
  <c r="I58" i="8"/>
  <c r="I61" i="8"/>
  <c r="H22" i="3"/>
  <c r="P17" i="3"/>
  <c r="U16" i="3" s="1"/>
  <c r="H30" i="3"/>
  <c r="Q27" i="3"/>
  <c r="O40" i="3" s="1"/>
  <c r="Q23" i="2"/>
  <c r="O36" i="2" s="1"/>
  <c r="Q26" i="2"/>
  <c r="O39" i="2" s="1"/>
  <c r="H26" i="8"/>
  <c r="F74" i="8"/>
  <c r="Q26" i="8"/>
  <c r="O39" i="8" s="1"/>
  <c r="H65" i="8"/>
  <c r="H63" i="8"/>
  <c r="F73" i="8"/>
  <c r="F75" i="8"/>
  <c r="Q26" i="10"/>
  <c r="O39" i="10" s="1"/>
  <c r="F74" i="10"/>
  <c r="H26" i="10"/>
  <c r="H63" i="10"/>
  <c r="H65" i="10"/>
  <c r="G73" i="9"/>
  <c r="G75" i="9"/>
  <c r="Q27" i="9"/>
  <c r="O40" i="9" s="1"/>
  <c r="P17" i="9"/>
  <c r="U16" i="9" s="1"/>
  <c r="H30" i="9"/>
  <c r="Q26" i="6"/>
  <c r="O39" i="6" s="1"/>
  <c r="H26" i="6"/>
  <c r="F74" i="6"/>
  <c r="H63" i="6"/>
  <c r="H65" i="6"/>
  <c r="F75" i="6"/>
  <c r="F73" i="6"/>
  <c r="Q24" i="5"/>
  <c r="O37" i="5" s="1"/>
  <c r="H64" i="5"/>
  <c r="F62" i="5"/>
  <c r="H18" i="5"/>
  <c r="Q27" i="5"/>
  <c r="O40" i="5" s="1"/>
  <c r="H30" i="5"/>
  <c r="H22" i="5"/>
  <c r="G69" i="5"/>
  <c r="Q25" i="5"/>
  <c r="O38" i="5" s="1"/>
  <c r="I60" i="5"/>
  <c r="G57" i="5"/>
  <c r="H26" i="5"/>
  <c r="Q26" i="5"/>
  <c r="O39" i="5" s="1"/>
  <c r="F74" i="5"/>
  <c r="H22" i="9"/>
  <c r="Q27" i="8"/>
  <c r="O40" i="8" s="1"/>
  <c r="H30" i="8"/>
  <c r="P17" i="8"/>
  <c r="U16" i="8" s="1"/>
  <c r="G69" i="8"/>
  <c r="Q25" i="8"/>
  <c r="O38" i="8" s="1"/>
  <c r="H22" i="8"/>
  <c r="Q24" i="8"/>
  <c r="O37" i="8" s="1"/>
  <c r="F62" i="8"/>
  <c r="H18" i="8"/>
  <c r="H64" i="8"/>
  <c r="G68" i="8"/>
  <c r="G70" i="8"/>
  <c r="I61" i="10"/>
  <c r="I58" i="10"/>
  <c r="Q25" i="10"/>
  <c r="O38" i="10" s="1"/>
  <c r="G70" i="10"/>
  <c r="H22" i="10"/>
  <c r="G68" i="10"/>
  <c r="H18" i="10"/>
  <c r="H64" i="10"/>
  <c r="Q24" i="10"/>
  <c r="O37" i="10" s="1"/>
  <c r="F62" i="10"/>
  <c r="Q23" i="10"/>
  <c r="O36" i="10" s="1"/>
  <c r="H14" i="10"/>
  <c r="F59" i="10" s="1"/>
  <c r="E59" i="10" s="1"/>
  <c r="G57" i="10"/>
  <c r="I60" i="10"/>
  <c r="F75" i="10"/>
  <c r="F73" i="10"/>
  <c r="F79" i="9"/>
  <c r="Q23" i="6"/>
  <c r="O36" i="6" s="1"/>
  <c r="H22" i="6"/>
  <c r="Q25" i="6"/>
  <c r="O38" i="6" s="1"/>
  <c r="G69" i="6"/>
  <c r="H18" i="6"/>
  <c r="Q24" i="6"/>
  <c r="O37" i="6" s="1"/>
  <c r="H64" i="6"/>
  <c r="F62" i="6"/>
  <c r="G70" i="6"/>
  <c r="G68" i="6"/>
  <c r="H65" i="5"/>
  <c r="H63" i="5"/>
  <c r="F73" i="5"/>
  <c r="F75" i="5"/>
  <c r="I61" i="5"/>
  <c r="I58" i="5"/>
  <c r="Q25" i="9"/>
  <c r="O38" i="9" s="1"/>
  <c r="H30" i="6"/>
  <c r="Q24" i="9"/>
  <c r="O37" i="9" s="1"/>
  <c r="C21" i="14"/>
  <c r="C82" i="7"/>
  <c r="C234" i="14" s="1"/>
  <c r="J77" i="4"/>
  <c r="D77" i="4" s="1"/>
  <c r="D190" i="14" s="1"/>
  <c r="I61" i="4"/>
  <c r="I58" i="4"/>
  <c r="I60" i="4"/>
  <c r="G57" i="4"/>
  <c r="G57" i="6"/>
  <c r="I60" i="6"/>
  <c r="I61" i="6"/>
  <c r="I58" i="6"/>
  <c r="C75" i="10"/>
  <c r="C180" i="14" s="1"/>
  <c r="C71" i="8"/>
  <c r="C126" i="14" s="1"/>
  <c r="C68" i="5"/>
  <c r="C108" i="14" s="1"/>
  <c r="C67" i="5"/>
  <c r="C107" i="14" s="1"/>
  <c r="C83" i="4"/>
  <c r="C226" i="14" s="1"/>
  <c r="C83" i="10"/>
  <c r="C244" i="14" s="1"/>
  <c r="C81" i="6"/>
  <c r="C230" i="14" s="1"/>
  <c r="C83" i="6"/>
  <c r="C232" i="14" s="1"/>
  <c r="C73" i="6"/>
  <c r="C158" i="14" s="1"/>
  <c r="C74" i="6"/>
  <c r="C159" i="14" s="1"/>
  <c r="C60" i="5"/>
  <c r="C20" i="14" s="1"/>
  <c r="C80" i="10"/>
  <c r="C217" i="14" s="1"/>
  <c r="C60" i="8"/>
  <c r="C35" i="14" s="1"/>
  <c r="C59" i="8"/>
  <c r="C34" i="14" s="1"/>
  <c r="C58" i="8"/>
  <c r="C33" i="14" s="1"/>
  <c r="B86" i="6"/>
  <c r="E258" i="14"/>
  <c r="A258" i="14" s="1"/>
  <c r="E67" i="5"/>
  <c r="E107" i="14" s="1"/>
  <c r="A107" i="14" s="1"/>
  <c r="E81" i="3"/>
  <c r="B81" i="3" s="1"/>
  <c r="E82" i="3"/>
  <c r="B82" i="3" s="1"/>
  <c r="E250" i="14"/>
  <c r="A250" i="14" s="1"/>
  <c r="E248" i="14"/>
  <c r="A248" i="14" s="1"/>
  <c r="B84" i="3"/>
  <c r="C84" i="5"/>
  <c r="C254" i="14" s="1"/>
  <c r="C85" i="5"/>
  <c r="C255" i="14" s="1"/>
  <c r="C61" i="10"/>
  <c r="C46" i="14" s="1"/>
  <c r="E210" i="14"/>
  <c r="A210" i="14" s="1"/>
  <c r="E268" i="14"/>
  <c r="A268" i="14" s="1"/>
  <c r="C240" i="14"/>
  <c r="E263" i="14"/>
  <c r="A263" i="14" s="1"/>
  <c r="B84" i="8"/>
  <c r="C86" i="8"/>
  <c r="C265" i="14" s="1"/>
  <c r="B77" i="6"/>
  <c r="E198" i="14"/>
  <c r="A198" i="14" s="1"/>
  <c r="C58" i="4"/>
  <c r="C13" i="14" s="1"/>
  <c r="C59" i="4"/>
  <c r="C14" i="14" s="1"/>
  <c r="B85" i="4"/>
  <c r="C67" i="6"/>
  <c r="C112" i="14" s="1"/>
  <c r="C68" i="6"/>
  <c r="C113" i="14" s="1"/>
  <c r="E214" i="14"/>
  <c r="A214" i="14" s="1"/>
  <c r="E269" i="14"/>
  <c r="A269" i="14" s="1"/>
  <c r="B84" i="10"/>
  <c r="C81" i="9"/>
  <c r="C176" i="14" s="1"/>
  <c r="C79" i="9"/>
  <c r="C174" i="14" s="1"/>
  <c r="C62" i="9"/>
  <c r="C37" i="14" s="1"/>
  <c r="C64" i="9"/>
  <c r="C39" i="14" s="1"/>
  <c r="C84" i="9"/>
  <c r="C212" i="14" s="1"/>
  <c r="C75" i="9"/>
  <c r="C130" i="14" s="1"/>
  <c r="E264" i="14"/>
  <c r="A264" i="14" s="1"/>
  <c r="B85" i="8"/>
  <c r="B86" i="8"/>
  <c r="C85" i="8"/>
  <c r="C264" i="14" s="1"/>
  <c r="C75" i="7"/>
  <c r="C165" i="14" s="1"/>
  <c r="C73" i="7"/>
  <c r="C163" i="14" s="1"/>
  <c r="C74" i="7"/>
  <c r="C164" i="14" s="1"/>
  <c r="C72" i="7"/>
  <c r="C162" i="14" s="1"/>
  <c r="C76" i="7"/>
  <c r="C166" i="14" s="1"/>
  <c r="C86" i="7"/>
  <c r="C262" i="14" s="1"/>
  <c r="C71" i="7"/>
  <c r="C121" i="14" s="1"/>
  <c r="B84" i="6"/>
  <c r="E254" i="14"/>
  <c r="A254" i="14" s="1"/>
  <c r="B84" i="5"/>
  <c r="B77" i="5"/>
  <c r="E194" i="14"/>
  <c r="A194" i="14" s="1"/>
  <c r="C79" i="5"/>
  <c r="C196" i="14" s="1"/>
  <c r="C78" i="5"/>
  <c r="C195" i="14" s="1"/>
  <c r="C78" i="4"/>
  <c r="C191" i="14" s="1"/>
  <c r="E249" i="14"/>
  <c r="A249" i="14" s="1"/>
  <c r="C63" i="7"/>
  <c r="C73" i="14" s="1"/>
  <c r="C58" i="3"/>
  <c r="C8" i="14" s="1"/>
  <c r="C79" i="7"/>
  <c r="C204" i="14" s="1"/>
  <c r="B80" i="10" l="1"/>
  <c r="E221" i="14"/>
  <c r="A221" i="14" s="1"/>
  <c r="B74" i="18"/>
  <c r="E78" i="6"/>
  <c r="E199" i="14" s="1"/>
  <c r="A199" i="14" s="1"/>
  <c r="E75" i="7"/>
  <c r="B75" i="7" s="1"/>
  <c r="D37" i="15"/>
  <c r="C78" i="10"/>
  <c r="C215" i="14" s="1"/>
  <c r="C77" i="10"/>
  <c r="C214" i="14" s="1"/>
  <c r="C76" i="10"/>
  <c r="C181" i="14" s="1"/>
  <c r="C72" i="10"/>
  <c r="C177" i="14" s="1"/>
  <c r="C58" i="10"/>
  <c r="C43" i="14" s="1"/>
  <c r="C59" i="10"/>
  <c r="C44" i="14" s="1"/>
  <c r="E67" i="9"/>
  <c r="B67" i="9" s="1"/>
  <c r="C82" i="9"/>
  <c r="C210" i="14" s="1"/>
  <c r="C74" i="9"/>
  <c r="C129" i="14" s="1"/>
  <c r="C73" i="9"/>
  <c r="C128" i="14" s="1"/>
  <c r="C72" i="9"/>
  <c r="C127" i="14" s="1"/>
  <c r="C65" i="9"/>
  <c r="C40" i="14" s="1"/>
  <c r="C63" i="9"/>
  <c r="C38" i="14" s="1"/>
  <c r="C63" i="8"/>
  <c r="C78" i="14" s="1"/>
  <c r="C83" i="7"/>
  <c r="C235" i="14" s="1"/>
  <c r="C65" i="7"/>
  <c r="C75" i="14" s="1"/>
  <c r="C57" i="7"/>
  <c r="C27" i="14" s="1"/>
  <c r="C61" i="6"/>
  <c r="C26" i="14" s="1"/>
  <c r="C60" i="6"/>
  <c r="C25" i="14" s="1"/>
  <c r="E62" i="5"/>
  <c r="B62" i="5" s="1"/>
  <c r="C84" i="4"/>
  <c r="C251" i="14" s="1"/>
  <c r="C86" i="4"/>
  <c r="C253" i="14" s="1"/>
  <c r="C82" i="4"/>
  <c r="C225" i="14" s="1"/>
  <c r="G25" i="10"/>
  <c r="G24" i="10"/>
  <c r="P16" i="10" s="1"/>
  <c r="U15" i="10" s="1"/>
  <c r="G21" i="10"/>
  <c r="G20" i="10"/>
  <c r="F21" i="10"/>
  <c r="F20" i="10"/>
  <c r="G17" i="10"/>
  <c r="G16" i="10"/>
  <c r="F17" i="10"/>
  <c r="F16" i="10"/>
  <c r="E17" i="10"/>
  <c r="E16" i="10"/>
  <c r="G13" i="10"/>
  <c r="G12" i="10"/>
  <c r="F13" i="10"/>
  <c r="F12" i="10"/>
  <c r="E12" i="10"/>
  <c r="D13" i="10"/>
  <c r="D12" i="10"/>
  <c r="E13" i="10"/>
  <c r="E13" i="5"/>
  <c r="G25" i="5"/>
  <c r="G24" i="5"/>
  <c r="G21" i="5"/>
  <c r="G20" i="5"/>
  <c r="F21" i="5"/>
  <c r="F20" i="5"/>
  <c r="G17" i="5"/>
  <c r="G16" i="5"/>
  <c r="F17" i="5"/>
  <c r="F16" i="5"/>
  <c r="E17" i="5"/>
  <c r="E16" i="5"/>
  <c r="G13" i="5"/>
  <c r="G12" i="5"/>
  <c r="F13" i="5"/>
  <c r="F12" i="5"/>
  <c r="E12" i="5"/>
  <c r="D13" i="5"/>
  <c r="D12" i="5"/>
  <c r="G25" i="3"/>
  <c r="G24" i="3"/>
  <c r="G21" i="3"/>
  <c r="G20" i="3"/>
  <c r="F21" i="3"/>
  <c r="F20" i="3"/>
  <c r="G17" i="3"/>
  <c r="G16" i="3"/>
  <c r="F17" i="3"/>
  <c r="F16" i="3"/>
  <c r="E17" i="3"/>
  <c r="E16" i="3"/>
  <c r="G13" i="3"/>
  <c r="G12" i="3"/>
  <c r="F13" i="3"/>
  <c r="F12" i="3"/>
  <c r="E12" i="3"/>
  <c r="D13" i="3"/>
  <c r="D12" i="3"/>
  <c r="D14" i="3" s="1"/>
  <c r="E13" i="3"/>
  <c r="E13" i="8"/>
  <c r="G25" i="8"/>
  <c r="G24" i="8"/>
  <c r="G21" i="8"/>
  <c r="G20" i="8"/>
  <c r="F21" i="8"/>
  <c r="F20" i="8"/>
  <c r="G17" i="8"/>
  <c r="G16" i="8"/>
  <c r="F17" i="8"/>
  <c r="F16" i="8"/>
  <c r="E17" i="8"/>
  <c r="E16" i="8"/>
  <c r="G13" i="8"/>
  <c r="G12" i="8"/>
  <c r="F13" i="8"/>
  <c r="F12" i="8"/>
  <c r="E12" i="8"/>
  <c r="D13" i="8"/>
  <c r="D12" i="8"/>
  <c r="G25" i="6"/>
  <c r="G24" i="6"/>
  <c r="P16" i="6" s="1"/>
  <c r="U15" i="6" s="1"/>
  <c r="G21" i="6"/>
  <c r="G20" i="6"/>
  <c r="F21" i="6"/>
  <c r="F20" i="6"/>
  <c r="G17" i="6"/>
  <c r="G16" i="6"/>
  <c r="F17" i="6"/>
  <c r="F16" i="6"/>
  <c r="E17" i="6"/>
  <c r="E16" i="6"/>
  <c r="G13" i="6"/>
  <c r="G12" i="6"/>
  <c r="F13" i="6"/>
  <c r="F12" i="6"/>
  <c r="E12" i="6"/>
  <c r="D13" i="6"/>
  <c r="D12" i="6"/>
  <c r="E13" i="6"/>
  <c r="G25" i="9"/>
  <c r="G24" i="9"/>
  <c r="P16" i="9" s="1"/>
  <c r="U15" i="9" s="1"/>
  <c r="G21" i="9"/>
  <c r="G20" i="9"/>
  <c r="F21" i="9"/>
  <c r="F20" i="9"/>
  <c r="G17" i="9"/>
  <c r="G16" i="9"/>
  <c r="G69" i="9" s="1"/>
  <c r="F17" i="9"/>
  <c r="F16" i="9"/>
  <c r="E17" i="9"/>
  <c r="E16" i="9"/>
  <c r="G13" i="9"/>
  <c r="G12" i="9"/>
  <c r="F13" i="9"/>
  <c r="F12" i="9"/>
  <c r="E12" i="9"/>
  <c r="D13" i="9"/>
  <c r="D12" i="9"/>
  <c r="E13" i="9"/>
  <c r="G20" i="2"/>
  <c r="G17" i="2"/>
  <c r="E16" i="2"/>
  <c r="E12" i="2"/>
  <c r="D12" i="2"/>
  <c r="G25" i="2"/>
  <c r="F20" i="2"/>
  <c r="E17" i="2"/>
  <c r="F12" i="2"/>
  <c r="G16" i="2"/>
  <c r="G24" i="2"/>
  <c r="F17" i="2"/>
  <c r="E13" i="2"/>
  <c r="G12" i="2"/>
  <c r="G21" i="2"/>
  <c r="F16" i="2"/>
  <c r="F13" i="2"/>
  <c r="D13" i="2"/>
  <c r="F21" i="2"/>
  <c r="G13" i="2"/>
  <c r="E13" i="4"/>
  <c r="G21" i="4"/>
  <c r="G16" i="4"/>
  <c r="E17" i="4"/>
  <c r="G13" i="4"/>
  <c r="F13" i="4"/>
  <c r="D12" i="4"/>
  <c r="G25" i="4"/>
  <c r="G24" i="4"/>
  <c r="P16" i="4" s="1"/>
  <c r="U15" i="4" s="1"/>
  <c r="G20" i="4"/>
  <c r="F21" i="4"/>
  <c r="F20" i="4"/>
  <c r="G17" i="4"/>
  <c r="F17" i="4"/>
  <c r="F16" i="4"/>
  <c r="E16" i="4"/>
  <c r="G12" i="4"/>
  <c r="F12" i="4"/>
  <c r="E12" i="4"/>
  <c r="D13" i="4"/>
  <c r="G25" i="7"/>
  <c r="G24" i="7"/>
  <c r="P16" i="7" s="1"/>
  <c r="U15" i="7" s="1"/>
  <c r="G21" i="7"/>
  <c r="G20" i="7"/>
  <c r="F21" i="7"/>
  <c r="F20" i="7"/>
  <c r="G17" i="7"/>
  <c r="G16" i="7"/>
  <c r="F17" i="7"/>
  <c r="F16" i="7"/>
  <c r="E17" i="7"/>
  <c r="E16" i="7"/>
  <c r="G13" i="7"/>
  <c r="G12" i="7"/>
  <c r="F13" i="7"/>
  <c r="F12" i="7"/>
  <c r="E12" i="7"/>
  <c r="D13" i="7"/>
  <c r="D12" i="7"/>
  <c r="E13" i="7"/>
  <c r="B72" i="2"/>
  <c r="C69" i="3"/>
  <c r="C99" i="14" s="1"/>
  <c r="G15" i="18"/>
  <c r="D15" i="18"/>
  <c r="F19" i="18"/>
  <c r="E15" i="18"/>
  <c r="G19" i="18"/>
  <c r="F23" i="18"/>
  <c r="E19" i="18"/>
  <c r="F15" i="18"/>
  <c r="G27" i="18"/>
  <c r="G23" i="18"/>
  <c r="E72" i="3"/>
  <c r="E142" i="14" s="1"/>
  <c r="A142" i="14" s="1"/>
  <c r="D16" i="15"/>
  <c r="E67" i="3"/>
  <c r="E97" i="14" s="1"/>
  <c r="A97" i="14" s="1"/>
  <c r="F66" i="3"/>
  <c r="E66" i="3" s="1"/>
  <c r="E56" i="14" s="1"/>
  <c r="I53" i="2"/>
  <c r="E77" i="4"/>
  <c r="E190" i="14" s="1"/>
  <c r="A190" i="14" s="1"/>
  <c r="C69" i="2"/>
  <c r="C139" i="14" s="1"/>
  <c r="F70" i="2"/>
  <c r="E70" i="2" s="1"/>
  <c r="E140" i="14" s="1"/>
  <c r="A140" i="14" s="1"/>
  <c r="C82" i="10"/>
  <c r="C243" i="14" s="1"/>
  <c r="C65" i="10"/>
  <c r="C90" i="14" s="1"/>
  <c r="C62" i="10"/>
  <c r="C87" i="14" s="1"/>
  <c r="E79" i="10"/>
  <c r="C60" i="10"/>
  <c r="C45" i="14" s="1"/>
  <c r="E62" i="10"/>
  <c r="E87" i="14" s="1"/>
  <c r="A87" i="14" s="1"/>
  <c r="E74" i="10"/>
  <c r="B90" i="9"/>
  <c r="C85" i="9"/>
  <c r="C213" i="14" s="1"/>
  <c r="F76" i="9"/>
  <c r="E76" i="9" s="1"/>
  <c r="E131" i="14" s="1"/>
  <c r="C88" i="9"/>
  <c r="C241" i="14" s="1"/>
  <c r="C69" i="9"/>
  <c r="C84" i="14" s="1"/>
  <c r="C71" i="9"/>
  <c r="C86" i="14" s="1"/>
  <c r="C82" i="8"/>
  <c r="C237" i="14" s="1"/>
  <c r="C66" i="8"/>
  <c r="C81" i="14" s="1"/>
  <c r="C81" i="8"/>
  <c r="C236" i="14" s="1"/>
  <c r="C62" i="8"/>
  <c r="C77" i="14" s="1"/>
  <c r="C64" i="8"/>
  <c r="C79" i="14" s="1"/>
  <c r="C57" i="8"/>
  <c r="C32" i="14" s="1"/>
  <c r="C67" i="7"/>
  <c r="C117" i="14" s="1"/>
  <c r="C64" i="7"/>
  <c r="C74" i="14" s="1"/>
  <c r="C84" i="7"/>
  <c r="C260" i="14" s="1"/>
  <c r="E202" i="14"/>
  <c r="A202" i="14" s="1"/>
  <c r="E62" i="7"/>
  <c r="E72" i="14" s="1"/>
  <c r="A72" i="14" s="1"/>
  <c r="C66" i="7"/>
  <c r="C76" i="14" s="1"/>
  <c r="E73" i="7"/>
  <c r="B73" i="7" s="1"/>
  <c r="E74" i="7"/>
  <c r="E164" i="14" s="1"/>
  <c r="A164" i="14" s="1"/>
  <c r="D31" i="15"/>
  <c r="B81" i="6"/>
  <c r="E230" i="14"/>
  <c r="A230" i="14" s="1"/>
  <c r="E75" i="6"/>
  <c r="B75" i="6" s="1"/>
  <c r="B72" i="6"/>
  <c r="E80" i="6"/>
  <c r="E201" i="14" s="1"/>
  <c r="A201" i="14" s="1"/>
  <c r="C57" i="6"/>
  <c r="C22" i="14" s="1"/>
  <c r="C58" i="6"/>
  <c r="C23" i="14" s="1"/>
  <c r="C80" i="5"/>
  <c r="C197" i="14" s="1"/>
  <c r="E255" i="14"/>
  <c r="A255" i="14" s="1"/>
  <c r="C59" i="5"/>
  <c r="C19" i="14" s="1"/>
  <c r="C69" i="5"/>
  <c r="C109" i="14" s="1"/>
  <c r="C58" i="5"/>
  <c r="C18" i="14" s="1"/>
  <c r="E78" i="5"/>
  <c r="B78" i="5" s="1"/>
  <c r="E79" i="5"/>
  <c r="B79" i="5" s="1"/>
  <c r="C57" i="5"/>
  <c r="C17" i="14" s="1"/>
  <c r="C71" i="5"/>
  <c r="C111" i="14" s="1"/>
  <c r="D24" i="15"/>
  <c r="C80" i="4"/>
  <c r="C193" i="14" s="1"/>
  <c r="C65" i="4"/>
  <c r="C60" i="14" s="1"/>
  <c r="C61" i="4"/>
  <c r="C16" i="14" s="1"/>
  <c r="C66" i="4"/>
  <c r="C61" i="14" s="1"/>
  <c r="E73" i="4"/>
  <c r="E148" i="14" s="1"/>
  <c r="A148" i="14" s="1"/>
  <c r="E78" i="4"/>
  <c r="B78" i="4" s="1"/>
  <c r="C79" i="4"/>
  <c r="C192" i="14" s="1"/>
  <c r="C71" i="4"/>
  <c r="C106" i="14" s="1"/>
  <c r="C60" i="4"/>
  <c r="C15" i="14" s="1"/>
  <c r="C67" i="4"/>
  <c r="C102" i="14" s="1"/>
  <c r="C70" i="4"/>
  <c r="C105" i="14" s="1"/>
  <c r="B86" i="4"/>
  <c r="C73" i="4"/>
  <c r="C148" i="14" s="1"/>
  <c r="E72" i="4"/>
  <c r="B72" i="4" s="1"/>
  <c r="D17" i="15"/>
  <c r="E78" i="3"/>
  <c r="E187" i="14" s="1"/>
  <c r="A187" i="14" s="1"/>
  <c r="E79" i="3"/>
  <c r="B79" i="3" s="1"/>
  <c r="E80" i="3"/>
  <c r="E189" i="14" s="1"/>
  <c r="A189" i="14" s="1"/>
  <c r="C57" i="3"/>
  <c r="C7" i="14" s="1"/>
  <c r="J67" i="4"/>
  <c r="D67" i="4" s="1"/>
  <c r="D102" i="14" s="1"/>
  <c r="D9" i="15"/>
  <c r="C76" i="2"/>
  <c r="C218" i="14" s="1"/>
  <c r="J72" i="4"/>
  <c r="D72" i="4" s="1"/>
  <c r="D147" i="14" s="1"/>
  <c r="C78" i="2"/>
  <c r="C220" i="14" s="1"/>
  <c r="C79" i="2"/>
  <c r="C245" i="14" s="1"/>
  <c r="J62" i="4"/>
  <c r="D62" i="4" s="1"/>
  <c r="D57" i="14" s="1"/>
  <c r="C80" i="2"/>
  <c r="C246" i="14" s="1"/>
  <c r="E67" i="4"/>
  <c r="B67" i="4" s="1"/>
  <c r="E74" i="2"/>
  <c r="B74" i="2" s="1"/>
  <c r="C70" i="2"/>
  <c r="C140" i="14" s="1"/>
  <c r="C62" i="2"/>
  <c r="C92" i="14" s="1"/>
  <c r="E75" i="2"/>
  <c r="B75" i="2" s="1"/>
  <c r="C55" i="2"/>
  <c r="C5" i="14" s="1"/>
  <c r="C56" i="2"/>
  <c r="C6" i="14" s="1"/>
  <c r="S36" i="10"/>
  <c r="S23" i="10" s="1"/>
  <c r="E62" i="2"/>
  <c r="E92" i="14" s="1"/>
  <c r="A92" i="14" s="1"/>
  <c r="E67" i="2"/>
  <c r="B67" i="2" s="1"/>
  <c r="C67" i="2"/>
  <c r="C137" i="14" s="1"/>
  <c r="Q41" i="9"/>
  <c r="C58" i="2"/>
  <c r="C48" i="14" s="1"/>
  <c r="C59" i="2"/>
  <c r="C49" i="14" s="1"/>
  <c r="C60" i="2"/>
  <c r="C50" i="14" s="1"/>
  <c r="S40" i="8"/>
  <c r="S27" i="8" s="1"/>
  <c r="C68" i="2"/>
  <c r="C138" i="14" s="1"/>
  <c r="C63" i="2"/>
  <c r="C93" i="14" s="1"/>
  <c r="C54" i="2"/>
  <c r="C4" i="14" s="1"/>
  <c r="C52" i="2"/>
  <c r="C2" i="14" s="1"/>
  <c r="D10" i="15"/>
  <c r="E76" i="2"/>
  <c r="E218" i="14" s="1"/>
  <c r="A218" i="14" s="1"/>
  <c r="F68" i="2"/>
  <c r="E68" i="2" s="1"/>
  <c r="E138" i="14" s="1"/>
  <c r="A138" i="14" s="1"/>
  <c r="E271" i="14"/>
  <c r="A271" i="14" s="1"/>
  <c r="B86" i="10"/>
  <c r="E75" i="10"/>
  <c r="E73" i="10"/>
  <c r="E178" i="14" s="1"/>
  <c r="A178" i="14" s="1"/>
  <c r="E72" i="9"/>
  <c r="D38" i="15"/>
  <c r="E79" i="9"/>
  <c r="B79" i="9" s="1"/>
  <c r="E80" i="9"/>
  <c r="E175" i="14" s="1"/>
  <c r="E78" i="9"/>
  <c r="B78" i="9" s="1"/>
  <c r="S38" i="8"/>
  <c r="S25" i="8" s="1"/>
  <c r="E206" i="14"/>
  <c r="A206" i="14" s="1"/>
  <c r="S37" i="8"/>
  <c r="S24" i="8" s="1"/>
  <c r="E73" i="8"/>
  <c r="E168" i="14" s="1"/>
  <c r="A168" i="14" s="1"/>
  <c r="E74" i="8"/>
  <c r="E169" i="14" s="1"/>
  <c r="A169" i="14" s="1"/>
  <c r="D33" i="15"/>
  <c r="E62" i="8"/>
  <c r="B62" i="8" s="1"/>
  <c r="E75" i="8"/>
  <c r="E170" i="14" s="1"/>
  <c r="A170" i="14" s="1"/>
  <c r="R41" i="8"/>
  <c r="E78" i="8"/>
  <c r="B84" i="7"/>
  <c r="E260" i="14"/>
  <c r="A260" i="14" s="1"/>
  <c r="E261" i="14"/>
  <c r="A261" i="14" s="1"/>
  <c r="E78" i="7"/>
  <c r="E79" i="7"/>
  <c r="E83" i="7"/>
  <c r="D30" i="15"/>
  <c r="E82" i="7"/>
  <c r="D32" i="15"/>
  <c r="D28" i="15"/>
  <c r="D26" i="15"/>
  <c r="E62" i="6"/>
  <c r="B62" i="6" s="1"/>
  <c r="E73" i="6"/>
  <c r="E74" i="6"/>
  <c r="E159" i="14" s="1"/>
  <c r="F76" i="5"/>
  <c r="E76" i="5" s="1"/>
  <c r="E156" i="14" s="1"/>
  <c r="A156" i="14" s="1"/>
  <c r="E83" i="5"/>
  <c r="B67" i="5"/>
  <c r="E75" i="5"/>
  <c r="B75" i="5" s="1"/>
  <c r="E74" i="5"/>
  <c r="E154" i="14" s="1"/>
  <c r="A154" i="14" s="1"/>
  <c r="B86" i="5"/>
  <c r="E73" i="5"/>
  <c r="B73" i="5" s="1"/>
  <c r="B82" i="4"/>
  <c r="E225" i="14"/>
  <c r="A225" i="14" s="1"/>
  <c r="B77" i="4"/>
  <c r="E75" i="4"/>
  <c r="B75" i="4" s="1"/>
  <c r="B84" i="4"/>
  <c r="D20" i="15"/>
  <c r="E74" i="4"/>
  <c r="E149" i="14" s="1"/>
  <c r="A149" i="14" s="1"/>
  <c r="E62" i="4"/>
  <c r="E57" i="14" s="1"/>
  <c r="A57" i="14" s="1"/>
  <c r="B78" i="3"/>
  <c r="B77" i="3"/>
  <c r="E186" i="14"/>
  <c r="A186" i="14" s="1"/>
  <c r="E73" i="3"/>
  <c r="E143" i="14" s="1"/>
  <c r="A143" i="14" s="1"/>
  <c r="E75" i="3"/>
  <c r="E145" i="14" s="1"/>
  <c r="E247" i="14"/>
  <c r="A247" i="14" s="1"/>
  <c r="F61" i="2"/>
  <c r="E61" i="2" s="1"/>
  <c r="E51" i="14" s="1"/>
  <c r="F59" i="3"/>
  <c r="E59" i="3" s="1"/>
  <c r="E9" i="14" s="1"/>
  <c r="P41" i="10"/>
  <c r="D18" i="15"/>
  <c r="E19" i="14"/>
  <c r="E191" i="14"/>
  <c r="A191" i="14" s="1"/>
  <c r="C66" i="2"/>
  <c r="C96" i="14" s="1"/>
  <c r="C65" i="2"/>
  <c r="C95" i="14" s="1"/>
  <c r="C68" i="3"/>
  <c r="C98" i="14" s="1"/>
  <c r="S39" i="2"/>
  <c r="S26" i="2" s="1"/>
  <c r="S39" i="4"/>
  <c r="S26" i="4" s="1"/>
  <c r="S39" i="7"/>
  <c r="S26" i="7" s="1"/>
  <c r="S40" i="4"/>
  <c r="S27" i="4" s="1"/>
  <c r="C70" i="8"/>
  <c r="C125" i="14" s="1"/>
  <c r="C67" i="8"/>
  <c r="C122" i="14" s="1"/>
  <c r="C69" i="8"/>
  <c r="C124" i="14" s="1"/>
  <c r="C75" i="5"/>
  <c r="C155" i="14" s="1"/>
  <c r="C72" i="5"/>
  <c r="C152" i="14" s="1"/>
  <c r="S37" i="9"/>
  <c r="S24" i="9" s="1"/>
  <c r="S38" i="9"/>
  <c r="S25" i="9" s="1"/>
  <c r="S39" i="5"/>
  <c r="S26" i="5" s="1"/>
  <c r="S40" i="5"/>
  <c r="S27" i="5" s="1"/>
  <c r="S37" i="5"/>
  <c r="S24" i="5" s="1"/>
  <c r="S39" i="9"/>
  <c r="S26" i="9" s="1"/>
  <c r="S36" i="9"/>
  <c r="S23" i="9" s="1"/>
  <c r="S40" i="7"/>
  <c r="S27" i="7" s="1"/>
  <c r="S36" i="7"/>
  <c r="S23" i="7" s="1"/>
  <c r="P41" i="9"/>
  <c r="D44" i="15"/>
  <c r="E77" i="2"/>
  <c r="B77" i="2" s="1"/>
  <c r="E72" i="5"/>
  <c r="E152" i="14" s="1"/>
  <c r="A152" i="14" s="1"/>
  <c r="E82" i="5"/>
  <c r="E72" i="8"/>
  <c r="E80" i="8"/>
  <c r="E83" i="8"/>
  <c r="E77" i="9"/>
  <c r="E85" i="9"/>
  <c r="E78" i="10"/>
  <c r="E82" i="10"/>
  <c r="E83" i="10"/>
  <c r="B83" i="10" s="1"/>
  <c r="E86" i="9"/>
  <c r="E78" i="2"/>
  <c r="B78" i="2" s="1"/>
  <c r="E73" i="2"/>
  <c r="D11" i="15"/>
  <c r="E246" i="14"/>
  <c r="A246" i="14" s="1"/>
  <c r="Q41" i="10"/>
  <c r="S37" i="10"/>
  <c r="S24" i="10" s="1"/>
  <c r="S40" i="10"/>
  <c r="S27" i="10" s="1"/>
  <c r="E266" i="14"/>
  <c r="A266" i="14" s="1"/>
  <c r="B89" i="9"/>
  <c r="S40" i="9"/>
  <c r="S27" i="9" s="1"/>
  <c r="E84" i="9"/>
  <c r="E87" i="9"/>
  <c r="E88" i="9"/>
  <c r="D40" i="15"/>
  <c r="E126" i="14"/>
  <c r="E81" i="8"/>
  <c r="D34" i="15"/>
  <c r="E72" i="7"/>
  <c r="E162" i="14" s="1"/>
  <c r="A162" i="14" s="1"/>
  <c r="E203" i="14"/>
  <c r="A203" i="14" s="1"/>
  <c r="B78" i="7"/>
  <c r="B82" i="6"/>
  <c r="E231" i="14"/>
  <c r="A231" i="14" s="1"/>
  <c r="E67" i="6"/>
  <c r="B72" i="5"/>
  <c r="E197" i="14"/>
  <c r="A197" i="14" s="1"/>
  <c r="E79" i="4"/>
  <c r="E81" i="4"/>
  <c r="S40" i="2"/>
  <c r="S27" i="2" s="1"/>
  <c r="E96" i="14"/>
  <c r="P17" i="18"/>
  <c r="U16" i="18" s="1"/>
  <c r="H52" i="18"/>
  <c r="O43" i="18"/>
  <c r="E245" i="14"/>
  <c r="A245" i="14" s="1"/>
  <c r="B79" i="2"/>
  <c r="E176" i="14"/>
  <c r="E91" i="14"/>
  <c r="E181" i="14"/>
  <c r="E195" i="14"/>
  <c r="A195" i="14" s="1"/>
  <c r="S37" i="3"/>
  <c r="S24" i="3" s="1"/>
  <c r="Q41" i="5"/>
  <c r="D22" i="15"/>
  <c r="D36" i="15"/>
  <c r="C86" i="9"/>
  <c r="C239" i="14" s="1"/>
  <c r="Q41" i="8"/>
  <c r="D42" i="15"/>
  <c r="E80" i="4"/>
  <c r="E83" i="4"/>
  <c r="E81" i="5"/>
  <c r="E79" i="6"/>
  <c r="E83" i="6"/>
  <c r="E67" i="7"/>
  <c r="E80" i="7"/>
  <c r="E81" i="7"/>
  <c r="E67" i="8"/>
  <c r="E79" i="8"/>
  <c r="E82" i="8"/>
  <c r="E83" i="9"/>
  <c r="E67" i="10"/>
  <c r="E72" i="10"/>
  <c r="E81" i="10"/>
  <c r="S38" i="2"/>
  <c r="S25" i="2" s="1"/>
  <c r="O41" i="6"/>
  <c r="Q41" i="2"/>
  <c r="S37" i="2"/>
  <c r="S24" i="2" s="1"/>
  <c r="O41" i="4"/>
  <c r="O41" i="3"/>
  <c r="R41" i="5"/>
  <c r="R41" i="7"/>
  <c r="G64" i="2"/>
  <c r="E76" i="14"/>
  <c r="E14" i="14"/>
  <c r="E121" i="14"/>
  <c r="E81" i="14"/>
  <c r="E44" i="14"/>
  <c r="S36" i="2"/>
  <c r="S23" i="2" s="1"/>
  <c r="O41" i="2"/>
  <c r="E39" i="14"/>
  <c r="E146" i="14"/>
  <c r="S36" i="4"/>
  <c r="S23" i="4" s="1"/>
  <c r="P41" i="4"/>
  <c r="E106" i="14"/>
  <c r="E111" i="14"/>
  <c r="A111" i="14" s="1"/>
  <c r="B71" i="5"/>
  <c r="E161" i="14"/>
  <c r="A161" i="14" s="1"/>
  <c r="B76" i="6"/>
  <c r="E166" i="14"/>
  <c r="E136" i="14"/>
  <c r="O41" i="8"/>
  <c r="R41" i="2"/>
  <c r="P41" i="2"/>
  <c r="Q41" i="3"/>
  <c r="P41" i="3"/>
  <c r="P41" i="5"/>
  <c r="S37" i="6"/>
  <c r="S24" i="6" s="1"/>
  <c r="E61" i="14"/>
  <c r="E101" i="14"/>
  <c r="E171" i="14"/>
  <c r="E34" i="14"/>
  <c r="E29" i="14"/>
  <c r="E24" i="14"/>
  <c r="E141" i="14"/>
  <c r="E151" i="14"/>
  <c r="A151" i="14" s="1"/>
  <c r="B76" i="4"/>
  <c r="E71" i="14"/>
  <c r="E86" i="14"/>
  <c r="R41" i="3"/>
  <c r="R41" i="6"/>
  <c r="P41" i="6"/>
  <c r="S38" i="6"/>
  <c r="S25" i="6" s="1"/>
  <c r="R41" i="4"/>
  <c r="Q41" i="4"/>
  <c r="B83" i="3"/>
  <c r="C74" i="2"/>
  <c r="C184" i="14" s="1"/>
  <c r="C75" i="2"/>
  <c r="C185" i="14" s="1"/>
  <c r="C73" i="2"/>
  <c r="C183" i="14" s="1"/>
  <c r="E222" i="14"/>
  <c r="A222" i="14" s="1"/>
  <c r="C74" i="3"/>
  <c r="C144" i="14" s="1"/>
  <c r="C68" i="4"/>
  <c r="C103" i="14" s="1"/>
  <c r="C61" i="2"/>
  <c r="C51" i="14" s="1"/>
  <c r="C64" i="6"/>
  <c r="C69" i="14" s="1"/>
  <c r="C62" i="3"/>
  <c r="C52" i="14" s="1"/>
  <c r="D12" i="15"/>
  <c r="D15" i="15"/>
  <c r="D19" i="15"/>
  <c r="D21" i="15"/>
  <c r="D23" i="15"/>
  <c r="D25" i="15"/>
  <c r="D27" i="15"/>
  <c r="D29" i="15"/>
  <c r="D35" i="15"/>
  <c r="D41" i="15"/>
  <c r="D43" i="15"/>
  <c r="O41" i="9"/>
  <c r="O41" i="7"/>
  <c r="S38" i="5"/>
  <c r="S25" i="5" s="1"/>
  <c r="S36" i="5"/>
  <c r="S23" i="5" s="1"/>
  <c r="Q41" i="6"/>
  <c r="Q41" i="7"/>
  <c r="P41" i="7"/>
  <c r="C86" i="3"/>
  <c r="C250" i="14" s="1"/>
  <c r="C84" i="3"/>
  <c r="C248" i="14" s="1"/>
  <c r="C85" i="3"/>
  <c r="C249" i="14" s="1"/>
  <c r="S39" i="8"/>
  <c r="S26" i="8" s="1"/>
  <c r="S36" i="3"/>
  <c r="S23" i="3" s="1"/>
  <c r="O41" i="5"/>
  <c r="C59" i="7"/>
  <c r="C29" i="14" s="1"/>
  <c r="C72" i="6"/>
  <c r="C157" i="14" s="1"/>
  <c r="C76" i="6"/>
  <c r="C161" i="14" s="1"/>
  <c r="C64" i="3"/>
  <c r="C54" i="14" s="1"/>
  <c r="C75" i="3"/>
  <c r="C145" i="14" s="1"/>
  <c r="C75" i="4"/>
  <c r="C150" i="14" s="1"/>
  <c r="C76" i="4"/>
  <c r="C151" i="14" s="1"/>
  <c r="C73" i="5"/>
  <c r="C153" i="14" s="1"/>
  <c r="C76" i="5"/>
  <c r="C156" i="14" s="1"/>
  <c r="C72" i="4"/>
  <c r="C147" i="14" s="1"/>
  <c r="S36" i="6"/>
  <c r="S23" i="6" s="1"/>
  <c r="S39" i="6"/>
  <c r="S26" i="6" s="1"/>
  <c r="C63" i="3"/>
  <c r="C53" i="14" s="1"/>
  <c r="C71" i="3"/>
  <c r="C101" i="14" s="1"/>
  <c r="C70" i="3"/>
  <c r="C100" i="14" s="1"/>
  <c r="C60" i="7"/>
  <c r="C30" i="14" s="1"/>
  <c r="C58" i="7"/>
  <c r="C28" i="14" s="1"/>
  <c r="C84" i="10"/>
  <c r="C269" i="14" s="1"/>
  <c r="C85" i="10"/>
  <c r="C270" i="14" s="1"/>
  <c r="B42" i="15"/>
  <c r="B38" i="15"/>
  <c r="C86" i="6"/>
  <c r="C259" i="14" s="1"/>
  <c r="C84" i="6"/>
  <c r="C257" i="14" s="1"/>
  <c r="O41" i="10"/>
  <c r="R41" i="10"/>
  <c r="C81" i="3"/>
  <c r="C221" i="14" s="1"/>
  <c r="C83" i="3"/>
  <c r="C223" i="14" s="1"/>
  <c r="C82" i="3"/>
  <c r="C222" i="14" s="1"/>
  <c r="C78" i="3"/>
  <c r="C187" i="14" s="1"/>
  <c r="C79" i="3"/>
  <c r="C188" i="14" s="1"/>
  <c r="C80" i="3"/>
  <c r="C189" i="14" s="1"/>
  <c r="C73" i="3"/>
  <c r="C143" i="14" s="1"/>
  <c r="C76" i="3"/>
  <c r="C146" i="14" s="1"/>
  <c r="C64" i="4"/>
  <c r="C59" i="14" s="1"/>
  <c r="C62" i="4"/>
  <c r="C57" i="14" s="1"/>
  <c r="C63" i="5"/>
  <c r="C63" i="14" s="1"/>
  <c r="C66" i="5"/>
  <c r="C66" i="14" s="1"/>
  <c r="C65" i="5"/>
  <c r="C65" i="14" s="1"/>
  <c r="C64" i="5"/>
  <c r="C64" i="14" s="1"/>
  <c r="C62" i="6"/>
  <c r="C67" i="14" s="1"/>
  <c r="C65" i="6"/>
  <c r="C70" i="14" s="1"/>
  <c r="C63" i="6"/>
  <c r="C68" i="14" s="1"/>
  <c r="C64" i="10"/>
  <c r="C89" i="14" s="1"/>
  <c r="C63" i="10"/>
  <c r="C88" i="14" s="1"/>
  <c r="C81" i="5"/>
  <c r="C227" i="14" s="1"/>
  <c r="C83" i="5"/>
  <c r="C229" i="14" s="1"/>
  <c r="C68" i="7"/>
  <c r="C118" i="14" s="1"/>
  <c r="C70" i="7"/>
  <c r="C120" i="14" s="1"/>
  <c r="C89" i="9"/>
  <c r="C266" i="14" s="1"/>
  <c r="C90" i="9"/>
  <c r="C267" i="14" s="1"/>
  <c r="C91" i="9"/>
  <c r="C268" i="14" s="1"/>
  <c r="C80" i="9"/>
  <c r="C175" i="14" s="1"/>
  <c r="C78" i="9"/>
  <c r="C173" i="14" s="1"/>
  <c r="C77" i="9"/>
  <c r="C172" i="14" s="1"/>
  <c r="C70" i="9"/>
  <c r="C85" i="14" s="1"/>
  <c r="C67" i="9"/>
  <c r="C82" i="14" s="1"/>
  <c r="P41" i="8"/>
  <c r="S38" i="10"/>
  <c r="S25" i="10" s="1"/>
  <c r="S39" i="10"/>
  <c r="S26" i="10" s="1"/>
  <c r="S40" i="3"/>
  <c r="S27" i="3" s="1"/>
  <c r="S39" i="3"/>
  <c r="S26" i="3" s="1"/>
  <c r="S36" i="8"/>
  <c r="S23" i="8" s="1"/>
  <c r="S38" i="3"/>
  <c r="S25" i="3" s="1"/>
  <c r="S38" i="7"/>
  <c r="S25" i="7" s="1"/>
  <c r="S37" i="7"/>
  <c r="S24" i="7" s="1"/>
  <c r="S40" i="6"/>
  <c r="S27" i="6" s="1"/>
  <c r="S38" i="4"/>
  <c r="S25" i="4" s="1"/>
  <c r="S37" i="4"/>
  <c r="S24" i="4" s="1"/>
  <c r="R41" i="9"/>
  <c r="G69" i="3"/>
  <c r="C60" i="3"/>
  <c r="C10" i="14" s="1"/>
  <c r="C61" i="3"/>
  <c r="C11" i="14" s="1"/>
  <c r="C80" i="7"/>
  <c r="C205" i="14" s="1"/>
  <c r="C78" i="7"/>
  <c r="C203" i="14" s="1"/>
  <c r="C77" i="8"/>
  <c r="C206" i="14" s="1"/>
  <c r="C79" i="8"/>
  <c r="C208" i="14" s="1"/>
  <c r="C78" i="8"/>
  <c r="C207" i="14" s="1"/>
  <c r="C80" i="8"/>
  <c r="C209" i="14" s="1"/>
  <c r="C80" i="6"/>
  <c r="C201" i="14" s="1"/>
  <c r="C77" i="6"/>
  <c r="C198" i="14" s="1"/>
  <c r="C79" i="6"/>
  <c r="C200" i="14" s="1"/>
  <c r="C78" i="6"/>
  <c r="C199" i="14" s="1"/>
  <c r="C72" i="8"/>
  <c r="C167" i="14" s="1"/>
  <c r="C73" i="8"/>
  <c r="C168" i="14" s="1"/>
  <c r="C74" i="8"/>
  <c r="C169" i="14" s="1"/>
  <c r="C75" i="8"/>
  <c r="C170" i="14" s="1"/>
  <c r="C76" i="8"/>
  <c r="C171" i="14" s="1"/>
  <c r="C68" i="8"/>
  <c r="C123" i="14" s="1"/>
  <c r="C51" i="5"/>
  <c r="E244" i="14" l="1"/>
  <c r="A244" i="14" s="1"/>
  <c r="B72" i="3"/>
  <c r="B78" i="6"/>
  <c r="B80" i="6"/>
  <c r="E196" i="14"/>
  <c r="A196" i="14" s="1"/>
  <c r="E188" i="14"/>
  <c r="A188" i="14" s="1"/>
  <c r="F22" i="10"/>
  <c r="E18" i="7"/>
  <c r="E62" i="14"/>
  <c r="A62" i="14" s="1"/>
  <c r="F68" i="6"/>
  <c r="E68" i="6" s="1"/>
  <c r="E113" i="14" s="1"/>
  <c r="F68" i="10"/>
  <c r="E68" i="10" s="1"/>
  <c r="E133" i="14" s="1"/>
  <c r="E14" i="5"/>
  <c r="A171" i="14"/>
  <c r="G65" i="8"/>
  <c r="F60" i="5"/>
  <c r="E82" i="14"/>
  <c r="A82" i="14" s="1"/>
  <c r="E165" i="14"/>
  <c r="A165" i="14" s="1"/>
  <c r="F59" i="2"/>
  <c r="F63" i="7"/>
  <c r="G18" i="8"/>
  <c r="G14" i="10"/>
  <c r="H61" i="6"/>
  <c r="I56" i="2"/>
  <c r="H63" i="3"/>
  <c r="H65" i="3"/>
  <c r="G70" i="3"/>
  <c r="G68" i="3"/>
  <c r="F62" i="3"/>
  <c r="E62" i="3" s="1"/>
  <c r="E52" i="14" s="1"/>
  <c r="A52" i="14" s="1"/>
  <c r="H64" i="3"/>
  <c r="P16" i="3"/>
  <c r="U15" i="3" s="1"/>
  <c r="F74" i="3"/>
  <c r="E74" i="3" s="1"/>
  <c r="E144" i="14" s="1"/>
  <c r="B67" i="3"/>
  <c r="H56" i="2"/>
  <c r="F61" i="10"/>
  <c r="F65" i="10"/>
  <c r="G58" i="6"/>
  <c r="E147" i="14"/>
  <c r="A147" i="14" s="1"/>
  <c r="B62" i="10"/>
  <c r="E163" i="14"/>
  <c r="A163" i="14" s="1"/>
  <c r="A166" i="14" s="1"/>
  <c r="B62" i="3"/>
  <c r="E179" i="14"/>
  <c r="A179" i="14" s="1"/>
  <c r="B74" i="7"/>
  <c r="B76" i="7" s="1"/>
  <c r="B62" i="7"/>
  <c r="E18" i="6"/>
  <c r="F18" i="10"/>
  <c r="B79" i="10"/>
  <c r="E216" i="14"/>
  <c r="A216" i="14" s="1"/>
  <c r="B73" i="10"/>
  <c r="E160" i="14"/>
  <c r="A160" i="14" s="1"/>
  <c r="B73" i="4"/>
  <c r="E102" i="14"/>
  <c r="A102" i="14" s="1"/>
  <c r="B80" i="3"/>
  <c r="E67" i="14"/>
  <c r="A67" i="14" s="1"/>
  <c r="E184" i="14"/>
  <c r="A184" i="14" s="1"/>
  <c r="E185" i="14"/>
  <c r="A185" i="14" s="1"/>
  <c r="B73" i="8"/>
  <c r="B76" i="8" s="1"/>
  <c r="B73" i="3"/>
  <c r="B76" i="2"/>
  <c r="E174" i="14"/>
  <c r="A174" i="14" s="1"/>
  <c r="G60" i="8"/>
  <c r="F60" i="8"/>
  <c r="E219" i="14"/>
  <c r="A219" i="14" s="1"/>
  <c r="E137" i="14"/>
  <c r="A137" i="14" s="1"/>
  <c r="B62" i="2"/>
  <c r="B74" i="4"/>
  <c r="E150" i="14"/>
  <c r="A150" i="14" s="1"/>
  <c r="E155" i="14"/>
  <c r="A155" i="14" s="1"/>
  <c r="B62" i="4"/>
  <c r="B75" i="8"/>
  <c r="G26" i="10"/>
  <c r="O42" i="8"/>
  <c r="E220" i="14"/>
  <c r="A220" i="14" s="1"/>
  <c r="B74" i="8"/>
  <c r="E173" i="14"/>
  <c r="A173" i="14" s="1"/>
  <c r="A176" i="14" s="1"/>
  <c r="E153" i="14"/>
  <c r="A153" i="14" s="1"/>
  <c r="F57" i="2"/>
  <c r="E57" i="2" s="1"/>
  <c r="H59" i="2"/>
  <c r="G26" i="2"/>
  <c r="F69" i="2"/>
  <c r="E69" i="2" s="1"/>
  <c r="H60" i="2"/>
  <c r="H58" i="2"/>
  <c r="G65" i="2"/>
  <c r="G63" i="2"/>
  <c r="E180" i="14"/>
  <c r="B74" i="5"/>
  <c r="B72" i="9"/>
  <c r="E127" i="14"/>
  <c r="A127" i="14" s="1"/>
  <c r="E77" i="14"/>
  <c r="A77" i="14" s="1"/>
  <c r="B78" i="8"/>
  <c r="E207" i="14"/>
  <c r="A207" i="14" s="1"/>
  <c r="B79" i="7"/>
  <c r="E204" i="14"/>
  <c r="A204" i="14" s="1"/>
  <c r="E234" i="14"/>
  <c r="A234" i="14" s="1"/>
  <c r="B82" i="7"/>
  <c r="E235" i="14"/>
  <c r="A235" i="14" s="1"/>
  <c r="B83" i="7"/>
  <c r="E158" i="14"/>
  <c r="B76" i="5"/>
  <c r="E229" i="14"/>
  <c r="A229" i="14" s="1"/>
  <c r="B83" i="5"/>
  <c r="I61" i="3"/>
  <c r="I58" i="3"/>
  <c r="G57" i="3"/>
  <c r="I60" i="3"/>
  <c r="F14" i="6"/>
  <c r="G52" i="2"/>
  <c r="I55" i="2"/>
  <c r="G60" i="10"/>
  <c r="G26" i="4"/>
  <c r="F64" i="7"/>
  <c r="G14" i="6"/>
  <c r="H58" i="6"/>
  <c r="F70" i="6"/>
  <c r="E70" i="6" s="1"/>
  <c r="E115" i="14" s="1"/>
  <c r="G18" i="6"/>
  <c r="F63" i="2"/>
  <c r="E63" i="2" s="1"/>
  <c r="E93" i="14" s="1"/>
  <c r="G63" i="3"/>
  <c r="F61" i="6"/>
  <c r="D14" i="10"/>
  <c r="F22" i="6"/>
  <c r="P15" i="2"/>
  <c r="U14" i="2" s="1"/>
  <c r="H60" i="10"/>
  <c r="D14" i="6"/>
  <c r="G26" i="6"/>
  <c r="F58" i="6"/>
  <c r="F57" i="6"/>
  <c r="E57" i="6" s="1"/>
  <c r="E22" i="14" s="1"/>
  <c r="A22" i="14" s="1"/>
  <c r="H60" i="6"/>
  <c r="F57" i="10"/>
  <c r="E57" i="10" s="1"/>
  <c r="B57" i="10" s="1"/>
  <c r="F60" i="6"/>
  <c r="G61" i="6"/>
  <c r="F14" i="10"/>
  <c r="F63" i="10"/>
  <c r="E18" i="2"/>
  <c r="F64" i="4"/>
  <c r="E18" i="10"/>
  <c r="F65" i="5"/>
  <c r="F22" i="4"/>
  <c r="F18" i="2"/>
  <c r="E18" i="9"/>
  <c r="G60" i="2"/>
  <c r="F60" i="2"/>
  <c r="F58" i="2"/>
  <c r="F22" i="5"/>
  <c r="G18" i="7"/>
  <c r="G58" i="2"/>
  <c r="P14" i="2"/>
  <c r="U13" i="2" s="1"/>
  <c r="G65" i="5"/>
  <c r="H58" i="8"/>
  <c r="G14" i="7"/>
  <c r="H61" i="8"/>
  <c r="H60" i="3"/>
  <c r="H53" i="2"/>
  <c r="G58" i="8"/>
  <c r="F14" i="2"/>
  <c r="F52" i="2"/>
  <c r="F58" i="4"/>
  <c r="E14" i="7"/>
  <c r="H55" i="2"/>
  <c r="G14" i="2"/>
  <c r="F57" i="3"/>
  <c r="E57" i="3" s="1"/>
  <c r="E7" i="14" s="1"/>
  <c r="A7" i="14" s="1"/>
  <c r="E14" i="2"/>
  <c r="G14" i="4"/>
  <c r="G14" i="3"/>
  <c r="F58" i="10"/>
  <c r="E14" i="9"/>
  <c r="F63" i="3"/>
  <c r="G22" i="7"/>
  <c r="F65" i="7"/>
  <c r="E14" i="4"/>
  <c r="F69" i="8"/>
  <c r="E69" i="8" s="1"/>
  <c r="E124" i="14" s="1"/>
  <c r="A124" i="14" s="1"/>
  <c r="F18" i="6"/>
  <c r="H58" i="3"/>
  <c r="G56" i="2"/>
  <c r="F18" i="7"/>
  <c r="F63" i="18"/>
  <c r="E63" i="18" s="1"/>
  <c r="B63" i="18" s="1"/>
  <c r="F22" i="7"/>
  <c r="F22" i="9"/>
  <c r="G64" i="10"/>
  <c r="G63" i="8"/>
  <c r="G65" i="7"/>
  <c r="G61" i="7"/>
  <c r="F60" i="7"/>
  <c r="F65" i="9"/>
  <c r="G60" i="7"/>
  <c r="F61" i="3"/>
  <c r="F61" i="4"/>
  <c r="G58" i="4"/>
  <c r="O42" i="9"/>
  <c r="G64" i="6"/>
  <c r="F68" i="7"/>
  <c r="E68" i="7" s="1"/>
  <c r="E118" i="14" s="1"/>
  <c r="O42" i="5"/>
  <c r="F61" i="7"/>
  <c r="F70" i="10"/>
  <c r="E70" i="10" s="1"/>
  <c r="E135" i="14" s="1"/>
  <c r="P16" i="2"/>
  <c r="U15" i="2" s="1"/>
  <c r="G61" i="4"/>
  <c r="F64" i="18"/>
  <c r="E64" i="18" s="1"/>
  <c r="F63" i="9"/>
  <c r="P15" i="5"/>
  <c r="U14" i="5" s="1"/>
  <c r="G26" i="7"/>
  <c r="G26" i="9"/>
  <c r="F63" i="6"/>
  <c r="E18" i="8"/>
  <c r="G22" i="2"/>
  <c r="F70" i="7"/>
  <c r="E70" i="7" s="1"/>
  <c r="E120" i="14" s="1"/>
  <c r="G57" i="18"/>
  <c r="G66" i="9"/>
  <c r="F66" i="9"/>
  <c r="G64" i="7"/>
  <c r="B68" i="2"/>
  <c r="F65" i="2"/>
  <c r="P14" i="7"/>
  <c r="U13" i="7" s="1"/>
  <c r="P16" i="18"/>
  <c r="U15" i="18" s="1"/>
  <c r="H55" i="18"/>
  <c r="F57" i="18"/>
  <c r="H60" i="4"/>
  <c r="G63" i="5"/>
  <c r="F59" i="18"/>
  <c r="F62" i="18"/>
  <c r="E62" i="18" s="1"/>
  <c r="F58" i="18"/>
  <c r="G59" i="18"/>
  <c r="G58" i="18"/>
  <c r="P14" i="6"/>
  <c r="U13" i="6" s="1"/>
  <c r="F68" i="8"/>
  <c r="E68" i="8" s="1"/>
  <c r="E123" i="14" s="1"/>
  <c r="F64" i="10"/>
  <c r="F65" i="3"/>
  <c r="E18" i="4"/>
  <c r="G63" i="7"/>
  <c r="P15" i="18"/>
  <c r="U14" i="18" s="1"/>
  <c r="F69" i="5"/>
  <c r="E69" i="5" s="1"/>
  <c r="E109" i="14" s="1"/>
  <c r="A109" i="14" s="1"/>
  <c r="B78" i="10"/>
  <c r="E215" i="14"/>
  <c r="A215" i="14" s="1"/>
  <c r="E172" i="14"/>
  <c r="A172" i="14" s="1"/>
  <c r="B77" i="9"/>
  <c r="B80" i="8"/>
  <c r="E209" i="14"/>
  <c r="A209" i="14" s="1"/>
  <c r="E228" i="14"/>
  <c r="A228" i="14" s="1"/>
  <c r="B82" i="5"/>
  <c r="O42" i="4"/>
  <c r="E243" i="14"/>
  <c r="A243" i="14" s="1"/>
  <c r="B82" i="10"/>
  <c r="E213" i="14"/>
  <c r="B83" i="8"/>
  <c r="E238" i="14"/>
  <c r="A238" i="14" s="1"/>
  <c r="E167" i="14"/>
  <c r="A167" i="14" s="1"/>
  <c r="B72" i="8"/>
  <c r="B70" i="2"/>
  <c r="B86" i="9"/>
  <c r="E239" i="14"/>
  <c r="B72" i="7"/>
  <c r="O42" i="3"/>
  <c r="B73" i="2"/>
  <c r="E183" i="14"/>
  <c r="A183" i="14" s="1"/>
  <c r="G54" i="18"/>
  <c r="B87" i="9"/>
  <c r="E240" i="14"/>
  <c r="E241" i="14"/>
  <c r="E212" i="14"/>
  <c r="A212" i="14" s="1"/>
  <c r="E236" i="14"/>
  <c r="A236" i="14" s="1"/>
  <c r="B81" i="8"/>
  <c r="B67" i="6"/>
  <c r="E112" i="14"/>
  <c r="A112" i="14" s="1"/>
  <c r="B69" i="5"/>
  <c r="E192" i="14"/>
  <c r="A192" i="14" s="1"/>
  <c r="B79" i="4"/>
  <c r="E224" i="14"/>
  <c r="A224" i="14" s="1"/>
  <c r="B81" i="4"/>
  <c r="G63" i="9"/>
  <c r="D14" i="8"/>
  <c r="D14" i="9"/>
  <c r="G60" i="6"/>
  <c r="F22" i="3"/>
  <c r="F55" i="18"/>
  <c r="F64" i="2"/>
  <c r="E64" i="2" s="1"/>
  <c r="F22" i="2"/>
  <c r="F51" i="18"/>
  <c r="E51" i="18" s="1"/>
  <c r="B51" i="18" s="1"/>
  <c r="H58" i="4"/>
  <c r="D14" i="7"/>
  <c r="G60" i="4"/>
  <c r="P14" i="18"/>
  <c r="U13" i="18" s="1"/>
  <c r="F14" i="7"/>
  <c r="F54" i="18"/>
  <c r="G55" i="18"/>
  <c r="H60" i="7"/>
  <c r="F61" i="5"/>
  <c r="H61" i="5"/>
  <c r="F57" i="7"/>
  <c r="E57" i="7" s="1"/>
  <c r="E27" i="14" s="1"/>
  <c r="A27" i="14" s="1"/>
  <c r="G14" i="5"/>
  <c r="G52" i="18"/>
  <c r="H54" i="18"/>
  <c r="F14" i="4"/>
  <c r="H61" i="4"/>
  <c r="G58" i="7"/>
  <c r="F52" i="18"/>
  <c r="H61" i="7"/>
  <c r="H60" i="5"/>
  <c r="P13" i="4"/>
  <c r="U12" i="4" s="1"/>
  <c r="G55" i="2"/>
  <c r="F58" i="7"/>
  <c r="H58" i="7"/>
  <c r="P13" i="7"/>
  <c r="U12" i="7" s="1"/>
  <c r="F57" i="4"/>
  <c r="E57" i="4" s="1"/>
  <c r="B57" i="4" s="1"/>
  <c r="E177" i="14"/>
  <c r="A177" i="14" s="1"/>
  <c r="B72" i="10"/>
  <c r="E211" i="14"/>
  <c r="A211" i="14" s="1"/>
  <c r="B83" i="9"/>
  <c r="B84" i="9" s="1"/>
  <c r="E208" i="14"/>
  <c r="A208" i="14" s="1"/>
  <c r="B79" i="8"/>
  <c r="B81" i="7"/>
  <c r="E233" i="14"/>
  <c r="A233" i="14" s="1"/>
  <c r="E117" i="14"/>
  <c r="A117" i="14" s="1"/>
  <c r="B67" i="7"/>
  <c r="E200" i="14"/>
  <c r="E226" i="14"/>
  <c r="A226" i="14" s="1"/>
  <c r="B83" i="4"/>
  <c r="E242" i="14"/>
  <c r="A242" i="14" s="1"/>
  <c r="B81" i="10"/>
  <c r="E132" i="14"/>
  <c r="A132" i="14" s="1"/>
  <c r="B67" i="10"/>
  <c r="E237" i="14"/>
  <c r="A237" i="14" s="1"/>
  <c r="B82" i="8"/>
  <c r="B67" i="8"/>
  <c r="E122" i="14"/>
  <c r="A122" i="14" s="1"/>
  <c r="E205" i="14"/>
  <c r="A205" i="14" s="1"/>
  <c r="B80" i="7"/>
  <c r="E232" i="14"/>
  <c r="A232" i="14" s="1"/>
  <c r="B83" i="6"/>
  <c r="B81" i="5"/>
  <c r="E227" i="14"/>
  <c r="A227" i="14" s="1"/>
  <c r="B80" i="4"/>
  <c r="E193" i="14"/>
  <c r="A193" i="14" s="1"/>
  <c r="O42" i="6"/>
  <c r="D14" i="5"/>
  <c r="G58" i="5"/>
  <c r="P13" i="9"/>
  <c r="U12" i="9" s="1"/>
  <c r="F58" i="5"/>
  <c r="F53" i="2"/>
  <c r="P13" i="5"/>
  <c r="U12" i="5" s="1"/>
  <c r="E14" i="3"/>
  <c r="F64" i="6"/>
  <c r="G60" i="5"/>
  <c r="E14" i="8"/>
  <c r="G22" i="8"/>
  <c r="P15" i="10"/>
  <c r="U14" i="10" s="1"/>
  <c r="F69" i="10"/>
  <c r="E69" i="10" s="1"/>
  <c r="E134" i="14" s="1"/>
  <c r="F56" i="2"/>
  <c r="G53" i="2"/>
  <c r="G63" i="6"/>
  <c r="G65" i="3"/>
  <c r="G65" i="6"/>
  <c r="F14" i="3"/>
  <c r="H61" i="3"/>
  <c r="G59" i="2"/>
  <c r="G18" i="2"/>
  <c r="P13" i="2"/>
  <c r="F55" i="2"/>
  <c r="P15" i="9"/>
  <c r="U14" i="9" s="1"/>
  <c r="F70" i="8"/>
  <c r="E70" i="8" s="1"/>
  <c r="D14" i="2"/>
  <c r="O42" i="2"/>
  <c r="O42" i="7"/>
  <c r="P13" i="10"/>
  <c r="U12" i="10" s="1"/>
  <c r="P13" i="3"/>
  <c r="U12" i="3" s="1"/>
  <c r="E14" i="6"/>
  <c r="P13" i="6"/>
  <c r="U12" i="6" s="1"/>
  <c r="G26" i="3"/>
  <c r="P14" i="10"/>
  <c r="U13" i="10" s="1"/>
  <c r="G63" i="10"/>
  <c r="G18" i="10"/>
  <c r="G65" i="10"/>
  <c r="F60" i="3"/>
  <c r="G60" i="3"/>
  <c r="O42" i="10"/>
  <c r="F65" i="6"/>
  <c r="F64" i="5"/>
  <c r="P14" i="5"/>
  <c r="F18" i="5"/>
  <c r="F70" i="5"/>
  <c r="E70" i="5" s="1"/>
  <c r="F68" i="5"/>
  <c r="E68" i="5" s="1"/>
  <c r="G22" i="5"/>
  <c r="G64" i="5"/>
  <c r="G18" i="5"/>
  <c r="P14" i="9"/>
  <c r="F69" i="9"/>
  <c r="E69" i="9" s="1"/>
  <c r="E84" i="14" s="1"/>
  <c r="G68" i="9"/>
  <c r="F68" i="9"/>
  <c r="F70" i="9"/>
  <c r="F74" i="9"/>
  <c r="E74" i="9" s="1"/>
  <c r="G22" i="9"/>
  <c r="P15" i="4"/>
  <c r="U14" i="4" s="1"/>
  <c r="F69" i="4"/>
  <c r="E69" i="4" s="1"/>
  <c r="G22" i="4"/>
  <c r="D14" i="4"/>
  <c r="F60" i="4"/>
  <c r="F68" i="4"/>
  <c r="E68" i="4" s="1"/>
  <c r="F70" i="4"/>
  <c r="E70" i="4" s="1"/>
  <c r="E105" i="14" s="1"/>
  <c r="F58" i="8"/>
  <c r="F61" i="8"/>
  <c r="G61" i="8"/>
  <c r="P13" i="8"/>
  <c r="F14" i="8"/>
  <c r="F64" i="8"/>
  <c r="F18" i="8"/>
  <c r="G64" i="8"/>
  <c r="P14" i="8"/>
  <c r="U13" i="8" s="1"/>
  <c r="G61" i="10"/>
  <c r="G58" i="10"/>
  <c r="H61" i="10"/>
  <c r="H58" i="10"/>
  <c r="F58" i="3"/>
  <c r="G61" i="3"/>
  <c r="G58" i="3"/>
  <c r="F69" i="3"/>
  <c r="E69" i="3" s="1"/>
  <c r="G22" i="3"/>
  <c r="P15" i="3"/>
  <c r="U14" i="3" s="1"/>
  <c r="F14" i="5"/>
  <c r="F18" i="9"/>
  <c r="H58" i="5"/>
  <c r="F57" i="5"/>
  <c r="E57" i="5" s="1"/>
  <c r="E18" i="3"/>
  <c r="G22" i="10"/>
  <c r="P16" i="5"/>
  <c r="U15" i="5" s="1"/>
  <c r="G26" i="5"/>
  <c r="F69" i="7"/>
  <c r="E69" i="7" s="1"/>
  <c r="P15" i="7"/>
  <c r="F75" i="9"/>
  <c r="E75" i="9" s="1"/>
  <c r="F73" i="9"/>
  <c r="E73" i="9" s="1"/>
  <c r="H63" i="9"/>
  <c r="H66" i="9"/>
  <c r="H65" i="9"/>
  <c r="G14" i="9"/>
  <c r="F62" i="9"/>
  <c r="E62" i="9" s="1"/>
  <c r="G65" i="9"/>
  <c r="F14" i="9"/>
  <c r="G63" i="4"/>
  <c r="G65" i="4"/>
  <c r="F63" i="4"/>
  <c r="F18" i="4"/>
  <c r="F65" i="4"/>
  <c r="G64" i="4"/>
  <c r="G18" i="4"/>
  <c r="P14" i="4"/>
  <c r="U13" i="4" s="1"/>
  <c r="F69" i="6"/>
  <c r="E69" i="6" s="1"/>
  <c r="E114" i="14" s="1"/>
  <c r="G22" i="6"/>
  <c r="P15" i="6"/>
  <c r="U14" i="6" s="1"/>
  <c r="F65" i="8"/>
  <c r="F63" i="8"/>
  <c r="F22" i="8"/>
  <c r="P15" i="8"/>
  <c r="U14" i="8" s="1"/>
  <c r="G14" i="8"/>
  <c r="H60" i="8"/>
  <c r="F57" i="8"/>
  <c r="E57" i="8" s="1"/>
  <c r="G26" i="8"/>
  <c r="P16" i="8"/>
  <c r="U15" i="8" s="1"/>
  <c r="F60" i="10"/>
  <c r="E14" i="10"/>
  <c r="F64" i="3"/>
  <c r="P14" i="3"/>
  <c r="F18" i="3"/>
  <c r="G64" i="3"/>
  <c r="G18" i="3"/>
  <c r="F70" i="3"/>
  <c r="F68" i="3"/>
  <c r="E18" i="5"/>
  <c r="G70" i="9"/>
  <c r="G61" i="5"/>
  <c r="F63" i="5"/>
  <c r="G18" i="9"/>
  <c r="E65" i="8" l="1"/>
  <c r="E63" i="7"/>
  <c r="E73" i="14" s="1"/>
  <c r="E52" i="2"/>
  <c r="B52" i="2" s="1"/>
  <c r="B76" i="10"/>
  <c r="A181" i="14"/>
  <c r="A180" i="14"/>
  <c r="B74" i="10"/>
  <c r="B75" i="10" s="1"/>
  <c r="E61" i="6"/>
  <c r="E26" i="14" s="1"/>
  <c r="E70" i="3"/>
  <c r="E100" i="14" s="1"/>
  <c r="E65" i="10"/>
  <c r="E90" i="14" s="1"/>
  <c r="E68" i="3"/>
  <c r="E98" i="14" s="1"/>
  <c r="E58" i="6"/>
  <c r="E23" i="14" s="1"/>
  <c r="E60" i="8"/>
  <c r="E35" i="14" s="1"/>
  <c r="E64" i="4"/>
  <c r="E59" i="14" s="1"/>
  <c r="E64" i="10"/>
  <c r="E89" i="14" s="1"/>
  <c r="E47" i="14"/>
  <c r="E59" i="2"/>
  <c r="E49" i="14" s="1"/>
  <c r="E65" i="2"/>
  <c r="E95" i="14" s="1"/>
  <c r="E64" i="7"/>
  <c r="E74" i="14" s="1"/>
  <c r="B69" i="2"/>
  <c r="E139" i="14"/>
  <c r="A139" i="14" s="1"/>
  <c r="E60" i="10"/>
  <c r="E45" i="14" s="1"/>
  <c r="E42" i="14"/>
  <c r="A42" i="14" s="1"/>
  <c r="E63" i="3"/>
  <c r="E53" i="14" s="1"/>
  <c r="E58" i="2"/>
  <c r="E48" i="14" s="1"/>
  <c r="B57" i="6"/>
  <c r="E65" i="5"/>
  <c r="E65" i="14" s="1"/>
  <c r="E60" i="6"/>
  <c r="E25" i="14" s="1"/>
  <c r="E63" i="10"/>
  <c r="E60" i="2"/>
  <c r="E50" i="14" s="1"/>
  <c r="E63" i="6"/>
  <c r="E68" i="14" s="1"/>
  <c r="E64" i="6"/>
  <c r="E65" i="7"/>
  <c r="E75" i="14" s="1"/>
  <c r="E58" i="8"/>
  <c r="E33" i="14" s="1"/>
  <c r="E2" i="14"/>
  <c r="A2" i="14" s="1"/>
  <c r="E58" i="4"/>
  <c r="B57" i="3"/>
  <c r="B69" i="8"/>
  <c r="E56" i="2"/>
  <c r="E6" i="14" s="1"/>
  <c r="E63" i="8"/>
  <c r="E78" i="14" s="1"/>
  <c r="E63" i="4"/>
  <c r="E58" i="14" s="1"/>
  <c r="E61" i="7"/>
  <c r="E31" i="14" s="1"/>
  <c r="E52" i="18"/>
  <c r="E60" i="7"/>
  <c r="E30" i="14" s="1"/>
  <c r="E58" i="3"/>
  <c r="E65" i="3"/>
  <c r="E55" i="14" s="1"/>
  <c r="E57" i="18"/>
  <c r="E61" i="4"/>
  <c r="E16" i="14" s="1"/>
  <c r="E54" i="18"/>
  <c r="E63" i="5"/>
  <c r="E63" i="14" s="1"/>
  <c r="E70" i="9"/>
  <c r="E66" i="9"/>
  <c r="E41" i="14" s="1"/>
  <c r="P21" i="18"/>
  <c r="U20" i="18"/>
  <c r="E59" i="18"/>
  <c r="E58" i="18"/>
  <c r="E55" i="18"/>
  <c r="E63" i="9"/>
  <c r="E38" i="14" s="1"/>
  <c r="E58" i="5"/>
  <c r="E60" i="4"/>
  <c r="E15" i="14" s="1"/>
  <c r="E12" i="14"/>
  <c r="A12" i="14" s="1"/>
  <c r="E55" i="2"/>
  <c r="E5" i="14" s="1"/>
  <c r="E60" i="5"/>
  <c r="P20" i="4"/>
  <c r="E53" i="2"/>
  <c r="E94" i="14"/>
  <c r="U19" i="4"/>
  <c r="B57" i="7"/>
  <c r="P20" i="6"/>
  <c r="E61" i="5"/>
  <c r="E21" i="14" s="1"/>
  <c r="E58" i="7"/>
  <c r="E61" i="3"/>
  <c r="E11" i="14" s="1"/>
  <c r="P20" i="10"/>
  <c r="E65" i="6"/>
  <c r="E70" i="14" s="1"/>
  <c r="E60" i="3"/>
  <c r="E10" i="14" s="1"/>
  <c r="E125" i="14"/>
  <c r="U12" i="2"/>
  <c r="U19" i="2" s="1"/>
  <c r="P20" i="2"/>
  <c r="U19" i="6"/>
  <c r="U19" i="10"/>
  <c r="E61" i="8"/>
  <c r="E36" i="14" s="1"/>
  <c r="E68" i="9"/>
  <c r="E83" i="14" s="1"/>
  <c r="E64" i="3"/>
  <c r="E65" i="4"/>
  <c r="E60" i="14" s="1"/>
  <c r="E65" i="9"/>
  <c r="E40" i="14" s="1"/>
  <c r="U13" i="3"/>
  <c r="U19" i="3" s="1"/>
  <c r="P20" i="3"/>
  <c r="E32" i="14"/>
  <c r="A32" i="14" s="1"/>
  <c r="B57" i="8"/>
  <c r="E80" i="14"/>
  <c r="B62" i="9"/>
  <c r="E37" i="14"/>
  <c r="A37" i="14" s="1"/>
  <c r="E130" i="14"/>
  <c r="E119" i="14"/>
  <c r="E99" i="14"/>
  <c r="E103" i="14"/>
  <c r="E104" i="14"/>
  <c r="A104" i="14" s="1"/>
  <c r="B69" i="4"/>
  <c r="U13" i="9"/>
  <c r="U19" i="9" s="1"/>
  <c r="P20" i="9"/>
  <c r="E108" i="14"/>
  <c r="E58" i="10"/>
  <c r="E43" i="14" s="1"/>
  <c r="E64" i="5"/>
  <c r="E128" i="14"/>
  <c r="U14" i="7"/>
  <c r="U19" i="7" s="1"/>
  <c r="P20" i="7"/>
  <c r="B57" i="5"/>
  <c r="E17" i="14"/>
  <c r="A17" i="14" s="1"/>
  <c r="U12" i="8"/>
  <c r="U19" i="8" s="1"/>
  <c r="P20" i="8"/>
  <c r="E129" i="14"/>
  <c r="E110" i="14"/>
  <c r="U13" i="5"/>
  <c r="U19" i="5" s="1"/>
  <c r="P20" i="5"/>
  <c r="E61" i="10"/>
  <c r="E46" i="14" s="1"/>
  <c r="E64" i="8"/>
  <c r="B53" i="2" l="1"/>
  <c r="B54" i="2" s="1"/>
  <c r="E88" i="14"/>
  <c r="E69" i="14"/>
  <c r="E85" i="14"/>
  <c r="E13" i="14"/>
  <c r="E8" i="14"/>
  <c r="E20" i="14"/>
  <c r="E3" i="14"/>
  <c r="A3" i="14" s="1"/>
  <c r="E18" i="14"/>
  <c r="E28" i="14"/>
  <c r="E54" i="14"/>
  <c r="E79" i="14"/>
  <c r="E64" i="14"/>
  <c r="B55" i="2" l="1"/>
  <c r="B56" i="2"/>
  <c r="B57" i="2" s="1"/>
  <c r="A4" i="14"/>
  <c r="B58" i="2" l="1"/>
  <c r="A5" i="14"/>
  <c r="B59" i="2" l="1"/>
  <c r="B60" i="2" s="1"/>
  <c r="B61" i="2" s="1"/>
  <c r="A6" i="14"/>
  <c r="A8" i="14" s="1"/>
  <c r="B63" i="2" l="1"/>
  <c r="A9" i="14"/>
  <c r="B71" i="2"/>
  <c r="B64" i="2" l="1"/>
  <c r="B65" i="2" s="1"/>
  <c r="A10" i="14"/>
  <c r="B66" i="2" l="1"/>
  <c r="B56" i="3" s="1"/>
  <c r="B9" i="13" s="1"/>
  <c r="A11" i="14"/>
  <c r="B58" i="3"/>
  <c r="B64" i="4"/>
  <c r="B59" i="3" l="1"/>
  <c r="B50" i="18"/>
  <c r="A13" i="14"/>
  <c r="A14" i="14" s="1"/>
  <c r="A18" i="14"/>
  <c r="A23" i="14"/>
  <c r="A24" i="14" s="1"/>
  <c r="B60" i="3"/>
  <c r="B68" i="4"/>
  <c r="A59" i="14"/>
  <c r="B52" i="18" l="1"/>
  <c r="B54" i="18" s="1"/>
  <c r="A15" i="14"/>
  <c r="A16" i="14" s="1"/>
  <c r="A19" i="14"/>
  <c r="A20" i="14" s="1"/>
  <c r="A21" i="14" s="1"/>
  <c r="B58" i="18"/>
  <c r="B62" i="18"/>
  <c r="B61" i="3"/>
  <c r="B63" i="3" s="1"/>
  <c r="B55" i="18" l="1"/>
  <c r="B57" i="18" s="1"/>
  <c r="A25" i="14"/>
  <c r="A26" i="14" s="1"/>
  <c r="A28" i="14"/>
  <c r="A29" i="14" s="1"/>
  <c r="B64" i="3"/>
  <c r="B59" i="18" l="1"/>
  <c r="A30" i="14"/>
  <c r="A31" i="14" s="1"/>
  <c r="B65" i="3"/>
  <c r="B66" i="3" s="1"/>
  <c r="B68" i="3" s="1"/>
  <c r="B64" i="18" l="1"/>
  <c r="B69" i="18" s="1"/>
  <c r="A33" i="14"/>
  <c r="A34" i="14" s="1"/>
  <c r="B69" i="3"/>
  <c r="B70" i="3" s="1"/>
  <c r="B71" i="3" s="1"/>
  <c r="A38" i="14"/>
  <c r="A39" i="14" s="1"/>
  <c r="A35" i="14" l="1"/>
  <c r="A36" i="14" s="1"/>
  <c r="B74" i="3"/>
  <c r="B65" i="5"/>
  <c r="A103" i="14"/>
  <c r="A40" i="14" l="1"/>
  <c r="A41" i="14" s="1"/>
  <c r="A43" i="14" s="1"/>
  <c r="B76" i="3"/>
  <c r="B75" i="3"/>
  <c r="B70" i="5"/>
  <c r="B58" i="6"/>
  <c r="B59" i="6" s="1"/>
  <c r="A47" i="14"/>
  <c r="A44" i="14" l="1"/>
  <c r="B56" i="4"/>
  <c r="B64" i="5"/>
  <c r="A45" i="14" l="1"/>
  <c r="B58" i="4"/>
  <c r="C9" i="13"/>
  <c r="A141" i="14"/>
  <c r="A46" i="14" l="1"/>
  <c r="A48" i="14" s="1"/>
  <c r="A49" i="14" s="1"/>
  <c r="B60" i="4"/>
  <c r="B59" i="4"/>
  <c r="B63" i="4"/>
  <c r="A54" i="14"/>
  <c r="B70" i="6"/>
  <c r="A50" i="14" l="1"/>
  <c r="A51" i="14" s="1"/>
  <c r="A53" i="14" s="1"/>
  <c r="B61" i="4"/>
  <c r="B65" i="4" s="1"/>
  <c r="B70" i="4" s="1"/>
  <c r="B71" i="4" s="1"/>
  <c r="B58" i="5"/>
  <c r="B63" i="6"/>
  <c r="A65" i="14"/>
  <c r="A55" i="14"/>
  <c r="B66" i="4" l="1"/>
  <c r="B56" i="5" s="1"/>
  <c r="D9" i="13" s="1"/>
  <c r="B59" i="5"/>
  <c r="B63" i="5"/>
  <c r="B66" i="5" s="1"/>
  <c r="B68" i="5"/>
  <c r="A56" i="14"/>
  <c r="A80" i="14"/>
  <c r="B58" i="7"/>
  <c r="B59" i="7" s="1"/>
  <c r="B61" i="5" l="1"/>
  <c r="B60" i="5"/>
  <c r="A58" i="14"/>
  <c r="A63" i="14"/>
  <c r="B63" i="7"/>
  <c r="A60" i="14" l="1"/>
  <c r="A61" i="14"/>
  <c r="B56" i="6"/>
  <c r="B60" i="6" s="1"/>
  <c r="B61" i="6" s="1"/>
  <c r="B65" i="6" s="1"/>
  <c r="A64" i="14"/>
  <c r="A66" i="14" s="1"/>
  <c r="A93" i="14"/>
  <c r="B68" i="7"/>
  <c r="A115" i="14"/>
  <c r="B64" i="6" l="1"/>
  <c r="B70" i="7"/>
  <c r="A68" i="14"/>
  <c r="A94" i="14"/>
  <c r="A98" i="14"/>
  <c r="A105" i="14"/>
  <c r="A106" i="14" s="1"/>
  <c r="B66" i="6" l="1"/>
  <c r="B71" i="6"/>
  <c r="B64" i="8"/>
  <c r="A69" i="14"/>
  <c r="A110" i="14"/>
  <c r="A128" i="14"/>
  <c r="A133" i="14"/>
  <c r="B68" i="6" l="1"/>
  <c r="B66" i="7"/>
  <c r="A134" i="14"/>
  <c r="A70" i="14"/>
  <c r="A71" i="14" s="1"/>
  <c r="A125" i="14"/>
  <c r="B65" i="8"/>
  <c r="B69" i="6" l="1"/>
  <c r="B60" i="7"/>
  <c r="B61" i="7" s="1"/>
  <c r="B65" i="7" s="1"/>
  <c r="B71" i="7"/>
  <c r="A73" i="14"/>
  <c r="B70" i="8"/>
  <c r="A135" i="14"/>
  <c r="A136" i="14" s="1"/>
  <c r="B73" i="6" l="1"/>
  <c r="B60" i="8"/>
  <c r="A74" i="14"/>
  <c r="B63" i="9"/>
  <c r="B64" i="9" s="1"/>
  <c r="B74" i="6" l="1"/>
  <c r="B79" i="6" s="1"/>
  <c r="B58" i="8"/>
  <c r="A75" i="14"/>
  <c r="A76" i="14" s="1"/>
  <c r="A88" i="14"/>
  <c r="B68" i="9"/>
  <c r="B56" i="7" l="1"/>
  <c r="F9" i="13" s="1"/>
  <c r="B61" i="8"/>
  <c r="B63" i="8" s="1"/>
  <c r="B66" i="8"/>
  <c r="A78" i="14"/>
  <c r="B70" i="9"/>
  <c r="A99" i="14"/>
  <c r="B58" i="10"/>
  <c r="B59" i="10" s="1"/>
  <c r="B60" i="10"/>
  <c r="B64" i="7" l="1"/>
  <c r="B69" i="7" s="1"/>
  <c r="B56" i="8" s="1"/>
  <c r="G9" i="13" s="1"/>
  <c r="B68" i="8"/>
  <c r="B71" i="8"/>
  <c r="A79" i="14"/>
  <c r="A83" i="14" s="1"/>
  <c r="A81" i="14"/>
  <c r="A120" i="14"/>
  <c r="B61" i="10"/>
  <c r="B63" i="10"/>
  <c r="B59" i="8" l="1"/>
  <c r="B61" i="9" s="1"/>
  <c r="H9" i="13" s="1"/>
  <c r="A84" i="14"/>
  <c r="A86" i="14" s="1"/>
  <c r="A85" i="14"/>
  <c r="A89" i="14"/>
  <c r="B64" i="10"/>
  <c r="B65" i="10" s="1"/>
  <c r="B66" i="10" s="1"/>
  <c r="B66" i="9"/>
  <c r="B68" i="10"/>
  <c r="B69" i="10"/>
  <c r="A90" i="14" l="1"/>
  <c r="B65" i="9"/>
  <c r="B69" i="9" s="1"/>
  <c r="B73" i="9"/>
  <c r="B71" i="9"/>
  <c r="A91" i="14"/>
  <c r="A95" i="14" s="1"/>
  <c r="A96" i="14" s="1"/>
  <c r="A145" i="14"/>
  <c r="A146" i="14" s="1"/>
  <c r="B70" i="10"/>
  <c r="B74" i="9" l="1"/>
  <c r="B71" i="10"/>
  <c r="A100" i="14"/>
  <c r="A101" i="14" s="1"/>
  <c r="A108" i="14" s="1"/>
  <c r="B75" i="9" l="1"/>
  <c r="A113" i="14"/>
  <c r="A118" i="14"/>
  <c r="A121" i="14" s="1"/>
  <c r="A116" i="14"/>
  <c r="A119" i="14" s="1"/>
  <c r="B76" i="9" l="1"/>
  <c r="B80" i="9" s="1"/>
  <c r="B81" i="9" s="1"/>
  <c r="A114" i="14"/>
  <c r="A123" i="14"/>
  <c r="A126" i="14" s="1"/>
  <c r="A129" i="14"/>
  <c r="E9" i="15"/>
  <c r="A130" i="14" l="1"/>
  <c r="A144" i="14" s="1"/>
  <c r="B85" i="9"/>
  <c r="B88" i="9" s="1"/>
  <c r="A131" i="14"/>
  <c r="A158" i="14"/>
  <c r="A159" i="14" s="1"/>
  <c r="A200" i="14" s="1"/>
  <c r="B56" i="10" l="1"/>
  <c r="A175" i="14"/>
  <c r="A213" i="14" s="1"/>
  <c r="A241" i="14" s="1"/>
  <c r="A239" i="14" l="1"/>
  <c r="A240" i="14" s="1"/>
  <c r="A9" i="13"/>
  <c r="I9" i="13"/>
  <c r="B133" i="13" l="1"/>
  <c r="B258" i="13"/>
  <c r="B227" i="13"/>
  <c r="B16" i="13"/>
  <c r="B110" i="13"/>
  <c r="B253" i="13"/>
  <c r="B288" i="13"/>
  <c r="B262" i="13"/>
  <c r="B74" i="13"/>
  <c r="B97" i="13"/>
  <c r="B131" i="13"/>
  <c r="B123" i="13"/>
  <c r="B34" i="13"/>
  <c r="B148" i="13"/>
  <c r="B281" i="13"/>
  <c r="B57" i="13"/>
  <c r="B305" i="13"/>
  <c r="B40" i="13"/>
  <c r="B130" i="13"/>
  <c r="B302" i="13"/>
  <c r="B292" i="13"/>
  <c r="B252" i="13"/>
  <c r="B56" i="13"/>
  <c r="B241" i="13"/>
  <c r="B268" i="13"/>
  <c r="B168" i="13"/>
  <c r="B105" i="13"/>
  <c r="B180" i="13"/>
  <c r="B214" i="13"/>
  <c r="B41" i="13"/>
  <c r="B126" i="13"/>
  <c r="B267" i="13"/>
  <c r="B261" i="13"/>
  <c r="B204" i="13"/>
  <c r="B35" i="13"/>
  <c r="B263" i="13"/>
  <c r="B66" i="13"/>
  <c r="B24" i="13"/>
  <c r="B68" i="13"/>
  <c r="B223" i="13"/>
  <c r="B49" i="13"/>
  <c r="B172" i="13"/>
  <c r="B11" i="13"/>
  <c r="B173" i="13"/>
  <c r="B159" i="13"/>
  <c r="B15" i="13"/>
  <c r="B81" i="13"/>
  <c r="B113" i="13"/>
  <c r="B284" i="13"/>
  <c r="B139" i="13"/>
  <c r="B179" i="13"/>
  <c r="B228" i="13"/>
  <c r="B50" i="13"/>
  <c r="B171" i="13"/>
  <c r="B141" i="13"/>
  <c r="B213" i="13"/>
  <c r="B271" i="13"/>
  <c r="B93" i="13"/>
  <c r="B122" i="13"/>
  <c r="B143" i="13"/>
  <c r="B242" i="13"/>
  <c r="B150" i="13"/>
  <c r="B183" i="13"/>
  <c r="B211" i="13"/>
  <c r="B128" i="13"/>
  <c r="B164" i="13"/>
  <c r="B127" i="13"/>
  <c r="B177" i="13"/>
  <c r="B44" i="13"/>
  <c r="B257" i="13"/>
  <c r="B79" i="13"/>
  <c r="B149" i="13"/>
  <c r="B86" i="13"/>
  <c r="B136" i="13"/>
  <c r="B265" i="13"/>
  <c r="B235" i="13"/>
  <c r="B273" i="13"/>
  <c r="B156" i="13"/>
  <c r="B71" i="13"/>
  <c r="B221" i="13"/>
  <c r="B245" i="13"/>
  <c r="B48" i="13"/>
  <c r="B194" i="13"/>
  <c r="B165" i="13"/>
  <c r="B215" i="13"/>
  <c r="B89" i="13"/>
  <c r="B181" i="13"/>
  <c r="B291" i="13"/>
  <c r="B22" i="13"/>
  <c r="B162" i="13"/>
  <c r="B300" i="13"/>
  <c r="B61" i="13"/>
  <c r="B303" i="13"/>
  <c r="B98" i="13"/>
  <c r="B201" i="13"/>
  <c r="B96" i="13"/>
  <c r="B308" i="13"/>
  <c r="B256" i="13"/>
  <c r="B239" i="13"/>
  <c r="B206" i="13"/>
  <c r="B186" i="13"/>
  <c r="B38" i="13"/>
  <c r="B297" i="13"/>
  <c r="B209" i="13"/>
  <c r="B246" i="13"/>
  <c r="B294" i="13"/>
  <c r="B283" i="13"/>
  <c r="B29" i="13"/>
  <c r="B58" i="13"/>
  <c r="B135" i="13"/>
  <c r="B234" i="13"/>
  <c r="B76" i="13"/>
  <c r="B31" i="13"/>
  <c r="B255" i="13"/>
  <c r="B14" i="13"/>
  <c r="B293" i="13"/>
  <c r="B153" i="13"/>
  <c r="B13" i="13"/>
  <c r="B134" i="13"/>
  <c r="B109" i="13"/>
  <c r="B295" i="13"/>
  <c r="B275" i="13"/>
  <c r="B46" i="13"/>
  <c r="B142" i="13"/>
  <c r="B151" i="13"/>
  <c r="B160" i="13"/>
  <c r="B17" i="13"/>
  <c r="B212" i="13"/>
  <c r="B182" i="13"/>
  <c r="B195" i="13"/>
  <c r="B152" i="13"/>
  <c r="B217" i="13"/>
  <c r="B192" i="13"/>
  <c r="B53" i="13"/>
  <c r="B170" i="13"/>
  <c r="B104" i="13"/>
  <c r="B277" i="13"/>
  <c r="B169" i="13"/>
  <c r="B232" i="13"/>
  <c r="B269" i="13"/>
  <c r="B70" i="13"/>
  <c r="B260" i="13"/>
  <c r="B59" i="13"/>
  <c r="B306" i="13"/>
  <c r="B116" i="13"/>
  <c r="B279" i="13"/>
  <c r="B225" i="13"/>
  <c r="B231" i="13"/>
  <c r="B289" i="13"/>
  <c r="B43" i="13"/>
  <c r="B219" i="13"/>
  <c r="B64" i="13"/>
  <c r="B299" i="13"/>
  <c r="B304" i="13"/>
  <c r="B189" i="13"/>
  <c r="B45" i="13"/>
  <c r="B80" i="13"/>
  <c r="B158" i="13"/>
  <c r="B197" i="13"/>
  <c r="B77" i="13"/>
  <c r="B52" i="13"/>
  <c r="B124" i="13"/>
  <c r="B20" i="13"/>
  <c r="B203" i="13"/>
  <c r="B103" i="13"/>
  <c r="B207" i="13"/>
  <c r="B88" i="13"/>
  <c r="B155" i="13"/>
  <c r="B220" i="13"/>
  <c r="B42" i="13"/>
  <c r="B72" i="13"/>
  <c r="B233" i="13"/>
  <c r="B100" i="13"/>
  <c r="B84" i="13"/>
  <c r="B108" i="13"/>
  <c r="B63" i="13"/>
  <c r="B125" i="13"/>
  <c r="B114" i="13"/>
  <c r="B218" i="13"/>
  <c r="B121" i="13"/>
  <c r="B270" i="13"/>
  <c r="B18" i="13"/>
  <c r="B30" i="13"/>
  <c r="B285" i="13"/>
  <c r="B244" i="13"/>
  <c r="B296" i="13"/>
  <c r="B190" i="13"/>
  <c r="B282" i="13"/>
  <c r="B196" i="13"/>
  <c r="B199" i="13"/>
  <c r="B249" i="13"/>
  <c r="B226" i="13"/>
  <c r="B19" i="13"/>
  <c r="B112" i="13"/>
  <c r="B264" i="13"/>
  <c r="B309" i="13"/>
  <c r="B222" i="13"/>
  <c r="B90" i="13"/>
  <c r="B120" i="13"/>
  <c r="B111" i="13"/>
  <c r="B276" i="13"/>
  <c r="B83" i="13"/>
  <c r="B62" i="13"/>
  <c r="B247" i="13"/>
  <c r="B91" i="13"/>
  <c r="B60" i="13"/>
  <c r="B39" i="13"/>
  <c r="B101" i="13"/>
  <c r="B54" i="13"/>
  <c r="B146" i="13"/>
  <c r="B94" i="13"/>
  <c r="B107" i="13"/>
  <c r="B237" i="13"/>
  <c r="B32" i="13"/>
  <c r="B106" i="13"/>
  <c r="B272" i="13"/>
  <c r="B193" i="13"/>
  <c r="B87" i="13"/>
  <c r="B47" i="13"/>
  <c r="B69" i="13"/>
  <c r="B12" i="13"/>
  <c r="B75" i="13"/>
  <c r="B33" i="13"/>
  <c r="B138" i="13"/>
  <c r="B129" i="13"/>
  <c r="B185" i="13"/>
  <c r="B301" i="13"/>
  <c r="B145" i="13"/>
  <c r="B250" i="13"/>
  <c r="B82" i="13"/>
  <c r="B224" i="13"/>
  <c r="B240" i="13"/>
  <c r="B176" i="13"/>
  <c r="B216" i="13"/>
  <c r="B229" i="13"/>
  <c r="B266" i="13"/>
  <c r="B230" i="13"/>
  <c r="B310" i="13"/>
  <c r="B147" i="13"/>
  <c r="B99" i="13"/>
  <c r="B163" i="13"/>
  <c r="B85" i="13"/>
  <c r="B287" i="13"/>
  <c r="B210" i="13"/>
  <c r="B117" i="13"/>
  <c r="B73" i="13"/>
  <c r="B37" i="13"/>
  <c r="B238" i="13"/>
  <c r="B251" i="13"/>
  <c r="B21" i="13"/>
  <c r="B208" i="13"/>
  <c r="B27" i="13"/>
  <c r="B65" i="13"/>
  <c r="B205" i="13"/>
  <c r="B166" i="13"/>
  <c r="B67" i="13"/>
  <c r="B202" i="13"/>
  <c r="B248" i="13"/>
  <c r="B187" i="13"/>
  <c r="B167" i="13"/>
  <c r="B92" i="13"/>
  <c r="B157" i="13"/>
  <c r="B119" i="13"/>
  <c r="B259" i="13"/>
  <c r="B236" i="13"/>
  <c r="B28" i="13"/>
  <c r="B243" i="13"/>
  <c r="B174" i="13"/>
  <c r="B140" i="13"/>
  <c r="B161" i="13"/>
  <c r="B132" i="13"/>
  <c r="B26" i="13"/>
  <c r="B55" i="13"/>
  <c r="B184" i="13"/>
  <c r="B290" i="13"/>
  <c r="B286" i="13"/>
  <c r="B118" i="13"/>
  <c r="B254" i="13"/>
  <c r="B137" i="13"/>
  <c r="B280" i="13"/>
  <c r="B307" i="13"/>
  <c r="B198" i="13"/>
  <c r="B102" i="13"/>
  <c r="B25" i="13"/>
  <c r="B51" i="13"/>
  <c r="B36" i="13"/>
  <c r="B78" i="13"/>
  <c r="B298" i="13"/>
  <c r="B188" i="13"/>
  <c r="B154" i="13"/>
  <c r="B144" i="13"/>
  <c r="B175" i="13"/>
  <c r="B23" i="13"/>
  <c r="B178" i="13"/>
  <c r="B95" i="13"/>
  <c r="B278" i="13"/>
  <c r="B191" i="13"/>
  <c r="B115" i="13"/>
  <c r="B200" i="13"/>
  <c r="B274" i="13"/>
  <c r="C175" i="13" l="1"/>
  <c r="E175" i="13"/>
  <c r="D175" i="13"/>
  <c r="E26" i="13"/>
  <c r="C26" i="13"/>
  <c r="D26" i="13"/>
  <c r="D167" i="13"/>
  <c r="C167" i="13"/>
  <c r="E167" i="13"/>
  <c r="C238" i="13"/>
  <c r="D238" i="13"/>
  <c r="E238" i="13"/>
  <c r="E266" i="13"/>
  <c r="D266" i="13"/>
  <c r="C266" i="13"/>
  <c r="D145" i="13"/>
  <c r="C145" i="13"/>
  <c r="E145" i="13"/>
  <c r="C69" i="13"/>
  <c r="E69" i="13"/>
  <c r="D69" i="13"/>
  <c r="D107" i="13"/>
  <c r="E107" i="13"/>
  <c r="C107" i="13"/>
  <c r="C247" i="13"/>
  <c r="D247" i="13"/>
  <c r="E247" i="13"/>
  <c r="E226" i="13"/>
  <c r="C226" i="13"/>
  <c r="D226" i="13"/>
  <c r="C285" i="13"/>
  <c r="E285" i="13"/>
  <c r="D285" i="13"/>
  <c r="E121" i="13"/>
  <c r="D121" i="13"/>
  <c r="C121" i="13"/>
  <c r="E233" i="13"/>
  <c r="C233" i="13"/>
  <c r="D233" i="13"/>
  <c r="C155" i="13"/>
  <c r="E155" i="13"/>
  <c r="D155" i="13"/>
  <c r="E203" i="13"/>
  <c r="C203" i="13"/>
  <c r="D203" i="13"/>
  <c r="C77" i="13"/>
  <c r="E77" i="13"/>
  <c r="D77" i="13"/>
  <c r="D45" i="13"/>
  <c r="C45" i="13"/>
  <c r="E45" i="13"/>
  <c r="D64" i="13"/>
  <c r="E64" i="13"/>
  <c r="C64" i="13"/>
  <c r="C231" i="13"/>
  <c r="E231" i="13"/>
  <c r="D231" i="13"/>
  <c r="E306" i="13"/>
  <c r="D306" i="13"/>
  <c r="C306" i="13"/>
  <c r="C269" i="13"/>
  <c r="E269" i="13"/>
  <c r="D269" i="13"/>
  <c r="D104" i="13"/>
  <c r="E104" i="13"/>
  <c r="C104" i="13"/>
  <c r="E217" i="13"/>
  <c r="D217" i="13"/>
  <c r="C217" i="13"/>
  <c r="C212" i="13"/>
  <c r="D212" i="13"/>
  <c r="E212" i="13"/>
  <c r="C142" i="13"/>
  <c r="E142" i="13"/>
  <c r="D142" i="13"/>
  <c r="D109" i="13"/>
  <c r="C109" i="13"/>
  <c r="E109" i="13"/>
  <c r="C293" i="13"/>
  <c r="E293" i="13"/>
  <c r="D293" i="13"/>
  <c r="C76" i="13"/>
  <c r="E76" i="13"/>
  <c r="D76" i="13"/>
  <c r="D29" i="13"/>
  <c r="C29" i="13"/>
  <c r="E29" i="13"/>
  <c r="C209" i="13"/>
  <c r="E209" i="13"/>
  <c r="D209" i="13"/>
  <c r="E206" i="13"/>
  <c r="C206" i="13"/>
  <c r="D206" i="13"/>
  <c r="E96" i="13"/>
  <c r="D96" i="13"/>
  <c r="C96" i="13"/>
  <c r="E61" i="13"/>
  <c r="D61" i="13"/>
  <c r="C61" i="13"/>
  <c r="D291" i="13"/>
  <c r="C291" i="13"/>
  <c r="E291" i="13"/>
  <c r="C165" i="13"/>
  <c r="D165" i="13"/>
  <c r="E165" i="13"/>
  <c r="D221" i="13"/>
  <c r="C221" i="13"/>
  <c r="E221" i="13"/>
  <c r="C235" i="13"/>
  <c r="D235" i="13"/>
  <c r="E235" i="13"/>
  <c r="E149" i="13"/>
  <c r="D149" i="13"/>
  <c r="C149" i="13"/>
  <c r="E177" i="13"/>
  <c r="C177" i="13"/>
  <c r="D177" i="13"/>
  <c r="E211" i="13"/>
  <c r="C211" i="13"/>
  <c r="D211" i="13"/>
  <c r="E143" i="13"/>
  <c r="D143" i="13"/>
  <c r="C143" i="13"/>
  <c r="D213" i="13"/>
  <c r="E213" i="13"/>
  <c r="C213" i="13"/>
  <c r="D228" i="13"/>
  <c r="C228" i="13"/>
  <c r="E228" i="13"/>
  <c r="D113" i="13"/>
  <c r="E113" i="13"/>
  <c r="C113" i="13"/>
  <c r="D173" i="13"/>
  <c r="C173" i="13"/>
  <c r="E173" i="13"/>
  <c r="C223" i="13"/>
  <c r="E223" i="13"/>
  <c r="D223" i="13"/>
  <c r="C263" i="13"/>
  <c r="E263" i="13"/>
  <c r="D263" i="13"/>
  <c r="C267" i="13"/>
  <c r="D267" i="13"/>
  <c r="E267" i="13"/>
  <c r="E180" i="13"/>
  <c r="C180" i="13"/>
  <c r="D180" i="13"/>
  <c r="E241" i="13"/>
  <c r="C241" i="13"/>
  <c r="D241" i="13"/>
  <c r="C302" i="13"/>
  <c r="E302" i="13"/>
  <c r="D302" i="13"/>
  <c r="D57" i="13"/>
  <c r="E57" i="13"/>
  <c r="C57" i="13"/>
  <c r="D123" i="13"/>
  <c r="C123" i="13"/>
  <c r="E123" i="13"/>
  <c r="E262" i="13"/>
  <c r="C262" i="13"/>
  <c r="D262" i="13"/>
  <c r="D16" i="13"/>
  <c r="E16" i="13"/>
  <c r="C16" i="13"/>
  <c r="D278" i="13"/>
  <c r="E278" i="13"/>
  <c r="C278" i="13"/>
  <c r="E25" i="13"/>
  <c r="D25" i="13"/>
  <c r="C25" i="13"/>
  <c r="D174" i="13"/>
  <c r="C174" i="13"/>
  <c r="E174" i="13"/>
  <c r="D67" i="13"/>
  <c r="C67" i="13"/>
  <c r="E67" i="13"/>
  <c r="E210" i="13"/>
  <c r="D210" i="13"/>
  <c r="C210" i="13"/>
  <c r="C99" i="13"/>
  <c r="D99" i="13"/>
  <c r="E99" i="13"/>
  <c r="C240" i="13"/>
  <c r="D240" i="13"/>
  <c r="E240" i="13"/>
  <c r="E138" i="13"/>
  <c r="C138" i="13"/>
  <c r="D138" i="13"/>
  <c r="E272" i="13"/>
  <c r="C272" i="13"/>
  <c r="D272" i="13"/>
  <c r="C101" i="13"/>
  <c r="E101" i="13"/>
  <c r="D101" i="13"/>
  <c r="C111" i="13"/>
  <c r="E111" i="13"/>
  <c r="D111" i="13"/>
  <c r="D309" i="13"/>
  <c r="C309" i="13"/>
  <c r="E309" i="13"/>
  <c r="E282" i="13"/>
  <c r="C282" i="13"/>
  <c r="D282" i="13"/>
  <c r="E63" i="13"/>
  <c r="D63" i="13"/>
  <c r="C63" i="13"/>
  <c r="E200" i="13"/>
  <c r="C200" i="13"/>
  <c r="D200" i="13"/>
  <c r="C95" i="13"/>
  <c r="D95" i="13"/>
  <c r="E95" i="13"/>
  <c r="C144" i="13"/>
  <c r="E144" i="13"/>
  <c r="D144" i="13"/>
  <c r="E78" i="13"/>
  <c r="D78" i="13"/>
  <c r="C78" i="13"/>
  <c r="E102" i="13"/>
  <c r="D102" i="13"/>
  <c r="C102" i="13"/>
  <c r="E137" i="13"/>
  <c r="D137" i="13"/>
  <c r="C137" i="13"/>
  <c r="C290" i="13"/>
  <c r="E290" i="13"/>
  <c r="D290" i="13"/>
  <c r="D132" i="13"/>
  <c r="E132" i="13"/>
  <c r="C132" i="13"/>
  <c r="C243" i="13"/>
  <c r="E243" i="13"/>
  <c r="D243" i="13"/>
  <c r="C119" i="13"/>
  <c r="E119" i="13"/>
  <c r="D119" i="13"/>
  <c r="D187" i="13"/>
  <c r="E187" i="13"/>
  <c r="C187" i="13"/>
  <c r="D166" i="13"/>
  <c r="C166" i="13"/>
  <c r="E166" i="13"/>
  <c r="C208" i="13"/>
  <c r="E208" i="13"/>
  <c r="D208" i="13"/>
  <c r="D37" i="13"/>
  <c r="C37" i="13"/>
  <c r="E37" i="13"/>
  <c r="E287" i="13"/>
  <c r="C287" i="13"/>
  <c r="D287" i="13"/>
  <c r="D147" i="13"/>
  <c r="C147" i="13"/>
  <c r="E147" i="13"/>
  <c r="E229" i="13"/>
  <c r="C229" i="13"/>
  <c r="D229" i="13"/>
  <c r="C224" i="13"/>
  <c r="D224" i="13"/>
  <c r="E224" i="13"/>
  <c r="D301" i="13"/>
  <c r="E301" i="13"/>
  <c r="C301" i="13"/>
  <c r="E33" i="13"/>
  <c r="C33" i="13"/>
  <c r="D33" i="13"/>
  <c r="D47" i="13"/>
  <c r="E47" i="13"/>
  <c r="C47" i="13"/>
  <c r="E106" i="13"/>
  <c r="C106" i="13"/>
  <c r="D106" i="13"/>
  <c r="C94" i="13"/>
  <c r="D94" i="13"/>
  <c r="E94" i="13"/>
  <c r="C39" i="13"/>
  <c r="E39" i="13"/>
  <c r="D39" i="13"/>
  <c r="D62" i="13"/>
  <c r="E62" i="13"/>
  <c r="C62" i="13"/>
  <c r="D120" i="13"/>
  <c r="C120" i="13"/>
  <c r="E120" i="13"/>
  <c r="D264" i="13"/>
  <c r="C264" i="13"/>
  <c r="E264" i="13"/>
  <c r="D249" i="13"/>
  <c r="C249" i="13"/>
  <c r="E249" i="13"/>
  <c r="C190" i="13"/>
  <c r="E190" i="13"/>
  <c r="D190" i="13"/>
  <c r="C30" i="13"/>
  <c r="D30" i="13"/>
  <c r="E30" i="13"/>
  <c r="D218" i="13"/>
  <c r="C218" i="13"/>
  <c r="E218" i="13"/>
  <c r="C108" i="13"/>
  <c r="E108" i="13"/>
  <c r="D108" i="13"/>
  <c r="C72" i="13"/>
  <c r="D72" i="13"/>
  <c r="E72" i="13"/>
  <c r="E88" i="13"/>
  <c r="C88" i="13"/>
  <c r="D88" i="13"/>
  <c r="C20" i="13"/>
  <c r="E20" i="13"/>
  <c r="D20" i="13"/>
  <c r="E197" i="13"/>
  <c r="D197" i="13"/>
  <c r="C197" i="13"/>
  <c r="C189" i="13"/>
  <c r="E189" i="13"/>
  <c r="D189" i="13"/>
  <c r="C219" i="13"/>
  <c r="D219" i="13"/>
  <c r="E219" i="13"/>
  <c r="D225" i="13"/>
  <c r="E225" i="13"/>
  <c r="C225" i="13"/>
  <c r="E59" i="13"/>
  <c r="D59" i="13"/>
  <c r="C59" i="13"/>
  <c r="E232" i="13"/>
  <c r="C232" i="13"/>
  <c r="D232" i="13"/>
  <c r="D170" i="13"/>
  <c r="C170" i="13"/>
  <c r="E170" i="13"/>
  <c r="D152" i="13"/>
  <c r="C152" i="13"/>
  <c r="E152" i="13"/>
  <c r="C17" i="13"/>
  <c r="D17" i="13"/>
  <c r="E17" i="13"/>
  <c r="E46" i="13"/>
  <c r="C46" i="13"/>
  <c r="D46" i="13"/>
  <c r="D134" i="13"/>
  <c r="E134" i="13"/>
  <c r="C134" i="13"/>
  <c r="D14" i="13"/>
  <c r="C14" i="13"/>
  <c r="E14" i="13"/>
  <c r="C234" i="13"/>
  <c r="D234" i="13"/>
  <c r="E234" i="13"/>
  <c r="D283" i="13"/>
  <c r="C283" i="13"/>
  <c r="E283" i="13"/>
  <c r="C297" i="13"/>
  <c r="E297" i="13"/>
  <c r="D297" i="13"/>
  <c r="E239" i="13"/>
  <c r="C239" i="13"/>
  <c r="D239" i="13"/>
  <c r="E201" i="13"/>
  <c r="D201" i="13"/>
  <c r="C201" i="13"/>
  <c r="E300" i="13"/>
  <c r="C300" i="13"/>
  <c r="D300" i="13"/>
  <c r="D181" i="13"/>
  <c r="C181" i="13"/>
  <c r="E181" i="13"/>
  <c r="D194" i="13"/>
  <c r="E194" i="13"/>
  <c r="C194" i="13"/>
  <c r="E71" i="13"/>
  <c r="D71" i="13"/>
  <c r="C71" i="13"/>
  <c r="E265" i="13"/>
  <c r="D265" i="13"/>
  <c r="C265" i="13"/>
  <c r="C79" i="13"/>
  <c r="D79" i="13"/>
  <c r="E79" i="13"/>
  <c r="C127" i="13"/>
  <c r="E127" i="13"/>
  <c r="D127" i="13"/>
  <c r="E183" i="13"/>
  <c r="C183" i="13"/>
  <c r="D183" i="13"/>
  <c r="E122" i="13"/>
  <c r="C122" i="13"/>
  <c r="D122" i="13"/>
  <c r="E141" i="13"/>
  <c r="C141" i="13"/>
  <c r="D141" i="13"/>
  <c r="D179" i="13"/>
  <c r="E179" i="13"/>
  <c r="C179" i="13"/>
  <c r="E81" i="13"/>
  <c r="D81" i="13"/>
  <c r="C81" i="13"/>
  <c r="C11" i="13"/>
  <c r="E11" i="13"/>
  <c r="L11" i="13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71" i="13" s="1"/>
  <c r="L72" i="13" s="1"/>
  <c r="L73" i="13" s="1"/>
  <c r="L74" i="13" s="1"/>
  <c r="L75" i="13" s="1"/>
  <c r="L76" i="13" s="1"/>
  <c r="L77" i="13" s="1"/>
  <c r="L78" i="13" s="1"/>
  <c r="L79" i="13" s="1"/>
  <c r="L80" i="13" s="1"/>
  <c r="L81" i="13" s="1"/>
  <c r="L82" i="13" s="1"/>
  <c r="L83" i="13" s="1"/>
  <c r="L84" i="13" s="1"/>
  <c r="L85" i="13" s="1"/>
  <c r="L86" i="13" s="1"/>
  <c r="L87" i="13" s="1"/>
  <c r="L88" i="13" s="1"/>
  <c r="L89" i="13" s="1"/>
  <c r="L90" i="13" s="1"/>
  <c r="L91" i="13" s="1"/>
  <c r="L92" i="13" s="1"/>
  <c r="L93" i="13" s="1"/>
  <c r="L94" i="13" s="1"/>
  <c r="L95" i="13" s="1"/>
  <c r="L96" i="13" s="1"/>
  <c r="L97" i="13" s="1"/>
  <c r="L98" i="13" s="1"/>
  <c r="L99" i="13" s="1"/>
  <c r="L100" i="13" s="1"/>
  <c r="L101" i="13" s="1"/>
  <c r="L102" i="13" s="1"/>
  <c r="L103" i="13" s="1"/>
  <c r="L104" i="13" s="1"/>
  <c r="L105" i="13" s="1"/>
  <c r="L106" i="13" s="1"/>
  <c r="L107" i="13" s="1"/>
  <c r="L108" i="13" s="1"/>
  <c r="L109" i="13" s="1"/>
  <c r="L110" i="13" s="1"/>
  <c r="L111" i="13" s="1"/>
  <c r="L112" i="13" s="1"/>
  <c r="L113" i="13" s="1"/>
  <c r="L114" i="13" s="1"/>
  <c r="L115" i="13" s="1"/>
  <c r="L116" i="13" s="1"/>
  <c r="L117" i="13" s="1"/>
  <c r="L118" i="13" s="1"/>
  <c r="L119" i="13" s="1"/>
  <c r="L120" i="13" s="1"/>
  <c r="L121" i="13" s="1"/>
  <c r="L122" i="13" s="1"/>
  <c r="L123" i="13" s="1"/>
  <c r="L124" i="13" s="1"/>
  <c r="L125" i="13" s="1"/>
  <c r="L126" i="13" s="1"/>
  <c r="L127" i="13" s="1"/>
  <c r="L128" i="13" s="1"/>
  <c r="L129" i="13" s="1"/>
  <c r="L130" i="13" s="1"/>
  <c r="L131" i="13" s="1"/>
  <c r="L132" i="13" s="1"/>
  <c r="L133" i="13" s="1"/>
  <c r="L134" i="13" s="1"/>
  <c r="L135" i="13" s="1"/>
  <c r="L136" i="13" s="1"/>
  <c r="L137" i="13" s="1"/>
  <c r="L138" i="13" s="1"/>
  <c r="L139" i="13" s="1"/>
  <c r="L140" i="13" s="1"/>
  <c r="L141" i="13" s="1"/>
  <c r="L142" i="13" s="1"/>
  <c r="L143" i="13" s="1"/>
  <c r="L144" i="13" s="1"/>
  <c r="L145" i="13" s="1"/>
  <c r="L146" i="13" s="1"/>
  <c r="L147" i="13" s="1"/>
  <c r="L148" i="13" s="1"/>
  <c r="L149" i="13" s="1"/>
  <c r="L150" i="13" s="1"/>
  <c r="L151" i="13" s="1"/>
  <c r="L152" i="13" s="1"/>
  <c r="L153" i="13" s="1"/>
  <c r="L154" i="13" s="1"/>
  <c r="L155" i="13" s="1"/>
  <c r="L156" i="13" s="1"/>
  <c r="L157" i="13" s="1"/>
  <c r="L158" i="13" s="1"/>
  <c r="L159" i="13" s="1"/>
  <c r="L160" i="13" s="1"/>
  <c r="L161" i="13" s="1"/>
  <c r="L162" i="13" s="1"/>
  <c r="L163" i="13" s="1"/>
  <c r="L164" i="13" s="1"/>
  <c r="L165" i="13" s="1"/>
  <c r="L166" i="13" s="1"/>
  <c r="L167" i="13" s="1"/>
  <c r="L168" i="13" s="1"/>
  <c r="L169" i="13" s="1"/>
  <c r="L170" i="13" s="1"/>
  <c r="L171" i="13" s="1"/>
  <c r="L172" i="13" s="1"/>
  <c r="L173" i="13" s="1"/>
  <c r="L174" i="13" s="1"/>
  <c r="L175" i="13" s="1"/>
  <c r="L176" i="13" s="1"/>
  <c r="L177" i="13" s="1"/>
  <c r="L178" i="13" s="1"/>
  <c r="L179" i="13" s="1"/>
  <c r="L180" i="13" s="1"/>
  <c r="L181" i="13" s="1"/>
  <c r="L182" i="13" s="1"/>
  <c r="L183" i="13" s="1"/>
  <c r="L184" i="13" s="1"/>
  <c r="L185" i="13" s="1"/>
  <c r="L186" i="13" s="1"/>
  <c r="L187" i="13" s="1"/>
  <c r="L188" i="13" s="1"/>
  <c r="L189" i="13" s="1"/>
  <c r="L190" i="13" s="1"/>
  <c r="L191" i="13" s="1"/>
  <c r="L192" i="13" s="1"/>
  <c r="L193" i="13" s="1"/>
  <c r="L194" i="13" s="1"/>
  <c r="L195" i="13" s="1"/>
  <c r="L196" i="13" s="1"/>
  <c r="L197" i="13" s="1"/>
  <c r="L198" i="13" s="1"/>
  <c r="L199" i="13" s="1"/>
  <c r="L200" i="13" s="1"/>
  <c r="L201" i="13" s="1"/>
  <c r="L202" i="13" s="1"/>
  <c r="L203" i="13" s="1"/>
  <c r="L204" i="13" s="1"/>
  <c r="L205" i="13" s="1"/>
  <c r="L206" i="13" s="1"/>
  <c r="L207" i="13" s="1"/>
  <c r="L208" i="13" s="1"/>
  <c r="L209" i="13" s="1"/>
  <c r="L210" i="13" s="1"/>
  <c r="L211" i="13" s="1"/>
  <c r="L212" i="13" s="1"/>
  <c r="L213" i="13" s="1"/>
  <c r="L214" i="13" s="1"/>
  <c r="L215" i="13" s="1"/>
  <c r="L216" i="13" s="1"/>
  <c r="L217" i="13" s="1"/>
  <c r="L218" i="13" s="1"/>
  <c r="L219" i="13" s="1"/>
  <c r="L220" i="13" s="1"/>
  <c r="L221" i="13" s="1"/>
  <c r="L222" i="13" s="1"/>
  <c r="L223" i="13" s="1"/>
  <c r="L224" i="13" s="1"/>
  <c r="L225" i="13" s="1"/>
  <c r="L226" i="13" s="1"/>
  <c r="L227" i="13" s="1"/>
  <c r="L228" i="13" s="1"/>
  <c r="L229" i="13" s="1"/>
  <c r="L230" i="13" s="1"/>
  <c r="L231" i="13" s="1"/>
  <c r="L232" i="13" s="1"/>
  <c r="L233" i="13" s="1"/>
  <c r="L234" i="13" s="1"/>
  <c r="L235" i="13" s="1"/>
  <c r="L236" i="13" s="1"/>
  <c r="L237" i="13" s="1"/>
  <c r="L238" i="13" s="1"/>
  <c r="L239" i="13" s="1"/>
  <c r="L240" i="13" s="1"/>
  <c r="L241" i="13" s="1"/>
  <c r="L242" i="13" s="1"/>
  <c r="L243" i="13" s="1"/>
  <c r="L244" i="13" s="1"/>
  <c r="L245" i="13" s="1"/>
  <c r="L246" i="13" s="1"/>
  <c r="L247" i="13" s="1"/>
  <c r="L248" i="13" s="1"/>
  <c r="L249" i="13" s="1"/>
  <c r="L250" i="13" s="1"/>
  <c r="L251" i="13" s="1"/>
  <c r="L252" i="13" s="1"/>
  <c r="L253" i="13" s="1"/>
  <c r="L254" i="13" s="1"/>
  <c r="L255" i="13" s="1"/>
  <c r="L256" i="13" s="1"/>
  <c r="L257" i="13" s="1"/>
  <c r="L258" i="13" s="1"/>
  <c r="L259" i="13" s="1"/>
  <c r="L260" i="13" s="1"/>
  <c r="L261" i="13" s="1"/>
  <c r="L262" i="13" s="1"/>
  <c r="L263" i="13" s="1"/>
  <c r="L264" i="13" s="1"/>
  <c r="L265" i="13" s="1"/>
  <c r="L266" i="13" s="1"/>
  <c r="L267" i="13" s="1"/>
  <c r="L268" i="13" s="1"/>
  <c r="L269" i="13" s="1"/>
  <c r="L270" i="13" s="1"/>
  <c r="L271" i="13" s="1"/>
  <c r="L272" i="13" s="1"/>
  <c r="L273" i="13" s="1"/>
  <c r="L274" i="13" s="1"/>
  <c r="L275" i="13" s="1"/>
  <c r="L276" i="13" s="1"/>
  <c r="L277" i="13" s="1"/>
  <c r="L278" i="13" s="1"/>
  <c r="L279" i="13" s="1"/>
  <c r="L280" i="13" s="1"/>
  <c r="L281" i="13" s="1"/>
  <c r="L282" i="13" s="1"/>
  <c r="L283" i="13" s="1"/>
  <c r="L284" i="13" s="1"/>
  <c r="L285" i="13" s="1"/>
  <c r="L286" i="13" s="1"/>
  <c r="L287" i="13" s="1"/>
  <c r="L288" i="13" s="1"/>
  <c r="L289" i="13" s="1"/>
  <c r="L290" i="13" s="1"/>
  <c r="L291" i="13" s="1"/>
  <c r="L292" i="13" s="1"/>
  <c r="L293" i="13" s="1"/>
  <c r="L294" i="13" s="1"/>
  <c r="L295" i="13" s="1"/>
  <c r="L296" i="13" s="1"/>
  <c r="L297" i="13" s="1"/>
  <c r="L298" i="13" s="1"/>
  <c r="L299" i="13" s="1"/>
  <c r="L300" i="13" s="1"/>
  <c r="L301" i="13" s="1"/>
  <c r="L302" i="13" s="1"/>
  <c r="L303" i="13" s="1"/>
  <c r="L304" i="13" s="1"/>
  <c r="L305" i="13" s="1"/>
  <c r="L306" i="13" s="1"/>
  <c r="L307" i="13" s="1"/>
  <c r="L308" i="13" s="1"/>
  <c r="L309" i="13" s="1"/>
  <c r="L310" i="13" s="1"/>
  <c r="D11" i="13"/>
  <c r="D68" i="13"/>
  <c r="E68" i="13"/>
  <c r="C68" i="13"/>
  <c r="E35" i="13"/>
  <c r="D35" i="13"/>
  <c r="C35" i="13"/>
  <c r="D126" i="13"/>
  <c r="C126" i="13"/>
  <c r="E126" i="13"/>
  <c r="E105" i="13"/>
  <c r="C105" i="13"/>
  <c r="D105" i="13"/>
  <c r="C56" i="13"/>
  <c r="D56" i="13"/>
  <c r="E56" i="13"/>
  <c r="D130" i="13"/>
  <c r="E130" i="13"/>
  <c r="C130" i="13"/>
  <c r="C281" i="13"/>
  <c r="D281" i="13"/>
  <c r="E281" i="13"/>
  <c r="D131" i="13"/>
  <c r="E131" i="13"/>
  <c r="C131" i="13"/>
  <c r="C288" i="13"/>
  <c r="D288" i="13"/>
  <c r="E288" i="13"/>
  <c r="C227" i="13"/>
  <c r="E227" i="13"/>
  <c r="D227" i="13"/>
  <c r="D274" i="13"/>
  <c r="E274" i="13"/>
  <c r="C274" i="13"/>
  <c r="C280" i="13"/>
  <c r="E280" i="13"/>
  <c r="D280" i="13"/>
  <c r="C259" i="13"/>
  <c r="D259" i="13"/>
  <c r="E259" i="13"/>
  <c r="E115" i="13"/>
  <c r="C115" i="13"/>
  <c r="D115" i="13"/>
  <c r="C178" i="13"/>
  <c r="E178" i="13"/>
  <c r="D178" i="13"/>
  <c r="D154" i="13"/>
  <c r="C154" i="13"/>
  <c r="E154" i="13"/>
  <c r="C36" i="13"/>
  <c r="D36" i="13"/>
  <c r="E36" i="13"/>
  <c r="E198" i="13"/>
  <c r="D198" i="13"/>
  <c r="C198" i="13"/>
  <c r="E254" i="13"/>
  <c r="C254" i="13"/>
  <c r="D254" i="13"/>
  <c r="E184" i="13"/>
  <c r="C184" i="13"/>
  <c r="D184" i="13"/>
  <c r="D161" i="13"/>
  <c r="C161" i="13"/>
  <c r="E161" i="13"/>
  <c r="C28" i="13"/>
  <c r="D28" i="13"/>
  <c r="E28" i="13"/>
  <c r="D157" i="13"/>
  <c r="C157" i="13"/>
  <c r="E157" i="13"/>
  <c r="C248" i="13"/>
  <c r="D248" i="13"/>
  <c r="E248" i="13"/>
  <c r="D205" i="13"/>
  <c r="C205" i="13"/>
  <c r="E205" i="13"/>
  <c r="C21" i="13"/>
  <c r="E21" i="13"/>
  <c r="D21" i="13"/>
  <c r="E73" i="13"/>
  <c r="D73" i="13"/>
  <c r="C73" i="13"/>
  <c r="E85" i="13"/>
  <c r="C85" i="13"/>
  <c r="D85" i="13"/>
  <c r="C310" i="13"/>
  <c r="D310" i="13"/>
  <c r="E310" i="13"/>
  <c r="E216" i="13"/>
  <c r="D216" i="13"/>
  <c r="C216" i="13"/>
  <c r="E82" i="13"/>
  <c r="C82" i="13"/>
  <c r="D82" i="13"/>
  <c r="D185" i="13"/>
  <c r="C185" i="13"/>
  <c r="E185" i="13"/>
  <c r="D75" i="13"/>
  <c r="E75" i="13"/>
  <c r="C75" i="13"/>
  <c r="E87" i="13"/>
  <c r="C87" i="13"/>
  <c r="D87" i="13"/>
  <c r="D32" i="13"/>
  <c r="C32" i="13"/>
  <c r="E32" i="13"/>
  <c r="C146" i="13"/>
  <c r="D146" i="13"/>
  <c r="E146" i="13"/>
  <c r="D60" i="13"/>
  <c r="C60" i="13"/>
  <c r="E60" i="13"/>
  <c r="C83" i="13"/>
  <c r="E83" i="13"/>
  <c r="D83" i="13"/>
  <c r="E90" i="13"/>
  <c r="C90" i="13"/>
  <c r="D90" i="13"/>
  <c r="E112" i="13"/>
  <c r="D112" i="13"/>
  <c r="C112" i="13"/>
  <c r="D199" i="13"/>
  <c r="C199" i="13"/>
  <c r="E199" i="13"/>
  <c r="E296" i="13"/>
  <c r="C296" i="13"/>
  <c r="D296" i="13"/>
  <c r="C18" i="13"/>
  <c r="E18" i="13"/>
  <c r="D18" i="13"/>
  <c r="C114" i="13"/>
  <c r="E114" i="13"/>
  <c r="D114" i="13"/>
  <c r="D84" i="13"/>
  <c r="E84" i="13"/>
  <c r="C84" i="13"/>
  <c r="D42" i="13"/>
  <c r="C42" i="13"/>
  <c r="E42" i="13"/>
  <c r="D207" i="13"/>
  <c r="E207" i="13"/>
  <c r="C207" i="13"/>
  <c r="E124" i="13"/>
  <c r="D124" i="13"/>
  <c r="C124" i="13"/>
  <c r="E158" i="13"/>
  <c r="D158" i="13"/>
  <c r="C158" i="13"/>
  <c r="E304" i="13"/>
  <c r="D304" i="13"/>
  <c r="C304" i="13"/>
  <c r="E43" i="13"/>
  <c r="D43" i="13"/>
  <c r="C43" i="13"/>
  <c r="E279" i="13"/>
  <c r="C279" i="13"/>
  <c r="D279" i="13"/>
  <c r="E260" i="13"/>
  <c r="C260" i="13"/>
  <c r="D260" i="13"/>
  <c r="D169" i="13"/>
  <c r="C169" i="13"/>
  <c r="E169" i="13"/>
  <c r="D53" i="13"/>
  <c r="E53" i="13"/>
  <c r="C53" i="13"/>
  <c r="E195" i="13"/>
  <c r="D195" i="13"/>
  <c r="C195" i="13"/>
  <c r="E160" i="13"/>
  <c r="C160" i="13"/>
  <c r="D160" i="13"/>
  <c r="C275" i="13"/>
  <c r="E275" i="13"/>
  <c r="D275" i="13"/>
  <c r="E13" i="13"/>
  <c r="D13" i="13"/>
  <c r="C13" i="13"/>
  <c r="D255" i="13"/>
  <c r="E255" i="13"/>
  <c r="C255" i="13"/>
  <c r="E135" i="13"/>
  <c r="C135" i="13"/>
  <c r="D135" i="13"/>
  <c r="C294" i="13"/>
  <c r="E294" i="13"/>
  <c r="D294" i="13"/>
  <c r="D38" i="13"/>
  <c r="C38" i="13"/>
  <c r="E38" i="13"/>
  <c r="C256" i="13"/>
  <c r="E256" i="13"/>
  <c r="D256" i="13"/>
  <c r="C98" i="13"/>
  <c r="E98" i="13"/>
  <c r="D98" i="13"/>
  <c r="C162" i="13"/>
  <c r="E162" i="13"/>
  <c r="D162" i="13"/>
  <c r="C89" i="13"/>
  <c r="D89" i="13"/>
  <c r="E89" i="13"/>
  <c r="D48" i="13"/>
  <c r="E48" i="13"/>
  <c r="C48" i="13"/>
  <c r="E156" i="13"/>
  <c r="D156" i="13"/>
  <c r="C156" i="13"/>
  <c r="E136" i="13"/>
  <c r="D136" i="13"/>
  <c r="C136" i="13"/>
  <c r="C257" i="13"/>
  <c r="D257" i="13"/>
  <c r="E257" i="13"/>
  <c r="C164" i="13"/>
  <c r="D164" i="13"/>
  <c r="E164" i="13"/>
  <c r="E150" i="13"/>
  <c r="C150" i="13"/>
  <c r="D150" i="13"/>
  <c r="D93" i="13"/>
  <c r="C93" i="13"/>
  <c r="E93" i="13"/>
  <c r="D171" i="13"/>
  <c r="E171" i="13"/>
  <c r="C171" i="13"/>
  <c r="D139" i="13"/>
  <c r="C139" i="13"/>
  <c r="E139" i="13"/>
  <c r="D15" i="13"/>
  <c r="C15" i="13"/>
  <c r="E15" i="13"/>
  <c r="D172" i="13"/>
  <c r="E172" i="13"/>
  <c r="C172" i="13"/>
  <c r="C24" i="13"/>
  <c r="D24" i="13"/>
  <c r="E24" i="13"/>
  <c r="C204" i="13"/>
  <c r="E204" i="13"/>
  <c r="D204" i="13"/>
  <c r="C41" i="13"/>
  <c r="D41" i="13"/>
  <c r="E41" i="13"/>
  <c r="E168" i="13"/>
  <c r="C168" i="13"/>
  <c r="D168" i="13"/>
  <c r="D252" i="13"/>
  <c r="C252" i="13"/>
  <c r="E252" i="13"/>
  <c r="E40" i="13"/>
  <c r="D40" i="13"/>
  <c r="C40" i="13"/>
  <c r="C148" i="13"/>
  <c r="E148" i="13"/>
  <c r="D148" i="13"/>
  <c r="C97" i="13"/>
  <c r="D97" i="13"/>
  <c r="E97" i="13"/>
  <c r="D253" i="13"/>
  <c r="C253" i="13"/>
  <c r="E253" i="13"/>
  <c r="E258" i="13"/>
  <c r="D258" i="13"/>
  <c r="C258" i="13"/>
  <c r="D298" i="13"/>
  <c r="E298" i="13"/>
  <c r="C298" i="13"/>
  <c r="D286" i="13"/>
  <c r="C286" i="13"/>
  <c r="E286" i="13"/>
  <c r="D27" i="13"/>
  <c r="C27" i="13"/>
  <c r="E27" i="13"/>
  <c r="D191" i="13"/>
  <c r="C191" i="13"/>
  <c r="E191" i="13"/>
  <c r="D23" i="13"/>
  <c r="C23" i="13"/>
  <c r="E23" i="13"/>
  <c r="E188" i="13"/>
  <c r="D188" i="13"/>
  <c r="C188" i="13"/>
  <c r="C51" i="13"/>
  <c r="D51" i="13"/>
  <c r="E51" i="13"/>
  <c r="D307" i="13"/>
  <c r="C307" i="13"/>
  <c r="E307" i="13"/>
  <c r="C118" i="13"/>
  <c r="D118" i="13"/>
  <c r="E118" i="13"/>
  <c r="D55" i="13"/>
  <c r="E55" i="13"/>
  <c r="C55" i="13"/>
  <c r="D140" i="13"/>
  <c r="C140" i="13"/>
  <c r="E140" i="13"/>
  <c r="D236" i="13"/>
  <c r="E236" i="13"/>
  <c r="C236" i="13"/>
  <c r="E92" i="13"/>
  <c r="C92" i="13"/>
  <c r="D92" i="13"/>
  <c r="D202" i="13"/>
  <c r="E202" i="13"/>
  <c r="C202" i="13"/>
  <c r="D65" i="13"/>
  <c r="C65" i="13"/>
  <c r="E65" i="13"/>
  <c r="E251" i="13"/>
  <c r="C251" i="13"/>
  <c r="D251" i="13"/>
  <c r="E117" i="13"/>
  <c r="D117" i="13"/>
  <c r="C117" i="13"/>
  <c r="D163" i="13"/>
  <c r="C163" i="13"/>
  <c r="E163" i="13"/>
  <c r="D230" i="13"/>
  <c r="C230" i="13"/>
  <c r="E230" i="13"/>
  <c r="E176" i="13"/>
  <c r="C176" i="13"/>
  <c r="D176" i="13"/>
  <c r="C250" i="13"/>
  <c r="D250" i="13"/>
  <c r="E250" i="13"/>
  <c r="D129" i="13"/>
  <c r="E129" i="13"/>
  <c r="C129" i="13"/>
  <c r="E12" i="13"/>
  <c r="C12" i="13"/>
  <c r="D12" i="13"/>
  <c r="D193" i="13"/>
  <c r="C193" i="13"/>
  <c r="E193" i="13"/>
  <c r="E237" i="13"/>
  <c r="D237" i="13"/>
  <c r="C237" i="13"/>
  <c r="D54" i="13"/>
  <c r="C54" i="13"/>
  <c r="E54" i="13"/>
  <c r="D91" i="13"/>
  <c r="E91" i="13"/>
  <c r="C91" i="13"/>
  <c r="C276" i="13"/>
  <c r="D276" i="13"/>
  <c r="E276" i="13"/>
  <c r="E222" i="13"/>
  <c r="D222" i="13"/>
  <c r="C222" i="13"/>
  <c r="E19" i="13"/>
  <c r="C19" i="13"/>
  <c r="D19" i="13"/>
  <c r="D196" i="13"/>
  <c r="E196" i="13"/>
  <c r="C196" i="13"/>
  <c r="E244" i="13"/>
  <c r="D244" i="13"/>
  <c r="C244" i="13"/>
  <c r="C270" i="13"/>
  <c r="E270" i="13"/>
  <c r="D270" i="13"/>
  <c r="C125" i="13"/>
  <c r="E125" i="13"/>
  <c r="D125" i="13"/>
  <c r="E100" i="13"/>
  <c r="C100" i="13"/>
  <c r="D100" i="13"/>
  <c r="D220" i="13"/>
  <c r="E220" i="13"/>
  <c r="C220" i="13"/>
  <c r="E103" i="13"/>
  <c r="C103" i="13"/>
  <c r="D103" i="13"/>
  <c r="D52" i="13"/>
  <c r="C52" i="13"/>
  <c r="E52" i="13"/>
  <c r="D80" i="13"/>
  <c r="C80" i="13"/>
  <c r="E80" i="13"/>
  <c r="E299" i="13"/>
  <c r="D299" i="13"/>
  <c r="C299" i="13"/>
  <c r="D289" i="13"/>
  <c r="E289" i="13"/>
  <c r="C289" i="13"/>
  <c r="E116" i="13"/>
  <c r="D116" i="13"/>
  <c r="C116" i="13"/>
  <c r="D70" i="13"/>
  <c r="C70" i="13"/>
  <c r="E70" i="13"/>
  <c r="E277" i="13"/>
  <c r="D277" i="13"/>
  <c r="C277" i="13"/>
  <c r="E192" i="13"/>
  <c r="C192" i="13"/>
  <c r="D192" i="13"/>
  <c r="C182" i="13"/>
  <c r="E182" i="13"/>
  <c r="D182" i="13"/>
  <c r="E151" i="13"/>
  <c r="D151" i="13"/>
  <c r="C151" i="13"/>
  <c r="E295" i="13"/>
  <c r="C295" i="13"/>
  <c r="D295" i="13"/>
  <c r="E153" i="13"/>
  <c r="D153" i="13"/>
  <c r="C153" i="13"/>
  <c r="D31" i="13"/>
  <c r="E31" i="13"/>
  <c r="C31" i="13"/>
  <c r="C58" i="13"/>
  <c r="E58" i="13"/>
  <c r="D58" i="13"/>
  <c r="D246" i="13"/>
  <c r="C246" i="13"/>
  <c r="E246" i="13"/>
  <c r="E186" i="13"/>
  <c r="C186" i="13"/>
  <c r="D186" i="13"/>
  <c r="E308" i="13"/>
  <c r="C308" i="13"/>
  <c r="D308" i="13"/>
  <c r="D303" i="13"/>
  <c r="C303" i="13"/>
  <c r="E303" i="13"/>
  <c r="E22" i="13"/>
  <c r="D22" i="13"/>
  <c r="C22" i="13"/>
  <c r="C215" i="13"/>
  <c r="D215" i="13"/>
  <c r="E215" i="13"/>
  <c r="C245" i="13"/>
  <c r="E245" i="13"/>
  <c r="D245" i="13"/>
  <c r="C273" i="13"/>
  <c r="E273" i="13"/>
  <c r="D273" i="13"/>
  <c r="E86" i="13"/>
  <c r="C86" i="13"/>
  <c r="D86" i="13"/>
  <c r="C44" i="13"/>
  <c r="E44" i="13"/>
  <c r="D44" i="13"/>
  <c r="D128" i="13"/>
  <c r="C128" i="13"/>
  <c r="E128" i="13"/>
  <c r="C242" i="13"/>
  <c r="E242" i="13"/>
  <c r="D242" i="13"/>
  <c r="D271" i="13"/>
  <c r="E271" i="13"/>
  <c r="C271" i="13"/>
  <c r="E50" i="13"/>
  <c r="D50" i="13"/>
  <c r="C50" i="13"/>
  <c r="E284" i="13"/>
  <c r="C284" i="13"/>
  <c r="D284" i="13"/>
  <c r="E159" i="13"/>
  <c r="D159" i="13"/>
  <c r="C159" i="13"/>
  <c r="C49" i="13"/>
  <c r="D49" i="13"/>
  <c r="E49" i="13"/>
  <c r="E66" i="13"/>
  <c r="C66" i="13"/>
  <c r="D66" i="13"/>
  <c r="D261" i="13"/>
  <c r="C261" i="13"/>
  <c r="E261" i="13"/>
  <c r="C214" i="13"/>
  <c r="D214" i="13"/>
  <c r="E214" i="13"/>
  <c r="C268" i="13"/>
  <c r="D268" i="13"/>
  <c r="E268" i="13"/>
  <c r="D292" i="13"/>
  <c r="E292" i="13"/>
  <c r="C292" i="13"/>
  <c r="D305" i="13"/>
  <c r="C305" i="13"/>
  <c r="E305" i="13"/>
  <c r="D34" i="13"/>
  <c r="C34" i="13"/>
  <c r="E34" i="13"/>
  <c r="D74" i="13"/>
  <c r="C74" i="13"/>
  <c r="E74" i="13"/>
  <c r="D110" i="13"/>
  <c r="E110" i="13"/>
  <c r="C110" i="13"/>
  <c r="C133" i="13"/>
  <c r="D133" i="13"/>
  <c r="E133" i="13"/>
</calcChain>
</file>

<file path=xl/sharedStrings.xml><?xml version="1.0" encoding="utf-8"?>
<sst xmlns="http://schemas.openxmlformats.org/spreadsheetml/2006/main" count="3665" uniqueCount="279">
  <si>
    <t>Contact Person:</t>
  </si>
  <si>
    <t>Telephone #:</t>
  </si>
  <si>
    <t>version #1</t>
  </si>
  <si>
    <t>version #2</t>
  </si>
  <si>
    <t>version #3</t>
  </si>
  <si>
    <t>version #4</t>
  </si>
  <si>
    <t>version #5</t>
  </si>
  <si>
    <t>version #6</t>
  </si>
  <si>
    <t>version #7</t>
  </si>
  <si>
    <t xml:space="preserve">County: </t>
  </si>
  <si>
    <t xml:space="preserve">Version #: </t>
  </si>
  <si>
    <t>version #8</t>
  </si>
  <si>
    <t>version #9</t>
  </si>
  <si>
    <t>version #10</t>
  </si>
  <si>
    <t>version #11</t>
  </si>
  <si>
    <t>version #12</t>
  </si>
  <si>
    <t>Collections Quarterly Report Form for CCOC</t>
  </si>
  <si>
    <t>Control Groups</t>
  </si>
  <si>
    <t>Qtr 1</t>
  </si>
  <si>
    <t>Qtr 2</t>
  </si>
  <si>
    <t>Qtr 3</t>
  </si>
  <si>
    <t>Qtr 4</t>
  </si>
  <si>
    <t>Qtr 5</t>
  </si>
  <si>
    <t>C = Cumulative Collections</t>
  </si>
  <si>
    <t>A = Amount Assessed - Adjusted</t>
  </si>
  <si>
    <t xml:space="preserve">CR = Collection Rate </t>
  </si>
  <si>
    <t>CR = Collection Rate</t>
  </si>
  <si>
    <t>Court/Case Type:</t>
  </si>
  <si>
    <t xml:space="preserve">Report for Quarter Ending: </t>
  </si>
  <si>
    <t>Qtr1 - December</t>
  </si>
  <si>
    <t>Qtr 2 - March</t>
  </si>
  <si>
    <t>Qtr 3 - June</t>
  </si>
  <si>
    <t>Qtr 4 - September</t>
  </si>
  <si>
    <t>Performance Measure Standard:</t>
  </si>
  <si>
    <t>Q1</t>
  </si>
  <si>
    <t>Q2</t>
  </si>
  <si>
    <t>Q3</t>
  </si>
  <si>
    <t>Q4</t>
  </si>
  <si>
    <t>Circuit Criminal</t>
  </si>
  <si>
    <t>County Criminal</t>
  </si>
  <si>
    <t>Juvenile Delinquency</t>
  </si>
  <si>
    <t>Criminal Traffic</t>
  </si>
  <si>
    <t>Circuit Civil</t>
  </si>
  <si>
    <t>County Civil</t>
  </si>
  <si>
    <t>Civil Traffic</t>
  </si>
  <si>
    <t>Probate</t>
  </si>
  <si>
    <t>Family</t>
  </si>
  <si>
    <t>Alachua</t>
  </si>
  <si>
    <t>CountyNames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</si>
  <si>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</si>
  <si>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</si>
  <si>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</si>
  <si>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</si>
  <si>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</si>
  <si>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</si>
  <si>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</si>
  <si>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</si>
  <si>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</si>
  <si>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</si>
  <si>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</si>
  <si>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</si>
  <si>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</si>
  <si>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</si>
  <si>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</si>
  <si>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</si>
  <si>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</si>
  <si>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</si>
  <si>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</si>
  <si>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</si>
  <si>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</si>
  <si>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</si>
  <si>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</si>
  <si>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</si>
  <si>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</si>
  <si>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</si>
  <si>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</si>
  <si>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</si>
  <si>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</si>
  <si>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</si>
  <si>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</si>
  <si>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</si>
  <si>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</si>
  <si>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</si>
  <si>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</si>
  <si>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</si>
  <si>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</si>
  <si>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</si>
  <si>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</si>
  <si>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</si>
  <si>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</si>
  <si>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</si>
  <si>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</si>
  <si>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</si>
  <si>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</si>
  <si>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</si>
  <si>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</si>
  <si>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</si>
  <si>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</si>
  <si>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</si>
  <si>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</si>
  <si>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</si>
  <si>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</si>
  <si>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</si>
  <si>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</si>
  <si>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</si>
  <si>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</si>
  <si>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</si>
  <si>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</si>
  <si>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</si>
  <si>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</si>
  <si>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</si>
  <si>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</si>
  <si>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</si>
  <si>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</si>
  <si>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</si>
  <si>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Email:</t>
  </si>
  <si>
    <t>CountyName</t>
  </si>
  <si>
    <t>CourtType</t>
  </si>
  <si>
    <t>AssessedQ1</t>
  </si>
  <si>
    <t>AssessedQ2</t>
  </si>
  <si>
    <t>AssessedQ3</t>
  </si>
  <si>
    <t>AssessedQ4</t>
  </si>
  <si>
    <t>CollectedQ1</t>
  </si>
  <si>
    <t>CollectedQ2</t>
  </si>
  <si>
    <t>CollectedQ3</t>
  </si>
  <si>
    <t>CollectedQ4</t>
  </si>
  <si>
    <t>LookupType</t>
  </si>
  <si>
    <t>State Fiscal Year 2010-11</t>
  </si>
  <si>
    <t>Issue</t>
  </si>
  <si>
    <t>Calc 1 Needed</t>
  </si>
  <si>
    <t>Calc 2 Needed</t>
  </si>
  <si>
    <t>Calc 3 Needed</t>
  </si>
  <si>
    <t>Calc 4 Needed</t>
  </si>
  <si>
    <t>Collections amount decreased from prior quarter</t>
  </si>
  <si>
    <t>Assessment amount increased from prior quarter</t>
  </si>
  <si>
    <t>Corrective Action Tab</t>
  </si>
  <si>
    <t>Item #</t>
  </si>
  <si>
    <t>Court Type</t>
  </si>
  <si>
    <t>Control Group</t>
  </si>
  <si>
    <t>Standard</t>
  </si>
  <si>
    <t>Cause</t>
  </si>
  <si>
    <t>Corrective Action</t>
  </si>
  <si>
    <t>Timeframe for Rectification</t>
  </si>
  <si>
    <t>Max All</t>
  </si>
  <si>
    <t>Max 1</t>
  </si>
  <si>
    <t>Max 2</t>
  </si>
  <si>
    <t>Max 3</t>
  </si>
  <si>
    <t>Max 4</t>
  </si>
  <si>
    <t>Max 5</t>
  </si>
  <si>
    <t>Max 6</t>
  </si>
  <si>
    <t>Max 7</t>
  </si>
  <si>
    <t>Max 8</t>
  </si>
  <si>
    <t>Tab</t>
  </si>
  <si>
    <t>Item Num</t>
  </si>
  <si>
    <t>Need CAP</t>
  </si>
  <si>
    <t>Cause List</t>
  </si>
  <si>
    <t>Corrective Action List</t>
  </si>
  <si>
    <t>Timeframe List</t>
  </si>
  <si>
    <t>System Error: Data Entry Error in System</t>
  </si>
  <si>
    <t>System Error: System is unable to process according to business rules</t>
  </si>
  <si>
    <t>Returned Checks</t>
  </si>
  <si>
    <t>Economic Factors: Short-staffed and unable to push collection effort</t>
  </si>
  <si>
    <t>Economic Factors: Population Area primarily not able to pay due to current economic status</t>
  </si>
  <si>
    <t>Judicial Waivers were unusually large</t>
  </si>
  <si>
    <t>Large case outside of the norm (generally drug seizure case)</t>
  </si>
  <si>
    <t>Notes</t>
  </si>
  <si>
    <t>Payment Plan Extensions causing decrease in Collections</t>
  </si>
  <si>
    <t>3 months, will revise report</t>
  </si>
  <si>
    <t>1 month, will revise report</t>
  </si>
  <si>
    <t>6 months, will revise report</t>
  </si>
  <si>
    <t>9 months, will revise report</t>
  </si>
  <si>
    <t>No timeframe needed as issue has resolved itself</t>
  </si>
  <si>
    <t>1 month, no report revision</t>
  </si>
  <si>
    <t>3 months,  no report revision</t>
  </si>
  <si>
    <t>6 months, no report revision</t>
  </si>
  <si>
    <t>9 months, no report revision</t>
  </si>
  <si>
    <t>1 year, will revise report</t>
  </si>
  <si>
    <t>1 year, no report revision</t>
  </si>
  <si>
    <t>18 months, will revise report</t>
  </si>
  <si>
    <t>18 months, no report revision</t>
  </si>
  <si>
    <t>2+ years, will revise report</t>
  </si>
  <si>
    <t>2+ years, no report revision</t>
  </si>
  <si>
    <t>AssessedQ5</t>
  </si>
  <si>
    <t>CollectedQ5</t>
  </si>
  <si>
    <t>Other (Detail in Notes)</t>
  </si>
  <si>
    <t>Reason Code</t>
  </si>
  <si>
    <t>Quarter</t>
  </si>
  <si>
    <t>Action Plan</t>
  </si>
  <si>
    <t>Economy</t>
  </si>
  <si>
    <t>Incarcerations</t>
  </si>
  <si>
    <t>Current Actions to Improve</t>
  </si>
  <si>
    <t>Late/Non-pay/Pay Plans</t>
  </si>
  <si>
    <t>Other</t>
  </si>
  <si>
    <t>Procedural</t>
  </si>
  <si>
    <t>Systems</t>
  </si>
  <si>
    <t>Performance Measure</t>
  </si>
  <si>
    <t>CCOC Standard</t>
  </si>
  <si>
    <t>Clerk Performance</t>
  </si>
  <si>
    <t>Additional Notes Related to Collection Issues</t>
  </si>
  <si>
    <t>September, 2013</t>
  </si>
  <si>
    <t>Mandatory Assessment</t>
  </si>
  <si>
    <t>Staffing - Insufficient Personnel</t>
  </si>
  <si>
    <t>Staffing - Training Required</t>
  </si>
  <si>
    <t>10/01/14 - 12/31/14</t>
  </si>
  <si>
    <t>01/01/15 - 03/31/15</t>
  </si>
  <si>
    <t>04/01/15 - 06/30/15</t>
  </si>
  <si>
    <t>07/01/15 - 09/30/15</t>
  </si>
  <si>
    <t>CGE
CQ1-16</t>
  </si>
  <si>
    <t>CGE
CQ2-16</t>
  </si>
  <si>
    <t>CGE
CQ3-16</t>
  </si>
  <si>
    <t>CGE
CQ4-16</t>
  </si>
  <si>
    <t>RPE 12/31/14</t>
  </si>
  <si>
    <t>RPE 03/31/15</t>
  </si>
  <si>
    <t>RPE 06/30/15</t>
  </si>
  <si>
    <t>RPE 09/30/15</t>
  </si>
  <si>
    <t>Collections Quarterly Action Plan Form for CCOC</t>
  </si>
  <si>
    <t xml:space="preserve">Report for Quarter Ending    </t>
  </si>
  <si>
    <t>Contact</t>
  </si>
  <si>
    <t xml:space="preserve">Version #    </t>
  </si>
  <si>
    <t>Telephone</t>
  </si>
  <si>
    <t xml:space="preserve">County    </t>
  </si>
  <si>
    <t>E-Mail</t>
  </si>
  <si>
    <t>Out of State</t>
  </si>
  <si>
    <t>Business Rules</t>
  </si>
  <si>
    <t>NOTES:</t>
  </si>
  <si>
    <t xml:space="preserve">Note: The Collection and Amount Assessed are subsets of the entire dollars posted in the Circuit Criminal Court Division tab . </t>
  </si>
  <si>
    <t>Circuit Criminal Drug Trafficking Cases -- Not included in Corrective Action Plan</t>
  </si>
  <si>
    <t xml:space="preserve">This break-out is in response to CCOC Executive Council direction to isolate criminal drug trafficking case collection rates and mirrors the efforts within the FCCC Collections and Assessment report. </t>
  </si>
  <si>
    <r>
      <rPr>
        <b/>
        <sz val="11"/>
        <rFont val="Arial"/>
        <family val="2"/>
      </rPr>
      <t>Purpose of Report:</t>
    </r>
    <r>
      <rPr>
        <sz val="11"/>
        <rFont val="Arial"/>
        <family val="2"/>
      </rPr>
      <t xml:space="preserve">  The CCOC Collection Rate Performance Measure     report tracks dollars in the quarter they are assessed and then how well     those assessed dollars have been collected over the next five quarters.</t>
    </r>
    <r>
      <rPr>
        <b/>
        <sz val="11"/>
        <rFont val="Arial"/>
        <family val="2"/>
      </rPr>
      <t xml:space="preserve">  </t>
    </r>
  </si>
  <si>
    <t>The following conditions will alert when performance standards are not met and/or established business rules within the control group are not followed.</t>
  </si>
  <si>
    <r>
      <t xml:space="preserve">2.) </t>
    </r>
    <r>
      <rPr>
        <b/>
        <sz val="11"/>
        <rFont val="Arial"/>
        <family val="2"/>
      </rPr>
      <t>Additional Notes Related to Collection Issues:</t>
    </r>
    <r>
      <rPr>
        <sz val="11"/>
        <rFont val="Arial"/>
        <family val="2"/>
      </rPr>
      <t xml:space="preserve"> Include a brief explaination when either of the following conditions not consistant with the Collection Report Business Rules. </t>
    </r>
  </si>
  <si>
    <r>
      <t>a.) Cumulative Collection amount has</t>
    </r>
    <r>
      <rPr>
        <b/>
        <sz val="11"/>
        <rFont val="Arial"/>
        <family val="2"/>
      </rPr>
      <t xml:space="preserve"> Decreased</t>
    </r>
    <r>
      <rPr>
        <sz val="11"/>
        <rFont val="Arial"/>
        <family val="2"/>
      </rPr>
      <t xml:space="preserve"> from the previous quarter in the same Control Group (</t>
    </r>
    <r>
      <rPr>
        <sz val="11"/>
        <color rgb="FFFF0000"/>
        <rFont val="Arial"/>
        <family val="2"/>
      </rPr>
      <t>font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color for amount</t>
    </r>
    <r>
      <rPr>
        <sz val="11"/>
        <rFont val="Arial"/>
        <family val="2"/>
      </rPr>
      <t xml:space="preserve"> will change to </t>
    </r>
    <r>
      <rPr>
        <b/>
        <sz val="11"/>
        <color rgb="FFFF0000"/>
        <rFont val="Arial"/>
        <family val="2"/>
      </rPr>
      <t>RED</t>
    </r>
    <r>
      <rPr>
        <sz val="11"/>
        <rFont val="Arial"/>
        <family val="2"/>
      </rPr>
      <t>)</t>
    </r>
  </si>
  <si>
    <r>
      <t xml:space="preserve">b.) The Amount Assessed - Adjusted has </t>
    </r>
    <r>
      <rPr>
        <b/>
        <sz val="11"/>
        <rFont val="Arial"/>
        <family val="2"/>
      </rPr>
      <t>Increased</t>
    </r>
    <r>
      <rPr>
        <sz val="11"/>
        <rFont val="Arial"/>
        <family val="2"/>
      </rPr>
      <t xml:space="preserve"> from the previous quarter in the same Control Group (</t>
    </r>
    <r>
      <rPr>
        <sz val="11"/>
        <color rgb="FFFF0000"/>
        <rFont val="Arial"/>
        <family val="2"/>
      </rPr>
      <t>font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color for amount</t>
    </r>
    <r>
      <rPr>
        <sz val="11"/>
        <rFont val="Arial"/>
        <family val="2"/>
      </rPr>
      <t xml:space="preserve"> will change to </t>
    </r>
    <r>
      <rPr>
        <b/>
        <sz val="11"/>
        <color rgb="FFFF0000"/>
        <rFont val="Arial"/>
        <family val="2"/>
      </rPr>
      <t>RED</t>
    </r>
    <r>
      <rPr>
        <sz val="11"/>
        <rFont val="Arial"/>
        <family val="2"/>
      </rPr>
      <t>)</t>
    </r>
  </si>
  <si>
    <r>
      <rPr>
        <b/>
        <u/>
        <sz val="11"/>
        <rFont val="Arial"/>
        <family val="2"/>
      </rPr>
      <t>Adjustments to Assessments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The amount assessed in a given assessment control group should be adjusted in the reporting period when assessments are later adjusted by the Court or other provisions of law.  </t>
    </r>
  </si>
  <si>
    <r>
      <t xml:space="preserve">1.) </t>
    </r>
    <r>
      <rPr>
        <b/>
        <sz val="11"/>
        <rFont val="Arial"/>
        <family val="2"/>
      </rPr>
      <t>Action Plan:</t>
    </r>
    <r>
      <rPr>
        <sz val="11"/>
        <rFont val="Arial"/>
        <family val="2"/>
      </rPr>
      <t xml:space="preserve"> If the 5th quarter Collection Rate is below Standard (</t>
    </r>
    <r>
      <rPr>
        <sz val="11"/>
        <color rgb="FFFF0000"/>
        <rFont val="Arial"/>
        <family val="2"/>
      </rPr>
      <t>red numbers</t>
    </r>
    <r>
      <rPr>
        <sz val="11"/>
        <rFont val="Arial"/>
        <family val="2"/>
      </rPr>
      <t xml:space="preserve"> on rose background), select a "Reason Code" and write a brief statement in "Current Action to Improve" in the green area ONLY. </t>
    </r>
  </si>
  <si>
    <t>CGECQ116</t>
  </si>
  <si>
    <t>CGECQ216</t>
  </si>
  <si>
    <t>CGECQ316</t>
  </si>
  <si>
    <t>CGECQ416</t>
  </si>
  <si>
    <t>.9041.</t>
  </si>
  <si>
    <t>County Fiscal Year 2015 - 2016</t>
  </si>
  <si>
    <t>County Fiscal Year 2015-2016</t>
  </si>
  <si>
    <t>Internal</t>
  </si>
  <si>
    <t>External</t>
  </si>
  <si>
    <t>10/01/15 - 12/31/15</t>
  </si>
  <si>
    <t>01/01/16 - 03/31/16</t>
  </si>
  <si>
    <t>04/01/16 - 06/30/16</t>
  </si>
  <si>
    <t>07/01/16 - 09/30/16</t>
  </si>
  <si>
    <t>REQUIRED: Reason Codes AND Action to Improve / Descriptions Required if Measure(s) Not Met</t>
  </si>
  <si>
    <r>
      <rPr>
        <b/>
        <u/>
        <sz val="11"/>
        <rFont val="Arial"/>
        <family val="2"/>
      </rPr>
      <t>Internal:</t>
    </r>
    <r>
      <rPr>
        <sz val="11"/>
        <rFont val="Arial"/>
        <family val="2"/>
      </rPr>
      <t xml:space="preserve"> Must clarify reason AND expected duration internal reason will be resolved</t>
    </r>
  </si>
  <si>
    <r>
      <rPr>
        <b/>
        <u/>
        <sz val="11"/>
        <rFont val="Arial"/>
        <family val="2"/>
      </rPr>
      <t>External:</t>
    </r>
    <r>
      <rPr>
        <sz val="11"/>
        <rFont val="Arial"/>
        <family val="2"/>
      </rPr>
      <t xml:space="preserve"> Detailed explanation of external reason the measure wasn't met </t>
    </r>
  </si>
  <si>
    <t>Collections Quarterly Report Form</t>
  </si>
  <si>
    <t>December 2015</t>
  </si>
  <si>
    <t>March 2016</t>
  </si>
  <si>
    <t>June 2016</t>
  </si>
  <si>
    <t>September 2016</t>
  </si>
  <si>
    <t>CGE 
CQ2-16</t>
  </si>
  <si>
    <t>CGE
CQ1-17</t>
  </si>
  <si>
    <t>CGE
CQ2-17</t>
  </si>
  <si>
    <t>CGE
CQ3-17</t>
  </si>
  <si>
    <t>CGE
CQ4-17</t>
  </si>
  <si>
    <t>RPE 12/31/15</t>
  </si>
  <si>
    <t>RPE 03/31/16</t>
  </si>
  <si>
    <t>RPE 06/30/16</t>
  </si>
  <si>
    <t>RPE 09/30/16</t>
  </si>
  <si>
    <t>Circuit Criminal Drug Cases</t>
  </si>
  <si>
    <t>Circuit Criminal Less Drug Trafficking Results</t>
  </si>
  <si>
    <t>Assessment</t>
  </si>
  <si>
    <t>Collection</t>
  </si>
  <si>
    <t>Adj. Cir Crim Rate</t>
  </si>
  <si>
    <t>3.) To see Circuit Criminal Collection Rate LESS Drug Trafficking assessment and collection dollars, please see Drug Trafficking tab/page.</t>
  </si>
  <si>
    <t>1.) There is no agreed standard for this tab because it is a sub-set of the Circuit Criminal Court Division measures.</t>
  </si>
  <si>
    <t>2.) Circuit Criminal LESS Drug Trafficking Rate will not be calculated until all 5 quarters of data is reported.</t>
  </si>
  <si>
    <t>Circuit Criminal Drug Trafficking  Cases</t>
  </si>
  <si>
    <t>Michelle Levar</t>
  </si>
  <si>
    <t>321-633-7782</t>
  </si>
  <si>
    <t>michelle.levar@brevardclerk.us</t>
  </si>
  <si>
    <t>The standard was not met despite pursuit of all collection efforts within the control fo the Clerk.  By the end if this fiscal year, we anticipate a change by the judiciary which will require payment on the day of sentencing with direction to either pay in full or enroll in a payment plan.</t>
  </si>
  <si>
    <t>The standard was not met despite pursuit of all collection efforts within the control the Clerk.  By the end of this fiscal year, we anticipate a change by the judiciary which will require payment on the day of sentencing with direction to either pay in full or enroll in a payment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</si>
</sst>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11"/>
      <color indexed="5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8"/>
      <color indexed="5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0"/>
      <name val="Arial"/>
      <family val="2"/>
    </font>
    <font>
      <b/>
      <sz val="18"/>
      <color rgb="FFFF000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19" fillId="0" borderId="0"/>
    <xf numFmtId="0" fontId="24" fillId="0" borderId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4" fontId="4" fillId="0" borderId="0" xfId="0" applyNumberFormat="1" applyFont="1" applyFill="1" applyBorder="1" applyProtection="1">
      <protection hidden="1"/>
    </xf>
    <xf numFmtId="44" fontId="6" fillId="0" borderId="0" xfId="0" applyNumberFormat="1" applyFont="1" applyBorder="1" applyProtection="1">
      <protection hidden="1"/>
    </xf>
    <xf numFmtId="164" fontId="4" fillId="0" borderId="0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4" fontId="5" fillId="0" borderId="0" xfId="0" applyNumberFormat="1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" fillId="0" borderId="1" xfId="0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2" fillId="0" borderId="0" xfId="0" applyFont="1" applyProtection="1"/>
    <xf numFmtId="0" fontId="11" fillId="0" borderId="0" xfId="0" applyFont="1" applyFill="1" applyBorder="1" applyProtection="1"/>
    <xf numFmtId="9" fontId="4" fillId="0" borderId="5" xfId="0" applyNumberFormat="1" applyFont="1" applyBorder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1" fillId="2" borderId="8" xfId="0" applyFont="1" applyFill="1" applyBorder="1" applyProtection="1">
      <protection hidden="1"/>
    </xf>
    <xf numFmtId="0" fontId="11" fillId="2" borderId="5" xfId="0" applyFont="1" applyFill="1" applyBorder="1" applyProtection="1">
      <protection hidden="1"/>
    </xf>
    <xf numFmtId="0" fontId="11" fillId="2" borderId="9" xfId="0" applyFont="1" applyFill="1" applyBorder="1" applyProtection="1">
      <protection hidden="1"/>
    </xf>
    <xf numFmtId="0" fontId="11" fillId="2" borderId="1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37" fontId="6" fillId="0" borderId="0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9" fontId="4" fillId="0" borderId="0" xfId="0" applyNumberFormat="1" applyFont="1" applyBorder="1" applyProtection="1">
      <protection hidden="1"/>
    </xf>
    <xf numFmtId="9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9" fontId="4" fillId="0" borderId="0" xfId="4" applyFont="1" applyProtection="1">
      <protection hidden="1"/>
    </xf>
    <xf numFmtId="10" fontId="4" fillId="0" borderId="0" xfId="0" applyNumberFormat="1" applyFont="1" applyProtection="1">
      <protection hidden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25" fillId="0" borderId="0" xfId="0" applyFont="1" applyAlignment="1" applyProtection="1">
      <alignment vertical="center" wrapText="1"/>
      <protection hidden="1"/>
    </xf>
    <xf numFmtId="0" fontId="25" fillId="0" borderId="0" xfId="0" applyFont="1" applyAlignment="1">
      <alignment vertical="center" wrapText="1"/>
    </xf>
    <xf numFmtId="0" fontId="26" fillId="6" borderId="0" xfId="0" applyFont="1" applyFill="1"/>
    <xf numFmtId="0" fontId="27" fillId="6" borderId="0" xfId="0" applyFont="1" applyFill="1" applyAlignment="1" applyProtection="1">
      <alignment horizontal="center" vertical="center"/>
      <protection hidden="1"/>
    </xf>
    <xf numFmtId="0" fontId="27" fillId="6" borderId="0" xfId="0" applyFont="1" applyFill="1" applyAlignment="1" applyProtection="1">
      <alignment horizontal="center" vertical="center" wrapText="1"/>
      <protection hidden="1"/>
    </xf>
    <xf numFmtId="0" fontId="28" fillId="0" borderId="0" xfId="0" applyFont="1" applyProtection="1">
      <protection hidden="1"/>
    </xf>
    <xf numFmtId="0" fontId="29" fillId="0" borderId="0" xfId="0" applyFont="1" applyProtection="1">
      <protection hidden="1"/>
    </xf>
    <xf numFmtId="166" fontId="11" fillId="7" borderId="13" xfId="0" applyNumberFormat="1" applyFont="1" applyFill="1" applyBorder="1" applyProtection="1">
      <protection locked="0"/>
    </xf>
    <xf numFmtId="0" fontId="0" fillId="8" borderId="6" xfId="0" applyFill="1" applyBorder="1"/>
    <xf numFmtId="0" fontId="0" fillId="8" borderId="8" xfId="0" applyFill="1" applyBorder="1"/>
    <xf numFmtId="7" fontId="20" fillId="8" borderId="6" xfId="1" applyNumberFormat="1" applyFill="1" applyBorder="1"/>
    <xf numFmtId="7" fontId="0" fillId="8" borderId="8" xfId="0" applyNumberFormat="1" applyFill="1" applyBorder="1"/>
    <xf numFmtId="166" fontId="20" fillId="8" borderId="6" xfId="1" applyNumberFormat="1" applyFill="1" applyBorder="1"/>
    <xf numFmtId="166" fontId="0" fillId="8" borderId="8" xfId="0" applyNumberFormat="1" applyFill="1" applyBorder="1"/>
    <xf numFmtId="7" fontId="0" fillId="8" borderId="6" xfId="0" applyNumberFormat="1" applyFill="1" applyBorder="1"/>
    <xf numFmtId="7" fontId="20" fillId="8" borderId="8" xfId="1" applyNumberFormat="1" applyFill="1" applyBorder="1"/>
    <xf numFmtId="0" fontId="0" fillId="8" borderId="0" xfId="0" applyFill="1" applyBorder="1"/>
    <xf numFmtId="7" fontId="20" fillId="8" borderId="0" xfId="1" applyNumberFormat="1" applyFill="1" applyBorder="1"/>
    <xf numFmtId="7" fontId="0" fillId="8" borderId="0" xfId="0" applyNumberFormat="1" applyFill="1" applyBorder="1"/>
    <xf numFmtId="166" fontId="20" fillId="8" borderId="0" xfId="1" applyNumberFormat="1" applyFill="1" applyBorder="1"/>
    <xf numFmtId="0" fontId="20" fillId="8" borderId="8" xfId="1" applyFill="1" applyBorder="1"/>
    <xf numFmtId="0" fontId="0" fillId="8" borderId="2" xfId="0" applyFill="1" applyBorder="1"/>
    <xf numFmtId="7" fontId="20" fillId="8" borderId="2" xfId="1" applyNumberFormat="1" applyFill="1" applyBorder="1"/>
    <xf numFmtId="7" fontId="0" fillId="8" borderId="2" xfId="0" applyNumberFormat="1" applyFill="1" applyBorder="1"/>
    <xf numFmtId="166" fontId="0" fillId="8" borderId="2" xfId="0" applyNumberFormat="1" applyFill="1" applyBorder="1"/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0" fontId="15" fillId="2" borderId="3" xfId="0" applyFont="1" applyFill="1" applyBorder="1" applyAlignment="1" applyProtection="1">
      <alignment vertical="center" wrapText="1"/>
      <protection hidden="1"/>
    </xf>
    <xf numFmtId="0" fontId="15" fillId="2" borderId="5" xfId="0" applyFont="1" applyFill="1" applyBorder="1" applyAlignment="1" applyProtection="1">
      <alignment vertical="center" wrapText="1"/>
      <protection hidden="1"/>
    </xf>
    <xf numFmtId="166" fontId="16" fillId="2" borderId="6" xfId="0" applyNumberFormat="1" applyFont="1" applyFill="1" applyBorder="1" applyProtection="1">
      <protection hidden="1"/>
    </xf>
    <xf numFmtId="10" fontId="17" fillId="2" borderId="3" xfId="0" applyNumberFormat="1" applyFont="1" applyFill="1" applyBorder="1" applyProtection="1">
      <protection hidden="1"/>
    </xf>
    <xf numFmtId="0" fontId="22" fillId="2" borderId="6" xfId="0" applyFont="1" applyFill="1" applyBorder="1" applyProtection="1">
      <protection hidden="1"/>
    </xf>
    <xf numFmtId="0" fontId="11" fillId="0" borderId="6" xfId="0" applyFont="1" applyBorder="1" applyProtection="1">
      <protection hidden="1"/>
    </xf>
    <xf numFmtId="0" fontId="4" fillId="0" borderId="0" xfId="0" applyFont="1" applyFill="1" applyProtection="1">
      <protection hidden="1"/>
    </xf>
    <xf numFmtId="165" fontId="11" fillId="0" borderId="0" xfId="0" applyNumberFormat="1" applyFont="1" applyFill="1" applyBorder="1" applyProtection="1"/>
    <xf numFmtId="10" fontId="11" fillId="0" borderId="0" xfId="0" applyNumberFormat="1" applyFont="1" applyFill="1" applyBorder="1" applyProtection="1"/>
    <xf numFmtId="10" fontId="11" fillId="0" borderId="0" xfId="0" applyNumberFormat="1" applyFont="1" applyFill="1" applyBorder="1" applyProtection="1"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4" xfId="0" applyFont="1" applyFill="1" applyBorder="1" applyAlignment="1" applyProtection="1">
      <alignment horizontal="center"/>
      <protection hidden="1"/>
    </xf>
    <xf numFmtId="0" fontId="11" fillId="2" borderId="14" xfId="0" applyFont="1" applyFill="1" applyBorder="1" applyProtection="1">
      <protection hidden="1"/>
    </xf>
    <xf numFmtId="9" fontId="4" fillId="0" borderId="0" xfId="4" applyFont="1" applyFill="1" applyBorder="1" applyAlignment="1" applyProtection="1">
      <alignment wrapText="1"/>
      <protection hidden="1"/>
    </xf>
    <xf numFmtId="0" fontId="0" fillId="0" borderId="0" xfId="0" applyProtection="1"/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1" fillId="2" borderId="10" xfId="0" applyFont="1" applyFill="1" applyBorder="1" applyProtection="1"/>
    <xf numFmtId="0" fontId="11" fillId="2" borderId="0" xfId="0" applyFont="1" applyFill="1" applyBorder="1" applyProtection="1"/>
    <xf numFmtId="0" fontId="2" fillId="0" borderId="6" xfId="0" applyFont="1" applyBorder="1" applyProtection="1"/>
    <xf numFmtId="0" fontId="11" fillId="2" borderId="6" xfId="0" applyFont="1" applyFill="1" applyBorder="1" applyProtection="1"/>
    <xf numFmtId="0" fontId="11" fillId="2" borderId="17" xfId="0" applyFont="1" applyFill="1" applyBorder="1" applyProtection="1"/>
    <xf numFmtId="0" fontId="10" fillId="0" borderId="12" xfId="0" applyFont="1" applyFill="1" applyBorder="1" applyAlignment="1" applyProtection="1">
      <alignment horizontal="center"/>
    </xf>
    <xf numFmtId="0" fontId="4" fillId="0" borderId="0" xfId="0" applyFont="1" applyProtection="1"/>
    <xf numFmtId="0" fontId="10" fillId="0" borderId="7" xfId="0" applyFont="1" applyFill="1" applyBorder="1" applyAlignment="1" applyProtection="1">
      <alignment horizontal="center"/>
    </xf>
    <xf numFmtId="166" fontId="11" fillId="0" borderId="0" xfId="0" applyNumberFormat="1" applyFont="1" applyFill="1" applyBorder="1" applyProtection="1"/>
    <xf numFmtId="0" fontId="4" fillId="0" borderId="0" xfId="0" applyFont="1" applyBorder="1" applyProtection="1"/>
    <xf numFmtId="164" fontId="4" fillId="0" borderId="0" xfId="0" applyNumberFormat="1" applyFont="1" applyFill="1" applyBorder="1" applyProtection="1"/>
    <xf numFmtId="0" fontId="4" fillId="2" borderId="6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wrapText="1"/>
    </xf>
    <xf numFmtId="0" fontId="11" fillId="0" borderId="6" xfId="0" applyFont="1" applyBorder="1" applyProtection="1"/>
    <xf numFmtId="0" fontId="11" fillId="0" borderId="3" xfId="0" applyFont="1" applyBorder="1" applyProtection="1"/>
    <xf numFmtId="0" fontId="4" fillId="2" borderId="3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wrapText="1"/>
    </xf>
    <xf numFmtId="0" fontId="11" fillId="2" borderId="8" xfId="0" applyFont="1" applyFill="1" applyBorder="1" applyProtection="1"/>
    <xf numFmtId="0" fontId="11" fillId="2" borderId="3" xfId="0" applyFont="1" applyFill="1" applyBorder="1" applyProtection="1"/>
    <xf numFmtId="0" fontId="11" fillId="2" borderId="5" xfId="0" applyFont="1" applyFill="1" applyBorder="1" applyProtection="1"/>
    <xf numFmtId="0" fontId="11" fillId="2" borderId="23" xfId="0" applyFont="1" applyFill="1" applyBorder="1" applyProtection="1"/>
    <xf numFmtId="0" fontId="1" fillId="0" borderId="0" xfId="0" applyFont="1" applyFill="1" applyBorder="1" applyProtection="1"/>
    <xf numFmtId="0" fontId="2" fillId="0" borderId="21" xfId="0" applyFont="1" applyFill="1" applyBorder="1" applyAlignment="1" applyProtection="1">
      <alignment horizontal="center" wrapText="1"/>
    </xf>
    <xf numFmtId="0" fontId="2" fillId="0" borderId="2" xfId="0" applyFont="1" applyBorder="1" applyProtection="1"/>
    <xf numFmtId="0" fontId="5" fillId="0" borderId="0" xfId="0" applyFont="1" applyBorder="1" applyProtection="1"/>
    <xf numFmtId="44" fontId="6" fillId="0" borderId="0" xfId="0" applyNumberFormat="1" applyFont="1" applyBorder="1" applyProtection="1"/>
    <xf numFmtId="0" fontId="11" fillId="0" borderId="2" xfId="0" applyFont="1" applyBorder="1" applyProtection="1"/>
    <xf numFmtId="0" fontId="11" fillId="0" borderId="4" xfId="0" applyFont="1" applyBorder="1" applyProtection="1"/>
    <xf numFmtId="0" fontId="0" fillId="8" borderId="0" xfId="0" applyFill="1"/>
    <xf numFmtId="0" fontId="20" fillId="8" borderId="2" xfId="1" applyFill="1" applyBorder="1"/>
    <xf numFmtId="0" fontId="19" fillId="8" borderId="2" xfId="2" applyFill="1" applyBorder="1"/>
    <xf numFmtId="0" fontId="19" fillId="8" borderId="0" xfId="2" applyFill="1"/>
    <xf numFmtId="0" fontId="20" fillId="8" borderId="0" xfId="1" applyFill="1"/>
    <xf numFmtId="0" fontId="20" fillId="8" borderId="6" xfId="1" applyFill="1" applyBorder="1"/>
    <xf numFmtId="0" fontId="19" fillId="8" borderId="6" xfId="2" applyFill="1" applyBorder="1"/>
    <xf numFmtId="0" fontId="19" fillId="8" borderId="8" xfId="2" applyFill="1" applyBorder="1"/>
    <xf numFmtId="7" fontId="20" fillId="8" borderId="0" xfId="1" applyNumberFormat="1" applyFill="1"/>
    <xf numFmtId="0" fontId="20" fillId="8" borderId="0" xfId="1" applyFill="1" applyBorder="1"/>
    <xf numFmtId="0" fontId="19" fillId="8" borderId="0" xfId="2" applyFill="1" applyBorder="1"/>
    <xf numFmtId="7" fontId="0" fillId="8" borderId="0" xfId="0" applyNumberFormat="1" applyFill="1"/>
    <xf numFmtId="0" fontId="0" fillId="0" borderId="0" xfId="0" applyFill="1"/>
    <xf numFmtId="166" fontId="11" fillId="5" borderId="2" xfId="0" applyNumberFormat="1" applyFont="1" applyFill="1" applyBorder="1" applyProtection="1">
      <protection locked="0"/>
    </xf>
    <xf numFmtId="166" fontId="11" fillId="5" borderId="13" xfId="0" applyNumberFormat="1" applyFont="1" applyFill="1" applyBorder="1" applyProtection="1">
      <protection locked="0"/>
    </xf>
    <xf numFmtId="166" fontId="11" fillId="5" borderId="8" xfId="0" applyNumberFormat="1" applyFont="1" applyFill="1" applyBorder="1" applyProtection="1">
      <protection locked="0"/>
    </xf>
    <xf numFmtId="166" fontId="11" fillId="5" borderId="22" xfId="0" applyNumberFormat="1" applyFont="1" applyFill="1" applyBorder="1" applyProtection="1">
      <protection locked="0"/>
    </xf>
    <xf numFmtId="49" fontId="4" fillId="0" borderId="0" xfId="0" applyNumberFormat="1" applyFont="1" applyProtection="1">
      <protection hidden="1"/>
    </xf>
    <xf numFmtId="0" fontId="4" fillId="0" borderId="0" xfId="0" applyFont="1" applyProtection="1">
      <protection locked="0" hidden="1"/>
    </xf>
    <xf numFmtId="166" fontId="11" fillId="5" borderId="6" xfId="0" applyNumberFormat="1" applyFont="1" applyFill="1" applyBorder="1" applyProtection="1">
      <protection locked="0"/>
    </xf>
    <xf numFmtId="166" fontId="11" fillId="7" borderId="2" xfId="0" applyNumberFormat="1" applyFont="1" applyFill="1" applyBorder="1" applyProtection="1">
      <protection locked="0"/>
    </xf>
    <xf numFmtId="10" fontId="11" fillId="0" borderId="11" xfId="0" applyNumberFormat="1" applyFont="1" applyFill="1" applyBorder="1" applyProtection="1">
      <protection hidden="1"/>
    </xf>
    <xf numFmtId="0" fontId="10" fillId="0" borderId="34" xfId="0" applyFont="1" applyFill="1" applyBorder="1" applyAlignment="1" applyProtection="1">
      <alignment horizontal="center"/>
    </xf>
    <xf numFmtId="0" fontId="10" fillId="0" borderId="35" xfId="0" applyFont="1" applyFill="1" applyBorder="1" applyAlignment="1" applyProtection="1">
      <alignment horizontal="center"/>
    </xf>
    <xf numFmtId="166" fontId="11" fillId="0" borderId="34" xfId="0" applyNumberFormat="1" applyFont="1" applyFill="1" applyBorder="1" applyProtection="1"/>
    <xf numFmtId="166" fontId="11" fillId="0" borderId="35" xfId="0" applyNumberFormat="1" applyFont="1" applyFill="1" applyBorder="1" applyProtection="1"/>
    <xf numFmtId="10" fontId="11" fillId="0" borderId="34" xfId="0" applyNumberFormat="1" applyFont="1" applyFill="1" applyBorder="1" applyProtection="1">
      <protection hidden="1"/>
    </xf>
    <xf numFmtId="10" fontId="11" fillId="0" borderId="35" xfId="0" applyNumberFormat="1" applyFont="1" applyFill="1" applyBorder="1" applyProtection="1">
      <protection hidden="1"/>
    </xf>
    <xf numFmtId="10" fontId="11" fillId="0" borderId="18" xfId="0" applyNumberFormat="1" applyFont="1" applyFill="1" applyBorder="1" applyProtection="1">
      <protection hidden="1"/>
    </xf>
    <xf numFmtId="10" fontId="11" fillId="0" borderId="15" xfId="0" applyNumberFormat="1" applyFont="1" applyFill="1" applyBorder="1" applyProtection="1">
      <protection hidden="1"/>
    </xf>
    <xf numFmtId="0" fontId="10" fillId="0" borderId="18" xfId="0" applyFont="1" applyFill="1" applyBorder="1" applyAlignment="1" applyProtection="1">
      <alignment horizontal="center"/>
      <protection hidden="1"/>
    </xf>
    <xf numFmtId="0" fontId="10" fillId="0" borderId="40" xfId="0" applyFont="1" applyFill="1" applyBorder="1" applyAlignment="1" applyProtection="1">
      <alignment horizontal="center"/>
      <protection hidden="1"/>
    </xf>
    <xf numFmtId="0" fontId="11" fillId="2" borderId="42" xfId="0" applyFont="1" applyFill="1" applyBorder="1" applyProtection="1"/>
    <xf numFmtId="0" fontId="11" fillId="2" borderId="33" xfId="0" applyFont="1" applyFill="1" applyBorder="1" applyProtection="1"/>
    <xf numFmtId="166" fontId="11" fillId="5" borderId="43" xfId="0" applyNumberFormat="1" applyFont="1" applyFill="1" applyBorder="1" applyProtection="1">
      <protection locked="0"/>
    </xf>
    <xf numFmtId="0" fontId="11" fillId="2" borderId="35" xfId="0" applyFont="1" applyFill="1" applyBorder="1" applyProtection="1"/>
    <xf numFmtId="166" fontId="11" fillId="5" borderId="44" xfId="0" applyNumberFormat="1" applyFont="1" applyFill="1" applyBorder="1" applyProtection="1">
      <protection locked="0"/>
    </xf>
    <xf numFmtId="0" fontId="11" fillId="2" borderId="43" xfId="0" applyFont="1" applyFill="1" applyBorder="1" applyProtection="1">
      <protection hidden="1"/>
    </xf>
    <xf numFmtId="0" fontId="11" fillId="2" borderId="17" xfId="0" applyFont="1" applyFill="1" applyBorder="1" applyProtection="1">
      <protection hidden="1"/>
    </xf>
    <xf numFmtId="0" fontId="11" fillId="2" borderId="34" xfId="0" applyFont="1" applyFill="1" applyBorder="1" applyProtection="1">
      <protection hidden="1"/>
    </xf>
    <xf numFmtId="0" fontId="11" fillId="2" borderId="28" xfId="0" applyFont="1" applyFill="1" applyBorder="1" applyProtection="1"/>
    <xf numFmtId="165" fontId="11" fillId="2" borderId="28" xfId="0" applyNumberFormat="1" applyFont="1" applyFill="1" applyBorder="1" applyProtection="1"/>
    <xf numFmtId="10" fontId="11" fillId="2" borderId="45" xfId="0" applyNumberFormat="1" applyFont="1" applyFill="1" applyBorder="1" applyProtection="1"/>
    <xf numFmtId="0" fontId="11" fillId="2" borderId="46" xfId="0" applyFont="1" applyFill="1" applyBorder="1" applyProtection="1">
      <protection hidden="1"/>
    </xf>
    <xf numFmtId="0" fontId="10" fillId="0" borderId="27" xfId="0" applyFont="1" applyFill="1" applyBorder="1" applyAlignment="1" applyProtection="1">
      <alignment horizontal="center"/>
    </xf>
    <xf numFmtId="166" fontId="11" fillId="7" borderId="28" xfId="0" applyNumberFormat="1" applyFont="1" applyFill="1" applyBorder="1" applyProtection="1">
      <protection locked="0"/>
    </xf>
    <xf numFmtId="166" fontId="11" fillId="7" borderId="47" xfId="0" applyNumberFormat="1" applyFont="1" applyFill="1" applyBorder="1" applyProtection="1">
      <protection locked="0"/>
    </xf>
    <xf numFmtId="10" fontId="11" fillId="0" borderId="39" xfId="0" applyNumberFormat="1" applyFont="1" applyFill="1" applyBorder="1" applyProtection="1">
      <protection hidden="1"/>
    </xf>
    <xf numFmtId="0" fontId="22" fillId="2" borderId="34" xfId="0" applyFont="1" applyFill="1" applyBorder="1" applyProtection="1">
      <protection hidden="1"/>
    </xf>
    <xf numFmtId="166" fontId="16" fillId="2" borderId="34" xfId="0" applyNumberFormat="1" applyFont="1" applyFill="1" applyBorder="1" applyProtection="1">
      <protection hidden="1"/>
    </xf>
    <xf numFmtId="10" fontId="17" fillId="2" borderId="17" xfId="0" applyNumberFormat="1" applyFont="1" applyFill="1" applyBorder="1" applyProtection="1">
      <protection hidden="1"/>
    </xf>
    <xf numFmtId="0" fontId="15" fillId="2" borderId="34" xfId="0" applyFont="1" applyFill="1" applyBorder="1" applyAlignment="1" applyProtection="1">
      <alignment vertical="center" wrapText="1"/>
      <protection hidden="1"/>
    </xf>
    <xf numFmtId="0" fontId="15" fillId="2" borderId="17" xfId="0" applyFont="1" applyFill="1" applyBorder="1" applyAlignment="1" applyProtection="1">
      <alignment vertical="center" wrapText="1"/>
      <protection hidden="1"/>
    </xf>
    <xf numFmtId="0" fontId="4" fillId="2" borderId="34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wrapText="1"/>
    </xf>
    <xf numFmtId="0" fontId="11" fillId="2" borderId="34" xfId="0" applyFont="1" applyFill="1" applyBorder="1" applyProtection="1"/>
    <xf numFmtId="0" fontId="11" fillId="2" borderId="36" xfId="0" applyFont="1" applyFill="1" applyBorder="1" applyProtection="1"/>
    <xf numFmtId="0" fontId="11" fillId="2" borderId="48" xfId="0" applyFont="1" applyFill="1" applyBorder="1" applyProtection="1"/>
    <xf numFmtId="0" fontId="11" fillId="2" borderId="22" xfId="0" applyFont="1" applyFill="1" applyBorder="1" applyProtection="1"/>
    <xf numFmtId="0" fontId="3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5" fontId="1" fillId="0" borderId="0" xfId="0" applyNumberFormat="1" applyFont="1" applyFill="1" applyBorder="1" applyProtection="1"/>
    <xf numFmtId="7" fontId="0" fillId="0" borderId="0" xfId="0" applyNumberFormat="1"/>
    <xf numFmtId="0" fontId="31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hidden="1"/>
    </xf>
    <xf numFmtId="0" fontId="11" fillId="2" borderId="14" xfId="0" applyFont="1" applyFill="1" applyBorder="1" applyProtection="1"/>
    <xf numFmtId="0" fontId="11" fillId="2" borderId="2" xfId="0" applyFont="1" applyFill="1" applyBorder="1" applyProtection="1"/>
    <xf numFmtId="165" fontId="11" fillId="2" borderId="2" xfId="0" applyNumberFormat="1" applyFont="1" applyFill="1" applyBorder="1" applyProtection="1"/>
    <xf numFmtId="10" fontId="11" fillId="2" borderId="49" xfId="0" applyNumberFormat="1" applyFont="1" applyFill="1" applyBorder="1" applyProtection="1"/>
    <xf numFmtId="166" fontId="11" fillId="0" borderId="1" xfId="0" applyNumberFormat="1" applyFont="1" applyFill="1" applyBorder="1" applyAlignment="1" applyProtection="1">
      <alignment wrapText="1"/>
    </xf>
    <xf numFmtId="0" fontId="2" fillId="0" borderId="19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/>
    </xf>
    <xf numFmtId="0" fontId="0" fillId="0" borderId="4" xfId="0" applyBorder="1" applyProtection="1"/>
    <xf numFmtId="9" fontId="0" fillId="0" borderId="4" xfId="0" applyNumberFormat="1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center"/>
    </xf>
    <xf numFmtId="0" fontId="0" fillId="0" borderId="19" xfId="0" applyBorder="1" applyProtection="1"/>
    <xf numFmtId="9" fontId="0" fillId="0" borderId="19" xfId="0" applyNumberFormat="1" applyBorder="1" applyAlignment="1" applyProtection="1">
      <alignment horizontal="center"/>
    </xf>
    <xf numFmtId="10" fontId="0" fillId="0" borderId="13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9" fontId="0" fillId="0" borderId="13" xfId="0" applyNumberFormat="1" applyBorder="1" applyAlignment="1" applyProtection="1">
      <alignment horizontal="center"/>
    </xf>
    <xf numFmtId="0" fontId="11" fillId="0" borderId="0" xfId="0" applyFont="1" applyProtection="1"/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1" fillId="0" borderId="0" xfId="0" applyFont="1"/>
    <xf numFmtId="0" fontId="3" fillId="4" borderId="5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0" fillId="0" borderId="0" xfId="0" applyAlignment="1" applyProtection="1"/>
    <xf numFmtId="9" fontId="4" fillId="0" borderId="0" xfId="0" applyNumberFormat="1" applyFont="1" applyBorder="1" applyAlignment="1" applyProtection="1">
      <protection hidden="1"/>
    </xf>
    <xf numFmtId="0" fontId="11" fillId="0" borderId="0" xfId="0" applyFont="1" applyFill="1" applyBorder="1" applyAlignment="1" applyProtection="1"/>
    <xf numFmtId="9" fontId="4" fillId="0" borderId="0" xfId="0" applyNumberFormat="1" applyFont="1" applyAlignment="1" applyProtection="1">
      <protection hidden="1"/>
    </xf>
    <xf numFmtId="0" fontId="0" fillId="0" borderId="4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34" fillId="8" borderId="7" xfId="0" applyFont="1" applyFill="1" applyBorder="1" applyProtection="1">
      <protection hidden="1"/>
    </xf>
    <xf numFmtId="0" fontId="4" fillId="8" borderId="10" xfId="0" applyFont="1" applyFill="1" applyBorder="1" applyProtection="1">
      <protection hidden="1"/>
    </xf>
    <xf numFmtId="0" fontId="4" fillId="8" borderId="14" xfId="0" applyFont="1" applyFill="1" applyBorder="1" applyProtection="1">
      <protection hidden="1"/>
    </xf>
    <xf numFmtId="0" fontId="4" fillId="8" borderId="6" xfId="0" applyFont="1" applyFill="1" applyBorder="1" applyProtection="1">
      <protection hidden="1"/>
    </xf>
    <xf numFmtId="0" fontId="4" fillId="8" borderId="0" xfId="0" applyFont="1" applyFill="1" applyBorder="1" applyProtection="1">
      <protection hidden="1"/>
    </xf>
    <xf numFmtId="0" fontId="4" fillId="8" borderId="8" xfId="0" applyFont="1" applyFill="1" applyBorder="1" applyProtection="1">
      <protection hidden="1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vertical="top"/>
      <protection hidden="1"/>
    </xf>
    <xf numFmtId="0" fontId="4" fillId="8" borderId="23" xfId="0" applyFont="1" applyFill="1" applyBorder="1" applyAlignment="1" applyProtection="1">
      <alignment vertical="top"/>
      <protection hidden="1"/>
    </xf>
    <xf numFmtId="0" fontId="3" fillId="8" borderId="3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0" fontId="20" fillId="8" borderId="12" xfId="1" applyFill="1" applyBorder="1"/>
    <xf numFmtId="7" fontId="19" fillId="8" borderId="0" xfId="2" applyNumberFormat="1" applyFill="1" applyBorder="1"/>
    <xf numFmtId="0" fontId="12" fillId="0" borderId="6" xfId="0" applyFont="1" applyFill="1" applyBorder="1" applyAlignment="1" applyProtection="1">
      <alignment vertical="center"/>
      <protection hidden="1"/>
    </xf>
    <xf numFmtId="0" fontId="12" fillId="0" borderId="8" xfId="0" applyFont="1" applyFill="1" applyBorder="1" applyAlignment="1" applyProtection="1">
      <alignment vertical="center"/>
      <protection hidden="1"/>
    </xf>
    <xf numFmtId="7" fontId="0" fillId="8" borderId="4" xfId="0" applyNumberFormat="1" applyFill="1" applyBorder="1"/>
    <xf numFmtId="0" fontId="12" fillId="0" borderId="0" xfId="0" applyFont="1" applyFill="1" applyBorder="1" applyAlignment="1" applyProtection="1">
      <alignment vertical="center"/>
      <protection hidden="1"/>
    </xf>
    <xf numFmtId="0" fontId="20" fillId="8" borderId="4" xfId="1" applyFill="1" applyBorder="1"/>
    <xf numFmtId="0" fontId="12" fillId="0" borderId="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7" fontId="0" fillId="8" borderId="12" xfId="0" applyNumberFormat="1" applyFill="1" applyBorder="1"/>
    <xf numFmtId="0" fontId="0" fillId="0" borderId="6" xfId="0" applyBorder="1"/>
    <xf numFmtId="0" fontId="0" fillId="0" borderId="8" xfId="0" applyBorder="1"/>
    <xf numFmtId="0" fontId="36" fillId="0" borderId="6" xfId="0" applyFont="1" applyFill="1" applyBorder="1" applyAlignment="1" applyProtection="1">
      <alignment horizontal="centerContinuous" wrapText="1"/>
    </xf>
    <xf numFmtId="0" fontId="36" fillId="0" borderId="0" xfId="0" applyFont="1" applyFill="1" applyBorder="1" applyAlignment="1" applyProtection="1">
      <alignment horizontal="centerContinuous" wrapText="1"/>
    </xf>
    <xf numFmtId="0" fontId="3" fillId="8" borderId="1" xfId="0" applyFont="1" applyFill="1" applyBorder="1" applyAlignment="1" applyProtection="1">
      <alignment horizontal="center" vertical="center" wrapText="1"/>
    </xf>
    <xf numFmtId="10" fontId="11" fillId="8" borderId="1" xfId="4" applyNumberFormat="1" applyFont="1" applyFill="1" applyBorder="1" applyAlignment="1" applyProtection="1">
      <alignment wrapText="1"/>
    </xf>
    <xf numFmtId="0" fontId="1" fillId="2" borderId="5" xfId="0" applyFont="1" applyFill="1" applyBorder="1" applyProtection="1">
      <protection hidden="1"/>
    </xf>
    <xf numFmtId="166" fontId="1" fillId="7" borderId="13" xfId="0" applyNumberFormat="1" applyFont="1" applyFill="1" applyBorder="1" applyProtection="1">
      <protection locked="0"/>
    </xf>
    <xf numFmtId="0" fontId="4" fillId="0" borderId="42" xfId="0" applyFont="1" applyBorder="1" applyAlignment="1" applyProtection="1">
      <alignment vertical="center" wrapText="1"/>
      <protection hidden="1"/>
    </xf>
    <xf numFmtId="0" fontId="10" fillId="0" borderId="30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166" fontId="11" fillId="0" borderId="32" xfId="0" applyNumberFormat="1" applyFont="1" applyFill="1" applyBorder="1" applyAlignment="1" applyProtection="1">
      <alignment horizontal="left" vertical="top" wrapText="1"/>
      <protection locked="0"/>
    </xf>
    <xf numFmtId="166" fontId="11" fillId="0" borderId="33" xfId="0" applyNumberFormat="1" applyFont="1" applyFill="1" applyBorder="1" applyAlignment="1" applyProtection="1">
      <alignment horizontal="left" vertical="top" wrapText="1"/>
      <protection locked="0"/>
    </xf>
    <xf numFmtId="166" fontId="11" fillId="0" borderId="34" xfId="0" applyNumberFormat="1" applyFont="1" applyFill="1" applyBorder="1" applyAlignment="1" applyProtection="1">
      <alignment horizontal="left" vertical="top" wrapText="1"/>
      <protection locked="0"/>
    </xf>
    <xf numFmtId="166" fontId="11" fillId="0" borderId="35" xfId="0" applyNumberFormat="1" applyFont="1" applyFill="1" applyBorder="1" applyAlignment="1" applyProtection="1">
      <alignment horizontal="left" vertical="top" wrapText="1"/>
      <protection locked="0"/>
    </xf>
    <xf numFmtId="166" fontId="11" fillId="0" borderId="36" xfId="0" applyNumberFormat="1" applyFont="1" applyFill="1" applyBorder="1" applyAlignment="1" applyProtection="1">
      <alignment horizontal="left" vertical="top" wrapText="1"/>
      <protection locked="0"/>
    </xf>
    <xf numFmtId="166" fontId="11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wrapText="1"/>
      <protection hidden="1"/>
    </xf>
    <xf numFmtId="0" fontId="2" fillId="2" borderId="23" xfId="0" applyFont="1" applyFill="1" applyBorder="1" applyAlignment="1" applyProtection="1">
      <alignment horizont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11" fillId="0" borderId="28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left" vertical="top" wrapText="1"/>
      <protection locked="0"/>
    </xf>
    <xf numFmtId="0" fontId="11" fillId="0" borderId="47" xfId="0" applyFont="1" applyFill="1" applyBorder="1" applyAlignment="1" applyProtection="1">
      <alignment horizontal="left" vertical="top" wrapText="1"/>
      <protection locked="0"/>
    </xf>
    <xf numFmtId="0" fontId="2" fillId="2" borderId="34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3" fillId="0" borderId="25" xfId="0" applyFont="1" applyFill="1" applyBorder="1" applyAlignment="1" applyProtection="1">
      <alignment horizontal="center" wrapText="1"/>
      <protection hidden="1"/>
    </xf>
    <xf numFmtId="0" fontId="23" fillId="0" borderId="26" xfId="0" applyFont="1" applyFill="1" applyBorder="1" applyAlignment="1" applyProtection="1">
      <alignment horizontal="center" wrapText="1"/>
      <protection hidden="1"/>
    </xf>
    <xf numFmtId="0" fontId="31" fillId="0" borderId="0" xfId="0" applyFont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3" fillId="9" borderId="16" xfId="0" applyFont="1" applyFill="1" applyBorder="1" applyAlignment="1" applyProtection="1">
      <alignment horizontal="center" vertical="center" wrapText="1"/>
    </xf>
    <xf numFmtId="0" fontId="3" fillId="9" borderId="3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166" fontId="1" fillId="0" borderId="32" xfId="0" applyNumberFormat="1" applyFont="1" applyFill="1" applyBorder="1" applyAlignment="1" applyProtection="1">
      <alignment horizontal="left" vertical="top" wrapText="1"/>
      <protection locked="0"/>
    </xf>
    <xf numFmtId="0" fontId="11" fillId="0" borderId="21" xfId="0" applyFont="1" applyFill="1" applyBorder="1" applyAlignment="1" applyProtection="1">
      <alignment horizontal="center" wrapText="1"/>
      <protection locked="0"/>
    </xf>
    <xf numFmtId="0" fontId="11" fillId="0" borderId="24" xfId="0" applyFont="1" applyFill="1" applyBorder="1" applyAlignment="1" applyProtection="1">
      <alignment horizontal="center" wrapText="1"/>
      <protection locked="0"/>
    </xf>
    <xf numFmtId="0" fontId="1" fillId="0" borderId="21" xfId="0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 horizontal="center" vertical="center" wrapText="1"/>
    </xf>
    <xf numFmtId="0" fontId="30" fillId="6" borderId="0" xfId="0" applyFont="1" applyFill="1" applyAlignment="1" applyProtection="1">
      <alignment horizontal="right" vertical="center"/>
      <protection hidden="1"/>
    </xf>
    <xf numFmtId="0" fontId="27" fillId="6" borderId="0" xfId="0" applyFont="1" applyFill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</xf>
    <xf numFmtId="0" fontId="11" fillId="0" borderId="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</cellXfs>
  <cellStyles count="5">
    <cellStyle name="Normal" xfId="0" builtinId="0"/>
    <cellStyle name="Normal 3" xfId="1"/>
    <cellStyle name="Normal 4" xfId="2"/>
    <cellStyle name="Normal 5" xfId="3"/>
    <cellStyle name="Percent" xfId="4" builtinId="5"/>
  </cellStyles>
  <dxfs count="422">
    <dxf>
      <fill>
        <patternFill>
          <bgColor theme="0" tint="-0.14996795556505021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  <border>
        <top style="thin">
          <color rgb="FFFF0000"/>
        </top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  <border>
        <top style="thin">
          <color rgb="FFFF0000"/>
        </top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  <border>
        <top style="thin">
          <color rgb="FFFF0000"/>
        </top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  <border>
        <top style="thin">
          <color rgb="FFFF0000"/>
        </top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  <border>
        <top style="thin">
          <color rgb="FFFF0000"/>
        </top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  <border>
        <top style="thin">
          <color rgb="FFFF0000"/>
        </top>
        <vertical/>
        <horizontal/>
      </border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theme="5" tint="0.59996337778862885"/>
        </patternFill>
      </fill>
      <border>
        <top style="thin">
          <color rgb="FFFF0000"/>
        </top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solid"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rgb="FFFF0000"/>
        </top>
        <bottom style="thin">
          <color auto="1"/>
        </bottom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lor rgb="FFC00000"/>
      </font>
      <fill>
        <patternFill>
          <bgColor rgb="FFFF9F9F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  <color rgb="FF66FF99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95"/>
  <sheetViews>
    <sheetView showGridLines="0" topLeftCell="B1" zoomScale="75" zoomScaleNormal="75" zoomScaleSheetLayoutView="75" workbookViewId="0">
      <selection activeCell="D4" sqref="D4"/>
    </sheetView>
  </sheetViews>
  <sheetFormatPr defaultColWidth="9.109375" defaultRowHeight="13.8" x14ac:dyDescent="0.25"/>
  <cols>
    <col min="1" max="1" width="10.5546875" style="1" hidden="1" customWidth="1"/>
    <col min="2" max="2" width="9.44140625" style="1" customWidth="1"/>
    <col min="3" max="3" width="29.88671875" style="1" customWidth="1"/>
    <col min="4" max="4" width="21.44140625" style="1" customWidth="1"/>
    <col min="5" max="7" width="18.6640625" style="1" customWidth="1"/>
    <col min="8" max="8" width="19.88671875" style="1" customWidth="1"/>
    <col min="9" max="9" width="25.109375" style="1" customWidth="1"/>
    <col min="10" max="10" width="20.6640625" style="1" customWidth="1"/>
    <col min="11" max="11" width="20.5546875" style="1" customWidth="1"/>
    <col min="12" max="12" width="18.6640625" style="1" customWidth="1"/>
    <col min="13" max="13" width="28.6640625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15.33203125" style="1" hidden="1" customWidth="1"/>
    <col min="22" max="22" width="11.5546875" style="1" hidden="1" customWidth="1"/>
    <col min="23" max="23" width="13.33203125" style="1" hidden="1" customWidth="1"/>
    <col min="24" max="26" width="9.109375" style="1" hidden="1" customWidth="1"/>
    <col min="27" max="27" width="9.109375" style="1" customWidth="1"/>
    <col min="28" max="16384" width="9.109375" style="1"/>
  </cols>
  <sheetData>
    <row r="1" spans="1:22" ht="3" customHeight="1" x14ac:dyDescent="0.25"/>
    <row r="2" spans="1:22" ht="22.8" x14ac:dyDescent="0.4">
      <c r="F2" s="223" t="s">
        <v>248</v>
      </c>
      <c r="G2" s="224"/>
      <c r="H2" s="224"/>
      <c r="I2" s="224"/>
      <c r="J2" s="225"/>
      <c r="K2" s="2"/>
      <c r="L2" s="2"/>
      <c r="M2" s="2" t="s">
        <v>241</v>
      </c>
      <c r="N2" s="2"/>
      <c r="T2" s="91" t="s">
        <v>48</v>
      </c>
    </row>
    <row r="3" spans="1:22" ht="22.8" x14ac:dyDescent="0.4">
      <c r="F3" s="226"/>
      <c r="G3" s="227" t="s">
        <v>249</v>
      </c>
      <c r="H3" s="227"/>
      <c r="I3" s="227"/>
      <c r="J3" s="228"/>
      <c r="K3" s="2"/>
      <c r="L3" s="2"/>
      <c r="M3" s="2" t="s">
        <v>251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72" t="s">
        <v>253</v>
      </c>
      <c r="E4" s="142"/>
      <c r="F4" s="232"/>
      <c r="G4" s="230" t="s">
        <v>250</v>
      </c>
      <c r="H4" s="230"/>
      <c r="I4" s="230"/>
      <c r="J4" s="231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72">
        <v>1</v>
      </c>
      <c r="E5" s="142"/>
      <c r="T5" s="91" t="s">
        <v>50</v>
      </c>
    </row>
    <row r="6" spans="1:22" ht="20.25" customHeight="1" x14ac:dyDescent="0.25">
      <c r="A6" s="3"/>
      <c r="C6" s="6" t="s">
        <v>9</v>
      </c>
      <c r="D6" s="279" t="s">
        <v>52</v>
      </c>
      <c r="E6" s="279"/>
      <c r="F6" s="6" t="s">
        <v>0</v>
      </c>
      <c r="G6" s="279" t="s">
        <v>274</v>
      </c>
      <c r="H6" s="279"/>
      <c r="I6" s="6" t="s">
        <v>1</v>
      </c>
      <c r="J6" s="279" t="s">
        <v>275</v>
      </c>
      <c r="K6" s="279"/>
      <c r="L6" s="45"/>
      <c r="M6" s="45"/>
      <c r="N6" s="45"/>
      <c r="R6" s="263"/>
      <c r="T6" s="91" t="s">
        <v>51</v>
      </c>
    </row>
    <row r="7" spans="1:22" ht="11.25" customHeight="1" x14ac:dyDescent="0.25">
      <c r="A7" s="3"/>
      <c r="L7" s="81"/>
      <c r="M7" s="81"/>
      <c r="N7" s="81"/>
      <c r="R7" s="264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38</v>
      </c>
      <c r="E8" s="284"/>
      <c r="G8" s="6" t="s">
        <v>33</v>
      </c>
      <c r="H8" s="27">
        <v>0.09</v>
      </c>
      <c r="I8" s="6" t="s">
        <v>115</v>
      </c>
      <c r="J8" s="279" t="s">
        <v>276</v>
      </c>
      <c r="K8" s="279"/>
      <c r="L8" s="45"/>
      <c r="M8" s="45"/>
      <c r="N8" s="45"/>
      <c r="R8" s="264"/>
      <c r="T8" s="91" t="s">
        <v>53</v>
      </c>
    </row>
    <row r="9" spans="1:22" ht="15.6" x14ac:dyDescent="0.3">
      <c r="A9" s="7"/>
      <c r="B9" s="3"/>
      <c r="H9" s="43"/>
      <c r="J9" s="8"/>
      <c r="K9" s="9"/>
      <c r="L9" s="291" t="s">
        <v>187</v>
      </c>
      <c r="M9" s="292"/>
      <c r="N9" s="90">
        <v>1</v>
      </c>
      <c r="O9" s="10">
        <v>1</v>
      </c>
      <c r="P9" s="141" t="s">
        <v>252</v>
      </c>
      <c r="R9" s="265"/>
      <c r="T9" s="91" t="s">
        <v>54</v>
      </c>
    </row>
    <row r="10" spans="1:22" s="11" customFormat="1" ht="26.25" customHeight="1" thickBot="1" x14ac:dyDescent="0.3">
      <c r="B10" s="19"/>
      <c r="C10" s="85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93" t="s">
        <v>190</v>
      </c>
      <c r="N10" s="94"/>
      <c r="O10" s="10">
        <v>2</v>
      </c>
      <c r="P10" s="141" t="s">
        <v>253</v>
      </c>
      <c r="T10" s="91" t="s">
        <v>55</v>
      </c>
      <c r="V10" s="40"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86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/>
      <c r="M11" s="285"/>
      <c r="N11" s="117" t="s">
        <v>242</v>
      </c>
      <c r="O11" s="10">
        <v>3</v>
      </c>
      <c r="P11" s="141" t="s">
        <v>254</v>
      </c>
      <c r="T11" s="91" t="s">
        <v>56</v>
      </c>
      <c r="U11" s="1" t="str">
        <f>D6&amp;" "&amp;D8</f>
        <v>Brevard Circuit Criminal</v>
      </c>
      <c r="V11" s="41">
        <v>0.15</v>
      </c>
    </row>
    <row r="12" spans="1:22" ht="15.75" customHeight="1" x14ac:dyDescent="0.25">
      <c r="A12" s="277"/>
      <c r="B12" s="264"/>
      <c r="C12" s="80" t="s">
        <v>23</v>
      </c>
      <c r="D12" s="158">
        <f>LOOKUP($U$11,Lookup!$C$3:$C$672,Lookup!I$3:I$672)</f>
        <v>41345.19</v>
      </c>
      <c r="E12" s="158">
        <f>LOOKUP($U$11,Lookup!$C$3:$C$672,Lookup!J$3:J$672)</f>
        <v>62561.24</v>
      </c>
      <c r="F12" s="158">
        <f>LOOKUP($U$11,Lookup!$C$3:$C$672,Lookup!K$3:K$672)</f>
        <v>74427.09</v>
      </c>
      <c r="G12" s="158">
        <f>LOOKUP($U$11,Lookup!$C$3:$C$672,Lookup!L$3:L$672)</f>
        <v>90308.160000000003</v>
      </c>
      <c r="H12" s="144">
        <v>104158.79</v>
      </c>
      <c r="I12" s="281"/>
      <c r="J12" s="96"/>
      <c r="K12" s="159"/>
      <c r="L12" s="271"/>
      <c r="M12" s="273"/>
      <c r="N12" s="117" t="s">
        <v>243</v>
      </c>
      <c r="O12" s="10">
        <v>4</v>
      </c>
      <c r="P12" s="141" t="s">
        <v>255</v>
      </c>
      <c r="T12" s="91" t="s">
        <v>57</v>
      </c>
      <c r="U12" s="1" t="str">
        <f>IF(P13=TRUE,A11,"")</f>
        <v>CGE CQ1-16</v>
      </c>
    </row>
    <row r="13" spans="1:22" ht="15.75" customHeight="1" thickBot="1" x14ac:dyDescent="0.3">
      <c r="A13" s="277"/>
      <c r="B13" s="264"/>
      <c r="C13" s="80" t="s">
        <v>24</v>
      </c>
      <c r="D13" s="160">
        <f>LOOKUP($U$11,Lookup!$C$3:$C$672,Lookup!D$3:D$672)</f>
        <v>579827.94999999995</v>
      </c>
      <c r="E13" s="160">
        <f>LOOKUP($U$11,Lookup!$C$3:$C$672,Lookup!E$3:E$672)</f>
        <v>560478.94999999995</v>
      </c>
      <c r="F13" s="160">
        <f>LOOKUP($U$11,Lookup!$C$3:$C$672,Lookup!F$3:F$672)</f>
        <v>551669.44999999995</v>
      </c>
      <c r="G13" s="160">
        <f>LOOKUP($U$11,Lookup!$C$3:$C$672,Lookup!G$3:G$672)</f>
        <v>547517.44999999995</v>
      </c>
      <c r="H13" s="54">
        <v>544982.94999999995</v>
      </c>
      <c r="I13" s="282"/>
      <c r="J13" s="96"/>
      <c r="K13" s="159"/>
      <c r="L13" s="271"/>
      <c r="M13" s="273"/>
      <c r="N13" s="26"/>
      <c r="O13" s="10">
        <v>5</v>
      </c>
      <c r="P13" s="1" t="b">
        <f>OR(AND(E12&lt;D12,E12&gt;0),AND(F12&lt;E12,F12&gt;0),AND(G12&lt;F12,G12&gt;0),AND(H12&lt;G12,H12&gt;0),AND(F13&gt;E13,E13&gt;0),AND(G13&gt;F13,F13&gt;0),AND(H13&lt;G13,G13&gt;0))</f>
        <v>1</v>
      </c>
      <c r="T13" s="91" t="s">
        <v>58</v>
      </c>
      <c r="U13" s="1" t="str">
        <f>IF(P14=TRUE,A15,"")</f>
        <v>CGE CQ2-16</v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7.1305962397983758E-2</v>
      </c>
      <c r="E14" s="145">
        <f>IF(ISBLANK(E12),"N/A",IF(OR(E12=0,E12="N/A"),0,E12/E13))</f>
        <v>0.1116210341173384</v>
      </c>
      <c r="F14" s="145">
        <f>IF(ISBLANK(F12),"N/A",IF(OR(F12=0,F12="N/A"),0,F12/F13))</f>
        <v>0.13491247340232454</v>
      </c>
      <c r="G14" s="145">
        <f>IF(ISBLANK(G12),"N/A",IF(OR(G12=0,G12="N/A"),0,G12/G13))</f>
        <v>0.16494115393034506</v>
      </c>
      <c r="H14" s="145">
        <f>IF(ISBLANK(H12),"N/A",IF(AND(H12=0,H13=0,NOT(ISBLANK(H12)),NOT(ISBLANK(H13))),1,H12/H13))</f>
        <v>0.19112302504142561</v>
      </c>
      <c r="I14" s="283"/>
      <c r="J14" s="96"/>
      <c r="K14" s="159"/>
      <c r="L14" s="271"/>
      <c r="M14" s="274"/>
      <c r="N14" s="117"/>
      <c r="O14" s="10">
        <v>6</v>
      </c>
      <c r="P14" s="1" t="b">
        <f>OR(AND(F16&lt;E16,F16&gt;0),AND(G16&lt;F16,G16&gt;0),AND(H16&lt;G16,H16&gt;0),AND(I16&lt;H16,I16&gt;0),AND(G17&gt;F17, F17&gt;0),AND(H17&gt;G17, G17&gt;0),AND(I17&lt;H17,I17&gt;0))</f>
        <v>1</v>
      </c>
      <c r="T14" s="91" t="s">
        <v>59</v>
      </c>
      <c r="U14" s="1" t="str">
        <f>IF(P15=TRUE,A19,"")</f>
        <v/>
      </c>
      <c r="V14" s="36"/>
    </row>
    <row r="15" spans="1:22" ht="15.75" customHeight="1" x14ac:dyDescent="0.25">
      <c r="A15" s="276" t="str">
        <f>LEFT(B15,3)&amp;" "&amp;RIGHT(B15,6)</f>
        <v>CGE CQ2-16</v>
      </c>
      <c r="B15" s="266" t="s">
        <v>256</v>
      </c>
      <c r="C15" s="97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272"/>
      <c r="N15" s="117"/>
      <c r="O15" s="10">
        <v>7</v>
      </c>
      <c r="P15" s="1" t="b">
        <f>OR(AND(G20&lt;F20,D10&gt;0),AND(H20&lt;G20,H20&gt;0),AND(I20&lt;H20,I20&gt;0),AND(J20&lt;I20,J20&gt;0),AND(H21&gt;G21, G21&gt;0),AND(I21&gt;H21, H21&gt;0),AND(J21&lt;I21, J21&gt;0))</f>
        <v>0</v>
      </c>
      <c r="T15" s="91" t="s">
        <v>60</v>
      </c>
      <c r="U15" s="1" t="str">
        <f>IF(P16=TRUE,A23,"")</f>
        <v/>
      </c>
    </row>
    <row r="16" spans="1:22" ht="15.75" customHeight="1" x14ac:dyDescent="0.25">
      <c r="A16" s="277"/>
      <c r="B16" s="267"/>
      <c r="C16" s="80" t="s">
        <v>23</v>
      </c>
      <c r="D16" s="161"/>
      <c r="E16" s="137">
        <f>LOOKUP($U$11,Lookup!$C$3:$C$672,Lookup!S$3:S$672)</f>
        <v>49748.85</v>
      </c>
      <c r="F16" s="137">
        <f>LOOKUP($U$11,Lookup!$C$3:$C$672,Lookup!T$3:T$672)</f>
        <v>66623.61</v>
      </c>
      <c r="G16" s="137">
        <f>LOOKUP($U$11,Lookup!$C$3:$C$672,Lookup!U$3:U$672)</f>
        <v>77617.34</v>
      </c>
      <c r="H16" s="144">
        <v>91158.18</v>
      </c>
      <c r="I16" s="144">
        <v>112127.61</v>
      </c>
      <c r="J16" s="98"/>
      <c r="K16" s="159"/>
      <c r="L16" s="271"/>
      <c r="M16" s="273"/>
      <c r="N16" s="26"/>
      <c r="O16" s="10">
        <v>8</v>
      </c>
      <c r="P16" s="1" t="b">
        <f>OR(AND(H24&lt;G24, H24&gt;0),AND(I24&lt;H24, I24&gt;0),AND(J24&lt;I24, J24&gt;0),AND(K24&lt;J24, K24&gt;0),AND(I25&gt;H25, H25&gt;0),AND(J25&gt;I25, I25&gt;0),AND(K25&lt;J25, J25&gt;0))</f>
        <v>0</v>
      </c>
      <c r="T16" s="91" t="s">
        <v>61</v>
      </c>
      <c r="U16" s="1" t="str">
        <f>IF(P17=TRUE,A27,"")</f>
        <v/>
      </c>
    </row>
    <row r="17" spans="1:21" ht="15.75" customHeight="1" thickBot="1" x14ac:dyDescent="0.3">
      <c r="A17" s="277"/>
      <c r="B17" s="267"/>
      <c r="C17" s="80" t="s">
        <v>24</v>
      </c>
      <c r="D17" s="161"/>
      <c r="E17" s="138">
        <f>LOOKUP($U$11,Lookup!$C$3:$C$672,Lookup!N$3:N$672)</f>
        <v>738206.75</v>
      </c>
      <c r="F17" s="138">
        <f>LOOKUP($U$11,Lookup!$C$3:$C$672,Lookup!O$3:O$672)</f>
        <v>718324.75</v>
      </c>
      <c r="G17" s="138">
        <f>LOOKUP($U$11,Lookup!$C$3:$C$672,Lookup!P$3:P$672)</f>
        <v>711164.75</v>
      </c>
      <c r="H17" s="54">
        <v>707314.25</v>
      </c>
      <c r="I17" s="54">
        <v>703632.75</v>
      </c>
      <c r="J17" s="98"/>
      <c r="K17" s="159"/>
      <c r="L17" s="271"/>
      <c r="M17" s="273"/>
      <c r="N17" s="26"/>
      <c r="O17" s="10">
        <v>9</v>
      </c>
      <c r="P17" s="1" t="b">
        <f>OR(AND(I28&lt;H28, I28&gt;0),AND(J28&lt;I28, J28&gt;0),AND(K28&lt;J28, K28&gt;0),AND(J29&gt;I29, I29&gt;0),AND(K29&gt;J29, J29&gt;0))</f>
        <v>0</v>
      </c>
      <c r="T17" s="91" t="s">
        <v>62</v>
      </c>
      <c r="U17" s="1" t="str">
        <f>IF(P18=TRUE,A31,"")</f>
        <v/>
      </c>
    </row>
    <row r="18" spans="1:21" ht="15.75" customHeight="1" thickBot="1" x14ac:dyDescent="0.3">
      <c r="A18" s="278"/>
      <c r="B18" s="268"/>
      <c r="C18" s="23" t="s">
        <v>26</v>
      </c>
      <c r="D18" s="162"/>
      <c r="E18" s="145">
        <f>IF(ISBLANK(E16),"N/A",IF(OR(E16=0,E16="N/A"),0,E16/E17))</f>
        <v>6.7391486192723102E-2</v>
      </c>
      <c r="F18" s="145">
        <f>IF(ISBLANK(F16),"N/A",IF(OR(F16=0,F16="N/A"),0,F16/F17))</f>
        <v>9.2748593167644583E-2</v>
      </c>
      <c r="G18" s="145">
        <f>IF(ISBLANK(G16),"N/A",IF(OR(G16=0,G16="N/A"),0,G16/G17))</f>
        <v>0.10914115189201939</v>
      </c>
      <c r="H18" s="145">
        <f>IF(ISBLANK(H16),"N/A",IF(AND(H16=0,H17=0,NOT(ISBLANK(H16)),NOT(ISBLANK(H17))),1,H16/H17))</f>
        <v>0.12887932061315036</v>
      </c>
      <c r="I18" s="145">
        <f>IF(ISBLANK(I16),"N/A",IF(AND(I16=0,I17=0,NOT(ISBLANK(I16)),NOT(ISBLANK(I17))),1,I16/I17))</f>
        <v>0.15935530289060593</v>
      </c>
      <c r="J18" s="99"/>
      <c r="K18" s="159"/>
      <c r="L18" s="271"/>
      <c r="M18" s="274"/>
      <c r="N18" s="117"/>
      <c r="O18" s="10"/>
      <c r="P18" s="1" t="b">
        <f>OR(AND(J32&lt;I32, J32&gt;0),AND(K32&lt;J32, K32&gt;0),AND(K33&gt;J33, J33&gt;0))</f>
        <v>0</v>
      </c>
      <c r="Q18" s="11"/>
      <c r="T18" s="91" t="s">
        <v>63</v>
      </c>
      <c r="U18" s="1" t="str">
        <f>IF(P19=TRUE,A35,"")</f>
        <v/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97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272"/>
      <c r="N19" s="117"/>
      <c r="O19" s="10"/>
      <c r="P19" s="1" t="b">
        <f>OR(K36&lt;J36)</f>
        <v>0</v>
      </c>
      <c r="Q19" s="11"/>
      <c r="T19" s="91" t="s">
        <v>64</v>
      </c>
      <c r="U19" s="1" t="str">
        <f>U12&amp;" "&amp;U13&amp;" "&amp;U14&amp;" "&amp;U15&amp;" "&amp;U16&amp;" "&amp;U17&amp;" "&amp;U18</f>
        <v xml:space="preserve">CGE CQ1-16 CGE CQ2-16     </v>
      </c>
    </row>
    <row r="20" spans="1:21" ht="15.75" customHeight="1" x14ac:dyDescent="0.25">
      <c r="A20" s="277"/>
      <c r="B20" s="264"/>
      <c r="C20" s="80" t="s">
        <v>23</v>
      </c>
      <c r="D20" s="163"/>
      <c r="E20" s="29"/>
      <c r="F20" s="137">
        <f>LOOKUP($U$11,Lookup!$C$3:$C$672,Lookup!AC$3:AC$672)</f>
        <v>43536.800000000003</v>
      </c>
      <c r="G20" s="137">
        <f>LOOKUP($U$11,Lookup!$C$3:$C$672,Lookup!AD$3:AD$672)</f>
        <v>54585.760000000002</v>
      </c>
      <c r="H20" s="144">
        <v>63795.17</v>
      </c>
      <c r="I20" s="144">
        <v>89802.15</v>
      </c>
      <c r="J20" s="144"/>
      <c r="K20" s="165"/>
      <c r="L20" s="271"/>
      <c r="M20" s="273"/>
      <c r="N20" s="26"/>
      <c r="O20" s="10"/>
      <c r="P20" s="1">
        <f>COUNTIF(P13:P19,"TRUE")</f>
        <v>2</v>
      </c>
      <c r="Q20" s="11"/>
      <c r="T20" s="91" t="s">
        <v>65</v>
      </c>
    </row>
    <row r="21" spans="1:21" s="16" customFormat="1" ht="15.75" customHeight="1" thickBot="1" x14ac:dyDescent="0.3">
      <c r="A21" s="277"/>
      <c r="B21" s="264"/>
      <c r="C21" s="80" t="s">
        <v>24</v>
      </c>
      <c r="D21" s="163"/>
      <c r="E21" s="29"/>
      <c r="F21" s="138">
        <f>LOOKUP($U$11,Lookup!$C$3:$C$672,Lookup!X$3:X$672)</f>
        <v>633945.31999999995</v>
      </c>
      <c r="G21" s="138">
        <f>LOOKUP($U$11,Lookup!$C$3:$C$672,Lookup!Y$3:Y$672)</f>
        <v>611800.31999999995</v>
      </c>
      <c r="H21" s="54">
        <v>602853.81999999995</v>
      </c>
      <c r="I21" s="54">
        <v>598346.81999999995</v>
      </c>
      <c r="J21" s="54"/>
      <c r="K21" s="165"/>
      <c r="L21" s="271"/>
      <c r="M21" s="273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3" t="s">
        <v>26</v>
      </c>
      <c r="D22" s="163"/>
      <c r="E22" s="33"/>
      <c r="F22" s="152">
        <f>IF(ISBLANK(F20),"N/A",IF(OR(F20=0,F20="N/A"),0,F20/F21))</f>
        <v>6.8675954576019285E-2</v>
      </c>
      <c r="G22" s="145">
        <f>IF(ISBLANK(G20),"N/A",IF(OR(G20=0,G20="N/A"),0,G20/G21))</f>
        <v>8.9221529011295722E-2</v>
      </c>
      <c r="H22" s="145">
        <f>IF(ISBLANK(H20),"N/A",IF(AND(H20=0,H21=0,NOT(ISBLANK(H20)),NOT(ISBLANK(H21))),1,H20/H21))</f>
        <v>0.10582195531248355</v>
      </c>
      <c r="I22" s="145">
        <f>IF(ISBLANK(I20),"N/A",IF(AND(I20=0,I21=0,NOT(ISBLANK(I20)),NOT(ISBLANK(I21))),1,I20/I21))</f>
        <v>0.15008377582753762</v>
      </c>
      <c r="J22" s="145" t="str">
        <f>IF(ISBLANK(J20),"N/A",IF(AND(J20=0,J21=0,NOT(ISBLANK(J20)),NOT(ISBLANK(J21))),1,J20/J21))</f>
        <v>N/A</v>
      </c>
      <c r="K22" s="166"/>
      <c r="L22" s="271"/>
      <c r="M22" s="274"/>
      <c r="N22" s="82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266" t="s">
        <v>210</v>
      </c>
      <c r="C23" s="86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285"/>
      <c r="N23" s="83"/>
      <c r="O23" s="101" t="b">
        <v>1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IF(AND(D4=1,S36=1),A11,IF(AND(D4=2,S36=1),A15,IF(AND(D4=3,S36=1),A19,IF(AND(D4=4,S36=1),A23,""))))</f>
        <v/>
      </c>
      <c r="T23" s="91" t="s">
        <v>68</v>
      </c>
    </row>
    <row r="24" spans="1:21" s="18" customFormat="1" ht="15.75" customHeight="1" x14ac:dyDescent="0.3">
      <c r="A24" s="277"/>
      <c r="B24" s="267"/>
      <c r="C24" s="80" t="s">
        <v>23</v>
      </c>
      <c r="D24" s="163"/>
      <c r="E24" s="33"/>
      <c r="F24" s="29"/>
      <c r="G24" s="139">
        <f>LOOKUP($U$11,Lookup!$C$3:$C$672,Lookup!AM$3:AM$672)</f>
        <v>40869.19</v>
      </c>
      <c r="H24" s="144">
        <v>54957.78</v>
      </c>
      <c r="I24" s="144">
        <v>75361.61</v>
      </c>
      <c r="J24" s="144"/>
      <c r="K24" s="169"/>
      <c r="L24" s="271"/>
      <c r="M24" s="273"/>
      <c r="N24" s="94"/>
      <c r="O24" s="104" t="b">
        <v>0</v>
      </c>
      <c r="P24" s="104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IF(AND(D4=1,S37=1),A15,IF(AND(D4=2,S37=1),A19,IF(AND(D4=3,S37=1),A23,IF(AND(D4=4,S37=1),A27,""))))</f>
        <v/>
      </c>
      <c r="T24" s="91" t="s">
        <v>69</v>
      </c>
    </row>
    <row r="25" spans="1:21" ht="15.75" customHeight="1" thickBot="1" x14ac:dyDescent="0.3">
      <c r="A25" s="277"/>
      <c r="B25" s="267"/>
      <c r="C25" s="80" t="s">
        <v>24</v>
      </c>
      <c r="D25" s="287"/>
      <c r="E25" s="289"/>
      <c r="F25" s="269"/>
      <c r="G25" s="140">
        <f>LOOKUP($U$11,Lookup!$C$3:$C$672,Lookup!AH$3:AH$672)</f>
        <v>817861.03</v>
      </c>
      <c r="H25" s="54">
        <v>797374.03</v>
      </c>
      <c r="I25" s="54">
        <v>789616.03</v>
      </c>
      <c r="J25" s="54"/>
      <c r="K25" s="54"/>
      <c r="L25" s="271"/>
      <c r="M25" s="273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IF(AND(D4=1,S38=1),A19,IF(AND(D4=2,S38=1),A23,IF(AND(D4=3,S38=1),A27,IF(AND(D4=4,S38=1),A31,""))))</f>
        <v/>
      </c>
      <c r="T25" s="91" t="s">
        <v>70</v>
      </c>
    </row>
    <row r="26" spans="1:21" ht="15.75" customHeight="1" thickBot="1" x14ac:dyDescent="0.3">
      <c r="A26" s="278"/>
      <c r="B26" s="268"/>
      <c r="C26" s="23" t="s">
        <v>26</v>
      </c>
      <c r="D26" s="288"/>
      <c r="E26" s="290"/>
      <c r="F26" s="270"/>
      <c r="G26" s="153">
        <f>IF(ISBLANK(G24),"N/A",IF(OR(G24=0,G24="N/A"),0,G24/G25))</f>
        <v>4.9970824505478642E-2</v>
      </c>
      <c r="H26" s="145">
        <f>IF(ISBLANK(H24),"N/A",IF(AND(H24=0,H25=0,NOT(ISBLANK(H24)),NOT(ISBLANK(H25))),1,H24/H25))</f>
        <v>6.8923463684915851E-2</v>
      </c>
      <c r="I26" s="145">
        <f>IF(ISBLANK(I24),"N/A",IF(AND(I24=0,I25=0,NOT(ISBLANK(I24)),NOT(ISBLANK(I25))),1,I24/I25))</f>
        <v>9.5440830906130411E-2</v>
      </c>
      <c r="J26" s="145" t="str">
        <f>IF(ISBLANK(J24),"N/A",IF(AND(J24=0,J25=0,NOT(ISBLANK(J24)),NOT(ISBLANK(J25))),1,J24/J25))</f>
        <v>N/A</v>
      </c>
      <c r="K26" s="171" t="str">
        <f>IF(ISBLANK(K24),"N/A",IF(AND(K24=0,K25=0,NOT(ISBLANK(K24)),NOT(ISBLANK(K25))),1,K24/K25))</f>
        <v>N/A</v>
      </c>
      <c r="L26" s="271"/>
      <c r="M26" s="286"/>
      <c r="N26" s="103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IF(AND(D4=1,S39=1),A23,IF(AND(D4=2,S39=1),A27,IF(AND(D4=3,S39=1),A31,IF(AND(D4=4,S39=1),A35,""))))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86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146"/>
      <c r="M27" s="147"/>
      <c r="N27" s="8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IF(AND(D4=1,S40=1),A27,IF(AND(D4=2,S40=1),A31,IF(AND(D4=3,S40=1),A35,IF(AND(D4=4,S40=1),A39,""))))</f>
        <v/>
      </c>
      <c r="T27" s="91" t="s">
        <v>72</v>
      </c>
    </row>
    <row r="28" spans="1:21" ht="15.75" customHeight="1" x14ac:dyDescent="0.25">
      <c r="A28" s="277"/>
      <c r="B28" s="264"/>
      <c r="C28" s="80" t="s">
        <v>23</v>
      </c>
      <c r="D28" s="173"/>
      <c r="E28" s="33"/>
      <c r="F28" s="33"/>
      <c r="G28" s="29"/>
      <c r="H28" s="144">
        <v>36680.57</v>
      </c>
      <c r="I28" s="144">
        <v>55980.75</v>
      </c>
      <c r="J28" s="144"/>
      <c r="K28" s="169"/>
      <c r="L28" s="148"/>
      <c r="M28" s="149"/>
      <c r="N28" s="94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80" t="s">
        <v>24</v>
      </c>
      <c r="D29" s="173"/>
      <c r="E29" s="33"/>
      <c r="F29" s="33"/>
      <c r="G29" s="29"/>
      <c r="H29" s="54">
        <v>772338.08</v>
      </c>
      <c r="I29" s="54">
        <v>751439.58</v>
      </c>
      <c r="J29" s="54"/>
      <c r="K29" s="54"/>
      <c r="L29" s="148"/>
      <c r="M29" s="149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3" t="s">
        <v>26</v>
      </c>
      <c r="D30" s="174"/>
      <c r="E30" s="30"/>
      <c r="F30" s="30"/>
      <c r="G30" s="252"/>
      <c r="H30" s="145">
        <f>IF(ISBLANK(H28),"N/A",IF(AND(H28=0,H29=0,NOT(ISBLANK(H28)),NOT(ISBLANK(H29))),1,H28/H29))</f>
        <v>4.7492893267673662E-2</v>
      </c>
      <c r="I30" s="145">
        <f>IF(ISBLANK(I28),"N/A",IF(AND(I28=0,I29=0,NOT(ISBLANK(I28)),NOT(ISBLANK(I29))),1,I28/I29))</f>
        <v>7.4498005548230509E-2</v>
      </c>
      <c r="J30" s="145" t="str">
        <f>IF(ISBLANK(J28),"N/A",IF(AND(J28=0,J29=0,NOT(ISBLANK(J28)),NOT(ISBLANK(J29))),1,J28/J29))</f>
        <v>N/A</v>
      </c>
      <c r="K30" s="171" t="str">
        <f>IF(ISBLANK(K28),"N/A",IF(AND(K28=0,K29=0,NOT(ISBLANK(K28)),NOT(ISBLANK(K29))),1,K28/K29))</f>
        <v>N/A</v>
      </c>
      <c r="L30" s="150"/>
      <c r="M30" s="151"/>
      <c r="N30" s="103"/>
      <c r="O30" s="84" t="b">
        <v>0</v>
      </c>
      <c r="P30" s="101" t="b">
        <v>0</v>
      </c>
      <c r="Q30" s="1" t="str">
        <f>IF(AND(OR(ISBLANK(J20),ISBLANK(J21)),O30=FALSE),"Red","Gray")</f>
        <v>Red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266" t="s">
        <v>258</v>
      </c>
      <c r="C31" s="97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84"/>
      <c r="O31" s="101" t="b">
        <v>0</v>
      </c>
      <c r="P31" s="101" t="b">
        <v>0</v>
      </c>
      <c r="Q31" s="1" t="str">
        <f>IF(AND(OR(ISBLANK(J24),ISBLANK(J25)),O31=FALSE),"Red","Gray")</f>
        <v>Red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267"/>
      <c r="C32" s="80" t="s">
        <v>23</v>
      </c>
      <c r="D32" s="175"/>
      <c r="E32" s="74"/>
      <c r="F32" s="74"/>
      <c r="G32" s="74"/>
      <c r="H32" s="74"/>
      <c r="I32" s="144">
        <v>37669.129999999997</v>
      </c>
      <c r="J32" s="144"/>
      <c r="K32" s="169"/>
      <c r="L32" s="257"/>
      <c r="M32" s="258"/>
      <c r="N32" s="94"/>
      <c r="O32" s="101" t="b">
        <v>0</v>
      </c>
      <c r="P32" s="101" t="b">
        <v>0</v>
      </c>
      <c r="Q32" s="1" t="str">
        <f>IF(AND(OR(ISBLANK(J28),ISBLANK(J29)),O32=FALSE),"Red","Gray")</f>
        <v>Red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267"/>
      <c r="C33" s="80" t="s">
        <v>24</v>
      </c>
      <c r="D33" s="175"/>
      <c r="E33" s="74"/>
      <c r="F33" s="74"/>
      <c r="G33" s="74"/>
      <c r="H33" s="74"/>
      <c r="I33" s="253">
        <v>757886.04</v>
      </c>
      <c r="J33" s="54"/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Red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268"/>
      <c r="C34" s="23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4.9702894646271617E-2</v>
      </c>
      <c r="J34" s="145" t="str">
        <f>IF(ISBLANK(J32),"N/A",IF(AND(J32=0,J33=0,NOT(ISBLANK(J32)),NOT(ISBLANK(J33))),1,J32/J33))</f>
        <v>N/A</v>
      </c>
      <c r="K34" s="171" t="str">
        <f>IF(ISBLANK(K32),"N/A",IF(AND(K32=0,K33=0,NOT(ISBLANK(K32)),NOT(ISBLANK(K33))),1,K32/K33))</f>
        <v>N/A</v>
      </c>
      <c r="L34" s="259"/>
      <c r="M34" s="260"/>
      <c r="N34" s="103"/>
      <c r="O34" s="101" t="b">
        <v>0</v>
      </c>
      <c r="P34" s="105" t="b">
        <v>0</v>
      </c>
      <c r="Q34" s="1" t="str">
        <f>IF(AND(OR(ISBLANK(J36),ISBLANK(J37)),O34=FALSE),"Red","Gray")</f>
        <v>Red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97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8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09" t="s">
        <v>23</v>
      </c>
      <c r="D36" s="177"/>
      <c r="E36" s="107"/>
      <c r="F36" s="107"/>
      <c r="G36" s="107"/>
      <c r="H36" s="107"/>
      <c r="I36" s="108"/>
      <c r="J36" s="144"/>
      <c r="K36" s="169"/>
      <c r="L36" s="259"/>
      <c r="M36" s="260"/>
      <c r="N36" s="94"/>
      <c r="O36" s="14" t="str">
        <f>IF(AND($D$4=1,Q23="Red"),"Red","Gray")</f>
        <v>Gray</v>
      </c>
      <c r="P36" s="14" t="str">
        <f>IF(AND($D$4=2,R23="Red"),"Red","Gray")</f>
        <v>Gray</v>
      </c>
      <c r="Q36" s="14" t="str">
        <f>IF(AND($D$4=3,Q30="Red"),"Red","Gray")</f>
        <v>Gray</v>
      </c>
      <c r="R36" s="14" t="str">
        <f>IF(AND($D$4=4,R30="Red"),"Red","Gray")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09" t="s">
        <v>24</v>
      </c>
      <c r="D37" s="177"/>
      <c r="E37" s="107"/>
      <c r="F37" s="107"/>
      <c r="G37" s="107"/>
      <c r="H37" s="107"/>
      <c r="I37" s="107"/>
      <c r="J37" s="54"/>
      <c r="K37" s="54"/>
      <c r="L37" s="259"/>
      <c r="M37" s="260"/>
      <c r="N37" s="103"/>
      <c r="O37" s="14" t="str">
        <f>IF(AND($D$4=1,Q24="Red"),"Red","Gray")</f>
        <v>Gray</v>
      </c>
      <c r="P37" s="14" t="str">
        <f>IF(AND($D$4=2,R24="Red"),"Red","Gray")</f>
        <v>Gray</v>
      </c>
      <c r="Q37" s="14" t="str">
        <f>IF(AND($D$4=3,Q31="Red"),"Red","Gray")</f>
        <v>Gray</v>
      </c>
      <c r="R37" s="14" t="str">
        <f>IF(AND($D$4=4,R31="Red"),"Red","Gray")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10" t="s">
        <v>26</v>
      </c>
      <c r="D38" s="178"/>
      <c r="E38" s="112"/>
      <c r="F38" s="112"/>
      <c r="G38" s="112"/>
      <c r="H38" s="112"/>
      <c r="I38" s="112"/>
      <c r="J38" s="145" t="str">
        <f>IF(ISBLANK(J36),"N/A",IF(AND(J36=0,J37=0,NOT(ISBLANK(J36)),NOT(ISBLANK(J37))),1,J36/J37))</f>
        <v>N/A</v>
      </c>
      <c r="K38" s="171" t="str">
        <f>IF(ISBLANK(K36),"N/A",IF(AND(K36=0,K37=0,NOT(ISBLANK(K36)),NOT(ISBLANK(K37))),1,K36/K37))</f>
        <v>N/A</v>
      </c>
      <c r="L38" s="259"/>
      <c r="M38" s="260"/>
      <c r="N38" s="103"/>
      <c r="O38" s="14" t="str">
        <f>IF(AND($D$4=1,Q25="Red"),"Red","Gray")</f>
        <v>Gray</v>
      </c>
      <c r="P38" s="14" t="str">
        <f>IF(AND($D$4=2,R25="Red"),"Red","Gray")</f>
        <v>Gray</v>
      </c>
      <c r="Q38" s="14" t="str">
        <f>IF(AND($D$4=3,Q32="Red"),"Red","Gray")</f>
        <v>Gray</v>
      </c>
      <c r="R38" s="14" t="str">
        <f>IF(AND($D$4=4,R32="Red"),"Red","Gray")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266" t="s">
        <v>260</v>
      </c>
      <c r="C39" s="86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84"/>
      <c r="O39" s="14" t="str">
        <f>IF(AND($D$4=1,Q26="Red"),"Red","Gray")</f>
        <v>Gray</v>
      </c>
      <c r="P39" s="14" t="str">
        <f>IF(AND($D$4=2,R26="Red"),"Red","Gray")</f>
        <v>Gray</v>
      </c>
      <c r="Q39" s="14" t="str">
        <f>IF(AND($D$4=3,Q33="Red"),"Red","Gray")</f>
        <v>Gray</v>
      </c>
      <c r="R39" s="14" t="str">
        <f>IF(AND($D$4=4,R33="Red"),"Red","Gray")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267"/>
      <c r="C40" s="109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94"/>
      <c r="O40" s="14" t="str">
        <f>IF(AND($D$4=1,Q27="Red"),"Red","Gray")</f>
        <v>Gray</v>
      </c>
      <c r="P40" s="14" t="str">
        <f>IF(AND($D$4=2,R27="Red"),"Red","Gray")</f>
        <v>Gray</v>
      </c>
      <c r="Q40" s="14" t="str">
        <f>IF(AND($D$4=3,Q34="Red"),"Red","Gray")</f>
        <v>Gray</v>
      </c>
      <c r="R40" s="14" t="str">
        <f>IF(AND($D$4=4,R34="Red"),"Red","Gray")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267"/>
      <c r="C41" s="109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268"/>
      <c r="C42" s="110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103"/>
      <c r="O42" s="35">
        <f>SUM(O41:R41)</f>
        <v>0</v>
      </c>
      <c r="P42" s="15"/>
      <c r="T42" s="91" t="s">
        <v>87</v>
      </c>
    </row>
    <row r="43" spans="1:20" ht="70.95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89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90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91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92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93</v>
      </c>
    </row>
    <row r="49" spans="1:20" ht="15.75" customHeight="1" x14ac:dyDescent="0.3">
      <c r="B49" s="52"/>
      <c r="C49" s="52"/>
      <c r="D49" s="101" t="s">
        <v>270</v>
      </c>
      <c r="E49" s="52"/>
      <c r="F49" s="52"/>
      <c r="G49" s="52"/>
      <c r="H49" s="53"/>
      <c r="O49" s="14"/>
      <c r="P49" s="15"/>
      <c r="Q49" s="10"/>
      <c r="T49" s="91" t="s">
        <v>94</v>
      </c>
    </row>
    <row r="50" spans="1:20" ht="15.75" hidden="1" customHeight="1" x14ac:dyDescent="0.25">
      <c r="A50" s="275"/>
      <c r="B50" s="275"/>
      <c r="K50" s="14"/>
      <c r="L50" s="14"/>
      <c r="M50" s="14"/>
      <c r="O50" s="15"/>
      <c r="P50" s="10"/>
      <c r="T50" s="91" t="s">
        <v>95</v>
      </c>
    </row>
    <row r="51" spans="1:20" ht="15.75" hidden="1" customHeight="1" x14ac:dyDescent="0.25">
      <c r="B51" s="1">
        <v>0</v>
      </c>
      <c r="D51" s="1" t="s">
        <v>128</v>
      </c>
      <c r="F51" s="1" t="s">
        <v>129</v>
      </c>
      <c r="G51" s="1" t="s">
        <v>130</v>
      </c>
      <c r="H51" s="1" t="s">
        <v>131</v>
      </c>
      <c r="I51" s="1" t="s">
        <v>132</v>
      </c>
      <c r="J51" s="1" t="s">
        <v>139</v>
      </c>
      <c r="K51" s="14"/>
      <c r="L51" s="14"/>
      <c r="M51" s="14"/>
      <c r="N51" s="14"/>
      <c r="O51" s="15"/>
      <c r="P51" s="10"/>
      <c r="T51" s="91" t="s">
        <v>97</v>
      </c>
    </row>
    <row r="52" spans="1:20" ht="55.2" hidden="1" x14ac:dyDescent="0.25">
      <c r="A52" s="1" t="str">
        <f t="shared" ref="A52:A81" si="0">D$8</f>
        <v>Circuit Criminal</v>
      </c>
      <c r="B52" s="1">
        <f>IF(E52="YES",MAX(B51)+1,0)</f>
        <v>0</v>
      </c>
      <c r="C52" s="1" t="str">
        <f>A$11</f>
        <v>CGE CQ1-16</v>
      </c>
      <c r="D52" s="42" t="str">
        <f>"After 3rd Q, Collections went up by more than set percentage of: "&amp;TEXT(J52,"#0%")</f>
        <v>After 3rd Q, Collections went up by more than set percentage of: 500%</v>
      </c>
      <c r="E52" s="1" t="str">
        <f>IF(MAX(F52:G52)&gt;V$10,"YES","NO")</f>
        <v>NO</v>
      </c>
      <c r="F52" s="43">
        <f>IFERROR(IF(NOT(ISBLANK(G12)),(G12-F12)/F12,0),0)</f>
        <v>0.21337754841684672</v>
      </c>
      <c r="G52" s="43">
        <f>IFERROR(IF(NOT(ISBLANK(H12)),(H12-G12)/G12,0),0)</f>
        <v>0.15337074744962126</v>
      </c>
      <c r="J52" s="41">
        <f>V$10</f>
        <v>5</v>
      </c>
      <c r="K52" s="14"/>
      <c r="L52" s="14"/>
      <c r="M52" s="14"/>
      <c r="N52" s="14"/>
      <c r="O52" s="15"/>
      <c r="P52" s="10"/>
      <c r="T52" s="91" t="s">
        <v>98</v>
      </c>
    </row>
    <row r="53" spans="1:20" ht="41.4" hidden="1" x14ac:dyDescent="0.25">
      <c r="A53" s="1" t="str">
        <f t="shared" si="0"/>
        <v>Circuit Criminal</v>
      </c>
      <c r="B53" s="1">
        <f>IF(E53="YES",MAX(B$51:B52)+1,0)</f>
        <v>0</v>
      </c>
      <c r="C53" s="1" t="str">
        <f>A$11</f>
        <v>CGE CQ1-16</v>
      </c>
      <c r="D53" s="42" t="str">
        <f>"Assessments dropped by more than set percentage of: "&amp;TEXT(J53,"#0%")</f>
        <v>Assessments dropped by more than set percentage of: 15%</v>
      </c>
      <c r="E53" s="1" t="str">
        <f>IF(MIN(F53:I53)&lt;(-1*V$11),"YES","NO")</f>
        <v>NO</v>
      </c>
      <c r="F53" s="43">
        <f>IFERROR(IF(NOT(ISBLANK(E13)),(E13-D13)/D13,0),0)</f>
        <v>-3.3370243707637762E-2</v>
      </c>
      <c r="G53" s="43">
        <f>IFERROR(IF(NOT(ISBLANK(F13)),(F13-E13)/E13,0),0)</f>
        <v>-1.5717807064832678E-2</v>
      </c>
      <c r="H53" s="43">
        <f>IFERROR(IF(NOT(ISBLANK(G13)),(G13-F13)/F13,0),0)</f>
        <v>-7.5262460156167799E-3</v>
      </c>
      <c r="I53" s="43">
        <f>IFERROR(IF(NOT(ISBLANK(H13)),(H13-G13)/G13,0),0)</f>
        <v>-4.6290762056990153E-3</v>
      </c>
      <c r="J53" s="41">
        <f>V$11</f>
        <v>0.15</v>
      </c>
      <c r="K53" s="14"/>
      <c r="L53" s="14"/>
      <c r="M53" s="14"/>
      <c r="N53" s="14"/>
      <c r="O53" s="15"/>
      <c r="P53" s="10"/>
      <c r="T53" s="91" t="s">
        <v>99</v>
      </c>
    </row>
    <row r="54" spans="1:20" ht="82.8" hidden="1" x14ac:dyDescent="0.25">
      <c r="A54" s="1" t="str">
        <f t="shared" si="0"/>
        <v>Circuit Criminal</v>
      </c>
      <c r="B54" s="1">
        <f>IF(E54="YES",MAX(B$51:B53)+1,0)</f>
        <v>0</v>
      </c>
      <c r="C54" s="1" t="str">
        <f>A$11</f>
        <v>CGE CQ1-16</v>
      </c>
      <c r="D54" s="42" t="str">
        <f>"The 5th Quarter Collection Rate did not meet the established performance measure standard of: "&amp;TEXT(J54,"#0%")</f>
        <v>The 5th Quarter Collection Rate did not meet the established performance measure standard of: 9%</v>
      </c>
      <c r="E54" s="1" t="str">
        <f>IF(F54="N/A","NO",IF(F54&lt;H$8,"YES","NO"))</f>
        <v>NO</v>
      </c>
      <c r="F54" s="44">
        <f>H14</f>
        <v>0.19112302504142561</v>
      </c>
      <c r="J54" s="41">
        <f>H$8</f>
        <v>0.09</v>
      </c>
      <c r="K54" s="14"/>
      <c r="L54" s="14"/>
      <c r="M54" s="14"/>
      <c r="N54" s="14"/>
      <c r="T54" s="91" t="s">
        <v>100</v>
      </c>
    </row>
    <row r="55" spans="1:20" ht="41.4" hidden="1" x14ac:dyDescent="0.25">
      <c r="A55" s="1" t="str">
        <f t="shared" si="0"/>
        <v>Circuit Criminal</v>
      </c>
      <c r="B55" s="1">
        <f>IF(E55="YES",MAX(B$51:B54)+1,0)</f>
        <v>0</v>
      </c>
      <c r="C55" s="1" t="str">
        <f>A$11</f>
        <v>CGE CQ1-16</v>
      </c>
      <c r="D55" s="42" t="s">
        <v>133</v>
      </c>
      <c r="E55" s="1" t="str">
        <f>IF(MIN(F55:I55)&lt;0,"YES","NO")</f>
        <v>NO</v>
      </c>
      <c r="F55" s="43">
        <f t="shared" ref="F55:I56" si="1">IFERROR(IF(NOT(ISBLANK(E12)),(E12-D12)/D12,0),0)</f>
        <v>0.51314433432280748</v>
      </c>
      <c r="G55" s="43">
        <f t="shared" si="1"/>
        <v>0.18966775594601384</v>
      </c>
      <c r="H55" s="43">
        <f t="shared" si="1"/>
        <v>0.21337754841684672</v>
      </c>
      <c r="I55" s="43">
        <f t="shared" si="1"/>
        <v>0.15337074744962126</v>
      </c>
      <c r="K55" s="14"/>
      <c r="L55" s="14"/>
      <c r="M55" s="14"/>
      <c r="N55" s="14"/>
      <c r="O55" s="15"/>
      <c r="P55" s="10"/>
      <c r="T55" s="91" t="s">
        <v>101</v>
      </c>
    </row>
    <row r="56" spans="1:20" ht="41.4" hidden="1" x14ac:dyDescent="0.25">
      <c r="A56" s="1" t="str">
        <f t="shared" si="0"/>
        <v>Circuit Criminal</v>
      </c>
      <c r="B56" s="1">
        <f>IF(E56="YES",MAX(B$51:B55)+1,0)</f>
        <v>0</v>
      </c>
      <c r="C56" s="1" t="str">
        <f>A$11</f>
        <v>CGE CQ1-16</v>
      </c>
      <c r="D56" s="42" t="s">
        <v>134</v>
      </c>
      <c r="E56" s="1" t="str">
        <f>IF(MAX(F56:I56)&gt;0,"YES","NO")</f>
        <v>NO</v>
      </c>
      <c r="F56" s="43">
        <f t="shared" si="1"/>
        <v>-3.3370243707637762E-2</v>
      </c>
      <c r="G56" s="43">
        <f t="shared" si="1"/>
        <v>-1.5717807064832678E-2</v>
      </c>
      <c r="H56" s="43">
        <f t="shared" si="1"/>
        <v>-7.5262460156167799E-3</v>
      </c>
      <c r="I56" s="43">
        <f t="shared" si="1"/>
        <v>-4.6290762056990153E-3</v>
      </c>
      <c r="K56" s="14"/>
      <c r="L56" s="14"/>
      <c r="M56" s="14"/>
      <c r="N56" s="14"/>
      <c r="O56" s="15"/>
      <c r="P56" s="10"/>
      <c r="T56" s="91" t="s">
        <v>102</v>
      </c>
    </row>
    <row r="57" spans="1:20" ht="55.2" hidden="1" x14ac:dyDescent="0.25">
      <c r="A57" s="1" t="str">
        <f t="shared" si="0"/>
        <v>Circuit Criminal</v>
      </c>
      <c r="B57" s="1">
        <f>IF(E57="YES",MAX(B$51:B56)+1,0)</f>
        <v>0</v>
      </c>
      <c r="C57" s="1" t="str">
        <f>A$15</f>
        <v>CGE CQ2-16</v>
      </c>
      <c r="D57" s="42" t="str">
        <f>"After 3rd Q, Collections went up by more than set percentage of: "&amp;TEXT(J57,"#0%")</f>
        <v>After 3rd Q, Collections went up by more than set percentage of: 500%</v>
      </c>
      <c r="E57" s="1" t="str">
        <f>IF(MAX(F57:G57)&gt;V$10,"YES","NO")</f>
        <v>NO</v>
      </c>
      <c r="F57" s="43">
        <f>IFERROR(IF(NOT(ISBLANK(H16)),(H16-G16)/G16,0),0)</f>
        <v>0.17445637791761476</v>
      </c>
      <c r="G57" s="43">
        <f>IFERROR(IF(NOT(ISBLANK(I16)),(I16-H16)/H16,0),0)</f>
        <v>0.23003344296693953</v>
      </c>
      <c r="H57" s="43"/>
      <c r="J57" s="41">
        <f>V$10</f>
        <v>5</v>
      </c>
      <c r="K57" s="14"/>
      <c r="L57" s="14"/>
      <c r="M57" s="14"/>
      <c r="N57" s="14"/>
      <c r="O57" s="15"/>
      <c r="T57" s="91" t="s">
        <v>103</v>
      </c>
    </row>
    <row r="58" spans="1:20" s="18" customFormat="1" ht="42" hidden="1" x14ac:dyDescent="0.3">
      <c r="A58" s="1" t="str">
        <f t="shared" si="0"/>
        <v>Circuit Criminal</v>
      </c>
      <c r="B58" s="1">
        <f>IF(E58="YES",MAX(B$51:B57)+1,0)</f>
        <v>0</v>
      </c>
      <c r="C58" s="1" t="str">
        <f>A$15</f>
        <v>CGE CQ2-16</v>
      </c>
      <c r="D58" s="42" t="str">
        <f>"Assessments dropped by more than set percentage of: "&amp;TEXT(J58,"#0%")</f>
        <v>Assessments dropped by more than set percentage of: 15%</v>
      </c>
      <c r="E58" s="1" t="str">
        <f>IF(MIN(F58:I58)&lt;(-1*V$11),"YES","NO")</f>
        <v>NO</v>
      </c>
      <c r="F58" s="43">
        <f>IFERROR(IF(NOT(ISBLANK(F17)),(F17-E17)/E17,0),0)</f>
        <v>-2.6932834195840121E-2</v>
      </c>
      <c r="G58" s="43">
        <f>IFERROR(IF(NOT(ISBLANK(G17)),(G17-F17)/F17,0),0)</f>
        <v>-9.9676365042412913E-3</v>
      </c>
      <c r="H58" s="43">
        <f>IFERROR(IF(NOT(ISBLANK(H17)),(H17-G17)/G17,0),0)</f>
        <v>-5.4143572217267514E-3</v>
      </c>
      <c r="I58" s="43">
        <f>IFERROR(IF(NOT(ISBLANK(I17)),(I17-H17)/H17,0),0)</f>
        <v>-5.2049000850753393E-3</v>
      </c>
      <c r="J58" s="41">
        <f>V$11</f>
        <v>0.15</v>
      </c>
      <c r="K58" s="14"/>
      <c r="L58" s="14"/>
      <c r="M58" s="14"/>
      <c r="N58" s="14"/>
      <c r="O58" s="17"/>
      <c r="P58" s="10"/>
      <c r="T58" s="91" t="s">
        <v>104</v>
      </c>
    </row>
    <row r="59" spans="1:20" ht="41.4" hidden="1" x14ac:dyDescent="0.25">
      <c r="A59" s="1" t="str">
        <f t="shared" si="0"/>
        <v>Circuit Criminal</v>
      </c>
      <c r="B59" s="1">
        <f>IF(E59="YES",MAX(B$51:B58)+1,0)</f>
        <v>0</v>
      </c>
      <c r="C59" s="1" t="str">
        <f>A$15</f>
        <v>CGE CQ2-16</v>
      </c>
      <c r="D59" s="42" t="s">
        <v>133</v>
      </c>
      <c r="E59" s="1" t="str">
        <f>IF(MIN(F59:I59)&lt;0,"YES","NO")</f>
        <v>NO</v>
      </c>
      <c r="F59" s="43">
        <f t="shared" ref="F59:I60" si="2">IFERROR(IF(NOT(ISBLANK(F16)),(F16-E16)/E16,0),0)</f>
        <v>0.33919899655971952</v>
      </c>
      <c r="G59" s="43">
        <f t="shared" si="2"/>
        <v>0.16501252333819791</v>
      </c>
      <c r="H59" s="43">
        <f t="shared" si="2"/>
        <v>0.17445637791761476</v>
      </c>
      <c r="I59" s="43">
        <f t="shared" si="2"/>
        <v>0.23003344296693953</v>
      </c>
      <c r="K59" s="14"/>
      <c r="L59" s="14"/>
      <c r="M59" s="14"/>
      <c r="N59" s="14"/>
      <c r="O59" s="15"/>
      <c r="P59" s="10"/>
      <c r="T59" s="91" t="s">
        <v>105</v>
      </c>
    </row>
    <row r="60" spans="1:20" ht="41.4" hidden="1" x14ac:dyDescent="0.25">
      <c r="A60" s="1" t="str">
        <f t="shared" si="0"/>
        <v>Circuit Criminal</v>
      </c>
      <c r="B60" s="1">
        <f>IF(E60="YES",MAX(B$51:B59)+1,0)</f>
        <v>0</v>
      </c>
      <c r="C60" s="1" t="str">
        <f>A$15</f>
        <v>CGE CQ2-16</v>
      </c>
      <c r="D60" s="42" t="s">
        <v>134</v>
      </c>
      <c r="E60" s="1" t="str">
        <f>IF(MAX(F60:I60)&gt;0,"YES","NO")</f>
        <v>NO</v>
      </c>
      <c r="F60" s="43">
        <f t="shared" si="2"/>
        <v>-2.6932834195840121E-2</v>
      </c>
      <c r="G60" s="43">
        <f t="shared" si="2"/>
        <v>-9.9676365042412913E-3</v>
      </c>
      <c r="H60" s="43">
        <f t="shared" si="2"/>
        <v>-5.4143572217267514E-3</v>
      </c>
      <c r="I60" s="43">
        <f t="shared" si="2"/>
        <v>-5.2049000850753393E-3</v>
      </c>
      <c r="K60" s="14"/>
      <c r="L60" s="14"/>
      <c r="M60" s="14"/>
      <c r="N60" s="14"/>
      <c r="T60" s="91" t="s">
        <v>106</v>
      </c>
    </row>
    <row r="61" spans="1:20" ht="82.8" hidden="1" x14ac:dyDescent="0.25">
      <c r="A61" s="1" t="str">
        <f t="shared" si="0"/>
        <v>Circuit Criminal</v>
      </c>
      <c r="B61" s="1">
        <f>IF(E61="YES",MAX(B$51:B60)+1,0)</f>
        <v>0</v>
      </c>
      <c r="C61" s="1" t="str">
        <f>A$15</f>
        <v>CGE CQ2-16</v>
      </c>
      <c r="D61" s="42" t="str">
        <f>"The 5th Quarter Collection Rate did not meet the established performance measure standard of: "&amp;TEXT(J61,"#0%")</f>
        <v>The 5th Quarter Collection Rate did not meet the established performance measure standard of: 9%</v>
      </c>
      <c r="E61" s="1" t="str">
        <f>IF(F61="N/A","NO",IF(F61&lt;H$8,"YES","NO"))</f>
        <v>NO</v>
      </c>
      <c r="F61" s="44">
        <f>I18</f>
        <v>0.15935530289060593</v>
      </c>
      <c r="J61" s="41">
        <f>H$8</f>
        <v>0.09</v>
      </c>
      <c r="K61" s="14"/>
      <c r="L61" s="14"/>
      <c r="M61" s="14"/>
      <c r="N61" s="14"/>
      <c r="O61" s="15"/>
      <c r="T61" s="91" t="s">
        <v>107</v>
      </c>
    </row>
    <row r="62" spans="1:20" ht="55.2" hidden="1" x14ac:dyDescent="0.25">
      <c r="A62" s="1" t="str">
        <f t="shared" si="0"/>
        <v>Circuit Criminal</v>
      </c>
      <c r="B62" s="1">
        <f>IF(E62="YES",MAX(B$51:B61)+1,0)</f>
        <v>0</v>
      </c>
      <c r="C62" s="1" t="str">
        <f>A$19</f>
        <v>CGE CQ3-16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IFERROR(IF(NOT(ISBLANK(I20)),(I20-H20)/H20,0),0)</f>
        <v>0.40766377768097484</v>
      </c>
      <c r="G62" s="43">
        <f>IFERROR(IF(NOT(ISBLANK(J20)),(J20-I20)/I20,0),0)</f>
        <v>0</v>
      </c>
      <c r="J62" s="41">
        <f>V$10</f>
        <v>5</v>
      </c>
      <c r="K62" s="14"/>
      <c r="L62" s="14"/>
      <c r="M62" s="14"/>
      <c r="N62" s="14"/>
      <c r="O62" s="15"/>
      <c r="T62" s="91" t="s">
        <v>108</v>
      </c>
    </row>
    <row r="63" spans="1:20" ht="41.4" hidden="1" x14ac:dyDescent="0.25">
      <c r="A63" s="1" t="str">
        <f t="shared" si="0"/>
        <v>Circuit Criminal</v>
      </c>
      <c r="B63" s="1">
        <f>IF(E63="YES",MAX(B$51:B62)+1,0)</f>
        <v>0</v>
      </c>
      <c r="C63" s="1" t="str">
        <f>A$19</f>
        <v>CGE CQ3-16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IFERROR(IF(NOT(ISBLANK(G21)),(G21-F21)/F21,0),0)</f>
        <v>-3.4932034832278601E-2</v>
      </c>
      <c r="G63" s="43">
        <f>IFERROR(IF(NOT(ISBLANK(H21)),(H21-G21)/G21,0),0)</f>
        <v>-1.4623235241197652E-2</v>
      </c>
      <c r="H63" s="43">
        <f>IFERROR(IF(NOT(ISBLANK(I21)),(I21-H21)/H21,0),0)</f>
        <v>-7.476107557881943E-3</v>
      </c>
      <c r="I63" s="43">
        <f>IFERROR(IF(NOT(ISBLANK(J21)),(J21-I21)/I21,0),0)</f>
        <v>0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109</v>
      </c>
    </row>
    <row r="64" spans="1:20" ht="41.4" hidden="1" x14ac:dyDescent="0.25">
      <c r="A64" s="1" t="str">
        <f t="shared" si="0"/>
        <v>Circuit Criminal</v>
      </c>
      <c r="B64" s="1">
        <f>IF(E64="YES",MAX(B$51:B63)+1,0)</f>
        <v>0</v>
      </c>
      <c r="C64" s="1" t="str">
        <f>A$19</f>
        <v>CGE CQ3-16</v>
      </c>
      <c r="D64" s="42" t="s">
        <v>133</v>
      </c>
      <c r="E64" s="1" t="str">
        <f>IF(MIN(F64:I64)&lt;0,"YES","NO")</f>
        <v>NO</v>
      </c>
      <c r="F64" s="43">
        <f t="shared" ref="F64:I65" si="3">IFERROR(IF(NOT(ISBLANK(G20)),(G20-F20)/F20,0),0)</f>
        <v>0.25378438470443393</v>
      </c>
      <c r="G64" s="43">
        <f t="shared" si="3"/>
        <v>0.16871451455471162</v>
      </c>
      <c r="H64" s="43">
        <f t="shared" si="3"/>
        <v>0.40766377768097484</v>
      </c>
      <c r="I64" s="43">
        <f t="shared" si="3"/>
        <v>0</v>
      </c>
      <c r="K64" s="14"/>
      <c r="L64" s="14"/>
      <c r="M64" s="14"/>
      <c r="N64" s="14"/>
      <c r="O64" s="15"/>
      <c r="P64" s="10"/>
      <c r="T64" s="91" t="s">
        <v>110</v>
      </c>
    </row>
    <row r="65" spans="1:20" ht="41.4" hidden="1" x14ac:dyDescent="0.25">
      <c r="A65" s="1" t="str">
        <f t="shared" si="0"/>
        <v>Circuit Criminal</v>
      </c>
      <c r="B65" s="1">
        <f>IF(E65="YES",MAX(B$51:B64)+1,0)</f>
        <v>0</v>
      </c>
      <c r="C65" s="1" t="str">
        <f>A$19</f>
        <v>CGE CQ3-16</v>
      </c>
      <c r="D65" s="42" t="s">
        <v>134</v>
      </c>
      <c r="E65" s="1" t="str">
        <f>IF(MAX(F65:I65)&gt;0,"YES","NO")</f>
        <v>NO</v>
      </c>
      <c r="F65" s="43">
        <f t="shared" si="3"/>
        <v>-3.4932034832278601E-2</v>
      </c>
      <c r="G65" s="43">
        <f t="shared" si="3"/>
        <v>-1.4623235241197652E-2</v>
      </c>
      <c r="H65" s="43">
        <f t="shared" si="3"/>
        <v>-7.476107557881943E-3</v>
      </c>
      <c r="I65" s="43">
        <f t="shared" si="3"/>
        <v>0</v>
      </c>
      <c r="K65" s="14"/>
      <c r="L65" s="14"/>
      <c r="M65" s="14"/>
      <c r="N65" s="14"/>
      <c r="T65" s="91" t="s">
        <v>111</v>
      </c>
    </row>
    <row r="66" spans="1:20" ht="82.8" hidden="1" x14ac:dyDescent="0.25">
      <c r="A66" s="1" t="str">
        <f t="shared" si="0"/>
        <v>Circuit Criminal</v>
      </c>
      <c r="B66" s="1">
        <f>IF(E66="YES",MAX(B$51:B65)+1,0)</f>
        <v>0</v>
      </c>
      <c r="C66" s="1" t="str">
        <f>A$19</f>
        <v>CGE CQ3-16</v>
      </c>
      <c r="D66" s="42" t="str">
        <f>"The 5th Quarter Collection Rate did not meet the established performance measure standard of: "&amp;TEXT(J66,"#0%")</f>
        <v>The 5th Quarter Collection Rate did not meet the established performance measure standard of: 9%</v>
      </c>
      <c r="E66" s="1" t="str">
        <f>IF(F66="N/A","NO",IF(F66&lt;H$8,"YES","NO"))</f>
        <v>NO</v>
      </c>
      <c r="F66" s="44" t="str">
        <f>J22</f>
        <v>N/A</v>
      </c>
      <c r="J66" s="41">
        <f>H$8</f>
        <v>0.09</v>
      </c>
      <c r="K66" s="14"/>
      <c r="L66" s="14"/>
      <c r="M66" s="14"/>
      <c r="N66" s="14"/>
      <c r="O66" s="15"/>
      <c r="T66" s="91" t="s">
        <v>112</v>
      </c>
    </row>
    <row r="67" spans="1:20" s="16" customFormat="1" ht="55.2" hidden="1" x14ac:dyDescent="0.25">
      <c r="A67" s="1" t="str">
        <f t="shared" si="0"/>
        <v>Circuit Criminal</v>
      </c>
      <c r="B67" s="1">
        <f>IF(E67="YES",MAX(B$51:B66)+1,0)</f>
        <v>0</v>
      </c>
      <c r="C67" s="1" t="str">
        <f>A$23</f>
        <v>CGE CQ4-16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IFERROR(IF(NOT(ISBLANK(J24)),(J24-I24)/I24,0),0)</f>
        <v>0</v>
      </c>
      <c r="G67" s="43">
        <f>IFERROR(IF(NOT(ISBLANK(K24)),(K24-J24)/J24,0),0)</f>
        <v>0</v>
      </c>
      <c r="H67" s="1"/>
      <c r="I67" s="1"/>
      <c r="J67" s="41">
        <f>V$10</f>
        <v>5</v>
      </c>
      <c r="K67" s="14"/>
      <c r="L67" s="14"/>
      <c r="M67" s="14"/>
      <c r="N67" s="14"/>
      <c r="O67" s="11"/>
      <c r="P67" s="1"/>
      <c r="T67" s="91" t="s">
        <v>113</v>
      </c>
    </row>
    <row r="68" spans="1:20" ht="41.4" hidden="1" x14ac:dyDescent="0.25">
      <c r="A68" s="1" t="str">
        <f t="shared" si="0"/>
        <v>Circuit Criminal</v>
      </c>
      <c r="B68" s="1">
        <f>IF(E68="YES",MAX(B$51:B67)+1,0)</f>
        <v>0</v>
      </c>
      <c r="C68" s="1" t="str">
        <f>A$23</f>
        <v>CGE CQ4-16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IFERROR(IF(NOT(ISBLANK(H25)),(H25-G25)/G25,0),0)</f>
        <v>-2.5049487930730724E-2</v>
      </c>
      <c r="G68" s="43">
        <f>IFERROR(IF(NOT(ISBLANK(I25)),(I25-H25)/H25,0),0)</f>
        <v>-9.72943651049182E-3</v>
      </c>
      <c r="H68" s="43">
        <f>IFERROR(IF(NOT(ISBLANK(J25)),(J25-I25)/I25,0),0)</f>
        <v>0</v>
      </c>
      <c r="I68" s="43">
        <f>IFERROR(IF(NOT(ISBLANK(K25)),(K25-J25)/J25,0),0)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114</v>
      </c>
    </row>
    <row r="69" spans="1:20" ht="41.4" hidden="1" x14ac:dyDescent="0.25">
      <c r="A69" s="1" t="str">
        <f t="shared" si="0"/>
        <v>Circuit Criminal</v>
      </c>
      <c r="B69" s="1">
        <f>IF(E69="YES",MAX(B$51:B68)+1,0)</f>
        <v>0</v>
      </c>
      <c r="C69" s="1" t="str">
        <f>A$23</f>
        <v>CGE CQ4-16</v>
      </c>
      <c r="D69" s="42" t="s">
        <v>133</v>
      </c>
      <c r="E69" s="1" t="str">
        <f>IF(MIN(F69:I69)&lt;0,"YES","NO")</f>
        <v>NO</v>
      </c>
      <c r="F69" s="43">
        <f t="shared" ref="F69:I70" si="4">IFERROR(IF(NOT(ISBLANK(H24)),(H24-G24)/G24,0),0)</f>
        <v>0.34472398400849136</v>
      </c>
      <c r="G69" s="43">
        <f t="shared" si="4"/>
        <v>0.37126372280685288</v>
      </c>
      <c r="H69" s="43">
        <f t="shared" si="4"/>
        <v>0</v>
      </c>
      <c r="I69" s="43">
        <f t="shared" si="4"/>
        <v>0</v>
      </c>
      <c r="K69" s="14"/>
      <c r="L69" s="14"/>
      <c r="M69" s="14"/>
      <c r="N69" s="14"/>
      <c r="O69" s="15"/>
      <c r="P69" s="10"/>
    </row>
    <row r="70" spans="1:20" s="16" customFormat="1" ht="41.4" hidden="1" x14ac:dyDescent="0.25">
      <c r="A70" s="1" t="str">
        <f t="shared" si="0"/>
        <v>Circuit Criminal</v>
      </c>
      <c r="B70" s="1">
        <f>IF(E70="YES",MAX(B$51:B69)+1,0)</f>
        <v>0</v>
      </c>
      <c r="C70" s="1" t="str">
        <f>A$23</f>
        <v>CGE CQ4-16</v>
      </c>
      <c r="D70" s="42" t="s">
        <v>134</v>
      </c>
      <c r="E70" s="1" t="str">
        <f>IF(MAX(F70:I70)&gt;0,"YES","NO")</f>
        <v>NO</v>
      </c>
      <c r="F70" s="43">
        <f t="shared" si="4"/>
        <v>-2.5049487930730724E-2</v>
      </c>
      <c r="G70" s="43">
        <f t="shared" si="4"/>
        <v>-9.72943651049182E-3</v>
      </c>
      <c r="H70" s="43">
        <f t="shared" si="4"/>
        <v>0</v>
      </c>
      <c r="I70" s="43">
        <f t="shared" si="4"/>
        <v>0</v>
      </c>
      <c r="J70" s="1"/>
      <c r="K70" s="14"/>
      <c r="L70" s="14"/>
      <c r="M70" s="14"/>
      <c r="N70" s="14"/>
      <c r="O70" s="11"/>
      <c r="P70" s="1"/>
      <c r="T70" s="1"/>
    </row>
    <row r="71" spans="1:20" s="16" customFormat="1" ht="82.8" hidden="1" x14ac:dyDescent="0.25">
      <c r="A71" s="1" t="str">
        <f t="shared" si="0"/>
        <v>Circuit Criminal</v>
      </c>
      <c r="B71" s="1">
        <f>IF(E71="YES",MAX(B$51:B70)+1,0)</f>
        <v>0</v>
      </c>
      <c r="C71" s="1" t="str">
        <f>A$23</f>
        <v>CGE CQ4-16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9%</v>
      </c>
      <c r="E71" s="1" t="str">
        <f>IF(F71="N/A","NO",IF(F71&lt;H$8,"YES","NO"))</f>
        <v>NO</v>
      </c>
      <c r="F71" s="44" t="str">
        <f>K26</f>
        <v>N/A</v>
      </c>
      <c r="G71" s="1"/>
      <c r="H71" s="1"/>
      <c r="I71" s="1"/>
      <c r="J71" s="41">
        <f>H$8</f>
        <v>0.09</v>
      </c>
      <c r="K71" s="14"/>
      <c r="L71" s="14"/>
      <c r="M71" s="14"/>
      <c r="N71" s="14"/>
      <c r="O71" s="11"/>
      <c r="P71" s="1"/>
      <c r="T71" s="1"/>
    </row>
    <row r="72" spans="1:20" ht="55.8" hidden="1" x14ac:dyDescent="0.3">
      <c r="A72" s="1" t="str">
        <f t="shared" si="0"/>
        <v>Circuit Criminal</v>
      </c>
      <c r="B72" s="1">
        <f>IF(E72="YES",MAX(B$51:B71)+1,0)</f>
        <v>0</v>
      </c>
      <c r="C72" s="1" t="str">
        <f>A$27</f>
        <v>CGE CQ1-17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IF(MAX(F72)&gt;V$10,"YES","NO")</f>
        <v>NO</v>
      </c>
      <c r="F72" s="43">
        <f>IFERROR(IF(NOT(ISBLANK(K28)),(K28-J28)/J28,0),0)</f>
        <v>0</v>
      </c>
      <c r="G72" s="43"/>
      <c r="J72" s="41">
        <f>V$10</f>
        <v>5</v>
      </c>
      <c r="K72" s="14"/>
      <c r="L72" s="14"/>
      <c r="M72" s="14"/>
      <c r="N72" s="14"/>
      <c r="O72" s="11"/>
      <c r="P72" s="18"/>
    </row>
    <row r="73" spans="1:20" ht="41.4" hidden="1" x14ac:dyDescent="0.25">
      <c r="A73" s="1" t="str">
        <f t="shared" si="0"/>
        <v>Circuit Criminal</v>
      </c>
      <c r="B73" s="1">
        <f>IF(E73="YES",MAX(B$51:B72)+1,0)</f>
        <v>0</v>
      </c>
      <c r="C73" s="1" t="str">
        <f>A$27</f>
        <v>CGE CQ1-17</v>
      </c>
      <c r="D73" s="42" t="str">
        <f>"Assessments dropped by more than set percentage of: "&amp;TEXT(J73,"#0%")</f>
        <v>Assessments dropped by more than set percentage of: 15%</v>
      </c>
      <c r="E73" s="1" t="str">
        <f>IF(MIN(F73:H73)&lt;(-1*V$11),"YES","NO")</f>
        <v>NO</v>
      </c>
      <c r="F73" s="43">
        <f>IFERROR(IF(NOT(ISBLANK(I29)),(I29-H29)/H29,0),0)</f>
        <v>-2.7058746086946795E-2</v>
      </c>
      <c r="G73" s="43">
        <f>IFERROR(IF(NOT(ISBLANK(J29)),(J29-I29)/I29,0),0)</f>
        <v>0</v>
      </c>
      <c r="H73" s="43">
        <f>IFERROR(IF(NOT(ISBLANK(K29)),(K29-J29)/J29,0),0)</f>
        <v>0</v>
      </c>
      <c r="J73" s="41">
        <f>V$11</f>
        <v>0.15</v>
      </c>
      <c r="K73" s="14"/>
      <c r="L73" s="14"/>
      <c r="M73" s="14"/>
      <c r="N73" s="14"/>
      <c r="O73" s="15"/>
      <c r="P73" s="10"/>
    </row>
    <row r="74" spans="1:20" ht="41.4" hidden="1" x14ac:dyDescent="0.25">
      <c r="A74" s="1" t="str">
        <f t="shared" si="0"/>
        <v>Circuit Criminal</v>
      </c>
      <c r="B74" s="1">
        <f>IF(E74="YES",MAX(B$51:B73)+1,0)</f>
        <v>0</v>
      </c>
      <c r="C74" s="1" t="str">
        <f>A$27</f>
        <v>CGE CQ1-17</v>
      </c>
      <c r="D74" s="42" t="s">
        <v>133</v>
      </c>
      <c r="E74" s="1" t="str">
        <f>IF(MIN(F74:H74)&lt;0,"YES","NO")</f>
        <v>NO</v>
      </c>
      <c r="F74" s="43">
        <f t="shared" ref="F74:H75" si="5">IFERROR(IF(NOT(ISBLANK(I28)),(I28-H28)/H28,0),0)</f>
        <v>0.5261690317244252</v>
      </c>
      <c r="G74" s="43">
        <f t="shared" si="5"/>
        <v>0</v>
      </c>
      <c r="H74" s="43">
        <f t="shared" si="5"/>
        <v>0</v>
      </c>
      <c r="K74" s="14"/>
      <c r="L74" s="14"/>
      <c r="M74" s="14"/>
      <c r="N74" s="14"/>
      <c r="O74" s="15"/>
      <c r="P74" s="10"/>
      <c r="T74" s="91"/>
    </row>
    <row r="75" spans="1:20" ht="42" hidden="1" x14ac:dyDescent="0.3">
      <c r="A75" s="1" t="str">
        <f t="shared" si="0"/>
        <v>Circuit Criminal</v>
      </c>
      <c r="B75" s="1">
        <f>IF(E75="YES",MAX(B$51:B74)+1,0)</f>
        <v>0</v>
      </c>
      <c r="C75" s="1" t="str">
        <f>A$27</f>
        <v>CGE CQ1-17</v>
      </c>
      <c r="D75" s="42" t="s">
        <v>134</v>
      </c>
      <c r="E75" s="1" t="str">
        <f>IF(MAX(F75:H75)&gt;0,"YES","NO")</f>
        <v>NO</v>
      </c>
      <c r="F75" s="43">
        <f t="shared" si="5"/>
        <v>-2.7058746086946795E-2</v>
      </c>
      <c r="G75" s="43">
        <f t="shared" si="5"/>
        <v>0</v>
      </c>
      <c r="H75" s="43">
        <f t="shared" si="5"/>
        <v>0</v>
      </c>
      <c r="K75" s="14"/>
      <c r="L75" s="14"/>
      <c r="M75" s="14"/>
      <c r="N75" s="14"/>
      <c r="O75" s="11"/>
      <c r="P75" s="18"/>
    </row>
    <row r="76" spans="1:20" ht="41.4" hidden="1" x14ac:dyDescent="0.25">
      <c r="A76" s="1" t="str">
        <f t="shared" si="0"/>
        <v>Circuit Criminal</v>
      </c>
      <c r="B76" s="1">
        <f>IF(E76="YES",MAX(B$51:B75)+1,0)</f>
        <v>0</v>
      </c>
      <c r="C76" s="1" t="str">
        <f>A$31</f>
        <v>CGE CQ2-17</v>
      </c>
      <c r="D76" s="42" t="str">
        <f>"Assessments dropped by more than set percentage of: "&amp;TEXT(J76,"#0%")</f>
        <v>Assessments dropped by more than set percentage of: 15%</v>
      </c>
      <c r="E76" s="1" t="str">
        <f>IF(MIN(F76:G76)&lt;(-1*V$11),"YES","NO")</f>
        <v>NO</v>
      </c>
      <c r="F76" s="43">
        <f>IFERROR(IF(NOT(ISBLANK(J33)),(J33-I33)/I33,0),0)</f>
        <v>0</v>
      </c>
      <c r="G76" s="43">
        <f>IFERROR(IF(NOT(ISBLANK(K33)),(K33-J33)/J33,0),0)</f>
        <v>0</v>
      </c>
      <c r="J76" s="41">
        <f>V$11</f>
        <v>0.15</v>
      </c>
      <c r="K76" s="14"/>
      <c r="L76" s="14"/>
      <c r="M76" s="14"/>
      <c r="N76" s="14"/>
      <c r="O76" s="15"/>
      <c r="P76" s="10"/>
      <c r="T76" s="91"/>
    </row>
    <row r="77" spans="1:20" ht="41.4" hidden="1" x14ac:dyDescent="0.25">
      <c r="A77" s="1" t="str">
        <f t="shared" si="0"/>
        <v>Circuit Criminal</v>
      </c>
      <c r="B77" s="1">
        <f>IF(E77="YES",MAX(B$51:B76)+1,0)</f>
        <v>0</v>
      </c>
      <c r="C77" s="1" t="str">
        <f>A$31</f>
        <v>CGE CQ2-17</v>
      </c>
      <c r="D77" s="42" t="s">
        <v>133</v>
      </c>
      <c r="E77" s="1" t="str">
        <f>IF(MIN(F77:G77)&lt;0,"YES","NO")</f>
        <v>NO</v>
      </c>
      <c r="F77" s="43">
        <f>IFERROR(IF(NOT(ISBLANK(J32)),(J32-I32)/I32,0),0)</f>
        <v>0</v>
      </c>
      <c r="G77" s="43">
        <f>IFERROR(IF(NOT(ISBLANK(K32)),(K32-J32)/J32,0),0)</f>
        <v>0</v>
      </c>
      <c r="K77" s="14"/>
      <c r="L77" s="14"/>
      <c r="M77" s="14"/>
      <c r="N77" s="14"/>
      <c r="O77" s="15"/>
      <c r="P77" s="10"/>
      <c r="T77" s="91"/>
    </row>
    <row r="78" spans="1:20" ht="41.4" hidden="1" x14ac:dyDescent="0.25">
      <c r="A78" s="1" t="str">
        <f t="shared" si="0"/>
        <v>Circuit Criminal</v>
      </c>
      <c r="B78" s="1">
        <f>IF(E78="YES",MAX(B$51:B77)+1,0)</f>
        <v>0</v>
      </c>
      <c r="C78" s="1" t="str">
        <f>A$31</f>
        <v>CGE CQ2-17</v>
      </c>
      <c r="D78" s="42" t="s">
        <v>134</v>
      </c>
      <c r="E78" s="1" t="str">
        <f>IF(MAX(F78:G78)&gt;0,"YES","NO")</f>
        <v>NO</v>
      </c>
      <c r="F78" s="43">
        <f>IFERROR(IF(NOT(ISBLANK(J33)),(J33-I33)/I33,0),0)</f>
        <v>0</v>
      </c>
      <c r="G78" s="43">
        <f>IFERROR(IF(NOT(ISBLANK(K33)),(K33-J33)/J33,0),0)</f>
        <v>0</v>
      </c>
      <c r="K78" s="14"/>
      <c r="L78" s="14"/>
      <c r="M78" s="14"/>
      <c r="N78" s="14"/>
      <c r="O78" s="15"/>
      <c r="P78" s="10"/>
    </row>
    <row r="79" spans="1:20" ht="41.4" hidden="1" x14ac:dyDescent="0.25">
      <c r="A79" s="1" t="str">
        <f t="shared" si="0"/>
        <v>Circuit Criminal</v>
      </c>
      <c r="B79" s="1">
        <f>IF(E79="YES",MAX(B$51:B78)+1,0)</f>
        <v>0</v>
      </c>
      <c r="C79" s="1" t="str">
        <f>A$35</f>
        <v>CGE CQ3-17</v>
      </c>
      <c r="D79" s="42" t="str">
        <f>"Assessments dropped by more than set percentage of: "&amp;TEXT(J79,"#0%")</f>
        <v>Assessments dropped by more than set percentage of: 15%</v>
      </c>
      <c r="E79" s="1" t="str">
        <f>IF(MIN(F79)&lt;(-1*V$11),"YES","NO")</f>
        <v>NO</v>
      </c>
      <c r="F79" s="43">
        <f>IFERROR(IF(NOT(ISBLANK(K37)),(K37-J37)/J37,0),0)</f>
        <v>0</v>
      </c>
      <c r="J79" s="41">
        <f>V$11</f>
        <v>0.15</v>
      </c>
      <c r="K79" s="14"/>
      <c r="L79" s="14"/>
      <c r="M79" s="14"/>
      <c r="N79" s="14"/>
      <c r="O79" s="15"/>
      <c r="P79" s="10"/>
      <c r="T79" s="91"/>
    </row>
    <row r="80" spans="1:20" ht="41.4" hidden="1" x14ac:dyDescent="0.25">
      <c r="A80" s="1" t="str">
        <f t="shared" si="0"/>
        <v>Circuit Criminal</v>
      </c>
      <c r="B80" s="1">
        <f>IF(E80="YES",MAX(B$51:B79)+1,0)</f>
        <v>0</v>
      </c>
      <c r="C80" s="1" t="str">
        <f>A$35</f>
        <v>CGE CQ3-17</v>
      </c>
      <c r="D80" s="42" t="s">
        <v>133</v>
      </c>
      <c r="E80" s="1" t="str">
        <f>IF(MIN(F80)&lt;0,"YES","NO")</f>
        <v>NO</v>
      </c>
      <c r="F80" s="43">
        <f>IFERROR(IF(NOT(ISBLANK(K36)),(K36-J36)/J36,0),0)</f>
        <v>0</v>
      </c>
      <c r="K80" s="14"/>
      <c r="L80" s="14"/>
      <c r="M80" s="14"/>
      <c r="N80" s="14"/>
      <c r="O80" s="15"/>
      <c r="P80" s="10"/>
    </row>
    <row r="81" spans="1:20" ht="41.4" hidden="1" x14ac:dyDescent="0.25">
      <c r="A81" s="1" t="str">
        <f t="shared" si="0"/>
        <v>Circuit Criminal</v>
      </c>
      <c r="B81" s="1">
        <f>IF(E81="YES",MAX(B$51:B80)+1,0)</f>
        <v>0</v>
      </c>
      <c r="C81" s="1" t="str">
        <f>A$35</f>
        <v>CGE CQ3-17</v>
      </c>
      <c r="D81" s="42" t="s">
        <v>134</v>
      </c>
      <c r="E81" s="1" t="str">
        <f>IF(MAX(F81)&gt;0,"YES","NO")</f>
        <v>NO</v>
      </c>
      <c r="F81" s="43">
        <f>IFERROR(IF(NOT(ISBLANK(K37)),(K37-J37)/J37,0),0)</f>
        <v>0</v>
      </c>
      <c r="K81" s="14"/>
      <c r="L81" s="14"/>
      <c r="M81" s="14"/>
      <c r="N81" s="14"/>
      <c r="O81" s="15"/>
      <c r="P81" s="10"/>
      <c r="T81" s="91"/>
    </row>
    <row r="82" spans="1:20" ht="15" x14ac:dyDescent="0.25">
      <c r="N82" s="14"/>
    </row>
    <row r="83" spans="1:20" x14ac:dyDescent="0.25">
      <c r="T83" s="91"/>
    </row>
    <row r="93" spans="1:20" ht="45" customHeight="1" x14ac:dyDescent="0.25">
      <c r="O93" s="11"/>
    </row>
    <row r="94" spans="1:20" ht="45" customHeight="1" x14ac:dyDescent="0.25"/>
    <row r="95" spans="1:20" ht="45" customHeight="1" x14ac:dyDescent="0.25"/>
  </sheetData>
  <sheetProtection algorithmName="SHA-512" hashValue="j/5eHByyyHQoVeG/jlS4einf+2QXRGdzGumsRqxJaj/YCqzUMMUKWAcH3KtFDlEKxxw3TY0XkJ5cZVgyuYgcww==" saltValue="ax7my8tnbFp9uxwZ9xU4wg==" spinCount="100000" sheet="1" objects="1" scenarios="1" selectLockedCells="1"/>
  <dataConsolidate/>
  <mergeCells count="40">
    <mergeCell ref="R6:R9"/>
    <mergeCell ref="M15:M18"/>
    <mergeCell ref="D6:E6"/>
    <mergeCell ref="D8:E8"/>
    <mergeCell ref="L23:L26"/>
    <mergeCell ref="M23:M26"/>
    <mergeCell ref="D25:D26"/>
    <mergeCell ref="E25:E26"/>
    <mergeCell ref="L9:M9"/>
    <mergeCell ref="L11:L14"/>
    <mergeCell ref="M11:M14"/>
    <mergeCell ref="L15:L18"/>
    <mergeCell ref="A15:A18"/>
    <mergeCell ref="A19:A22"/>
    <mergeCell ref="A23:A26"/>
    <mergeCell ref="J6:K6"/>
    <mergeCell ref="J8:K8"/>
    <mergeCell ref="B15:B18"/>
    <mergeCell ref="I11:I14"/>
    <mergeCell ref="B11:B14"/>
    <mergeCell ref="A11:A14"/>
    <mergeCell ref="G6:H6"/>
    <mergeCell ref="A50:B50"/>
    <mergeCell ref="A27:A30"/>
    <mergeCell ref="A39:A42"/>
    <mergeCell ref="A35:A38"/>
    <mergeCell ref="A31:A34"/>
    <mergeCell ref="B35:B38"/>
    <mergeCell ref="B39:B42"/>
    <mergeCell ref="B27:B30"/>
    <mergeCell ref="B31:B34"/>
    <mergeCell ref="D43:G43"/>
    <mergeCell ref="H43:K43"/>
    <mergeCell ref="L31:M31"/>
    <mergeCell ref="L32:M42"/>
    <mergeCell ref="B19:B22"/>
    <mergeCell ref="B23:B26"/>
    <mergeCell ref="F25:F26"/>
    <mergeCell ref="L19:L22"/>
    <mergeCell ref="M19:M22"/>
  </mergeCells>
  <phoneticPr fontId="0" type="noConversion"/>
  <conditionalFormatting sqref="I39:I42">
    <cfRule type="cellIs" dxfId="421" priority="639" stopIfTrue="1" operator="lessThan">
      <formula>$H$8</formula>
    </cfRule>
  </conditionalFormatting>
  <conditionalFormatting sqref="H14">
    <cfRule type="expression" dxfId="420" priority="59">
      <formula>H14&lt;$H$8</formula>
    </cfRule>
  </conditionalFormatting>
  <conditionalFormatting sqref="I18">
    <cfRule type="expression" dxfId="419" priority="58">
      <formula>I18&lt;$H$8</formula>
    </cfRule>
  </conditionalFormatting>
  <conditionalFormatting sqref="J22">
    <cfRule type="expression" dxfId="418" priority="57">
      <formula>J22&lt;$H$8</formula>
    </cfRule>
  </conditionalFormatting>
  <conditionalFormatting sqref="K26">
    <cfRule type="expression" dxfId="417" priority="56">
      <formula>K26&lt;$H$8</formula>
    </cfRule>
  </conditionalFormatting>
  <conditionalFormatting sqref="H12">
    <cfRule type="expression" dxfId="416" priority="42">
      <formula>(H$12&lt;G$12)</formula>
    </cfRule>
  </conditionalFormatting>
  <conditionalFormatting sqref="H13">
    <cfRule type="expression" dxfId="415" priority="41">
      <formula>(H$13&gt;G$13)</formula>
    </cfRule>
  </conditionalFormatting>
  <conditionalFormatting sqref="H16">
    <cfRule type="expression" dxfId="414" priority="40">
      <formula>(H$16&lt;G$16)</formula>
    </cfRule>
  </conditionalFormatting>
  <conditionalFormatting sqref="H17">
    <cfRule type="expression" dxfId="413" priority="39">
      <formula>(H$17&gt;G$17)</formula>
    </cfRule>
  </conditionalFormatting>
  <conditionalFormatting sqref="H20">
    <cfRule type="expression" dxfId="412" priority="38">
      <formula>(H$20&lt;G$20)</formula>
    </cfRule>
  </conditionalFormatting>
  <conditionalFormatting sqref="H21">
    <cfRule type="expression" dxfId="411" priority="37">
      <formula>(H$21&gt;G$21)</formula>
    </cfRule>
  </conditionalFormatting>
  <conditionalFormatting sqref="I17">
    <cfRule type="expression" dxfId="410" priority="36">
      <formula>(I$17&gt;H$17)</formula>
    </cfRule>
  </conditionalFormatting>
  <conditionalFormatting sqref="I16">
    <cfRule type="expression" dxfId="409" priority="35">
      <formula>(I$16&lt;H$16)</formula>
    </cfRule>
  </conditionalFormatting>
  <conditionalFormatting sqref="I20">
    <cfRule type="expression" dxfId="408" priority="34">
      <formula>(I$20&lt;H$20)</formula>
    </cfRule>
  </conditionalFormatting>
  <conditionalFormatting sqref="J20">
    <cfRule type="expression" dxfId="407" priority="33">
      <formula>(J$20&lt;I$20)</formula>
    </cfRule>
  </conditionalFormatting>
  <conditionalFormatting sqref="I21">
    <cfRule type="expression" dxfId="406" priority="32">
      <formula>(I$21&gt;H$21)</formula>
    </cfRule>
  </conditionalFormatting>
  <conditionalFormatting sqref="J21">
    <cfRule type="expression" dxfId="405" priority="31">
      <formula>(J$21&gt;I$21)</formula>
    </cfRule>
  </conditionalFormatting>
  <conditionalFormatting sqref="H24">
    <cfRule type="expression" dxfId="404" priority="30">
      <formula>H$24&lt;G$24</formula>
    </cfRule>
  </conditionalFormatting>
  <conditionalFormatting sqref="I24">
    <cfRule type="expression" dxfId="403" priority="29">
      <formula>(I$24&lt;H$24)</formula>
    </cfRule>
  </conditionalFormatting>
  <conditionalFormatting sqref="J24">
    <cfRule type="expression" dxfId="402" priority="28">
      <formula>(J$24&lt;I$24)</formula>
    </cfRule>
  </conditionalFormatting>
  <conditionalFormatting sqref="K24">
    <cfRule type="expression" dxfId="401" priority="27">
      <formula>(K$24&lt;J$24)</formula>
    </cfRule>
  </conditionalFormatting>
  <conditionalFormatting sqref="H25">
    <cfRule type="expression" dxfId="400" priority="26">
      <formula>(H$25&gt;G$25)</formula>
    </cfRule>
  </conditionalFormatting>
  <conditionalFormatting sqref="I25">
    <cfRule type="expression" dxfId="399" priority="25">
      <formula>(I$25&gt;H$25)</formula>
    </cfRule>
  </conditionalFormatting>
  <conditionalFormatting sqref="J25">
    <cfRule type="expression" dxfId="398" priority="24">
      <formula>(J$25&gt;I$25)</formula>
    </cfRule>
  </conditionalFormatting>
  <conditionalFormatting sqref="K25">
    <cfRule type="expression" dxfId="397" priority="23">
      <formula>(K$25&gt;J$25)</formula>
    </cfRule>
  </conditionalFormatting>
  <conditionalFormatting sqref="I28">
    <cfRule type="expression" dxfId="396" priority="22">
      <formula>(I$28&lt;H$28)</formula>
    </cfRule>
  </conditionalFormatting>
  <conditionalFormatting sqref="J28">
    <cfRule type="expression" dxfId="395" priority="21">
      <formula>(J$28&lt;I$28)</formula>
    </cfRule>
  </conditionalFormatting>
  <conditionalFormatting sqref="K28">
    <cfRule type="expression" dxfId="394" priority="20">
      <formula>(K$28&lt;J$28)</formula>
    </cfRule>
  </conditionalFormatting>
  <conditionalFormatting sqref="I29">
    <cfRule type="expression" dxfId="393" priority="19">
      <formula>(I$29&gt;H$29)</formula>
    </cfRule>
  </conditionalFormatting>
  <conditionalFormatting sqref="J29">
    <cfRule type="expression" dxfId="392" priority="18">
      <formula>(J$29&gt;I$29)</formula>
    </cfRule>
  </conditionalFormatting>
  <conditionalFormatting sqref="K29">
    <cfRule type="expression" dxfId="391" priority="17">
      <formula>(K$29&gt;J$29)</formula>
    </cfRule>
  </conditionalFormatting>
  <conditionalFormatting sqref="J32">
    <cfRule type="expression" dxfId="390" priority="16">
      <formula>(J$32&lt;I$32)</formula>
    </cfRule>
  </conditionalFormatting>
  <conditionalFormatting sqref="K32">
    <cfRule type="expression" dxfId="389" priority="15">
      <formula>(K$32&lt;J$32)</formula>
    </cfRule>
  </conditionalFormatting>
  <conditionalFormatting sqref="J33">
    <cfRule type="expression" dxfId="388" priority="14">
      <formula>(J$33&gt;I$33)</formula>
    </cfRule>
  </conditionalFormatting>
  <conditionalFormatting sqref="K33">
    <cfRule type="expression" dxfId="387" priority="13">
      <formula>(K$33&gt;J$33)</formula>
    </cfRule>
  </conditionalFormatting>
  <conditionalFormatting sqref="K36">
    <cfRule type="expression" dxfId="386" priority="12">
      <formula>(K$36&lt;J$36)</formula>
    </cfRule>
  </conditionalFormatting>
  <conditionalFormatting sqref="K37">
    <cfRule type="expression" dxfId="385" priority="11">
      <formula>(K$37&gt;J$37)</formula>
    </cfRule>
  </conditionalFormatting>
  <conditionalFormatting sqref="L32:M42">
    <cfRule type="expression" dxfId="384" priority="10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L11:L14">
    <cfRule type="expression" dxfId="383" priority="8" stopIfTrue="1">
      <formula>$H$14&lt;$H$8</formula>
    </cfRule>
  </conditionalFormatting>
  <conditionalFormatting sqref="L15:L18">
    <cfRule type="expression" dxfId="382" priority="7" stopIfTrue="1">
      <formula>$I$18&lt;$H$8</formula>
    </cfRule>
  </conditionalFormatting>
  <conditionalFormatting sqref="L19:L22">
    <cfRule type="expression" dxfId="381" priority="6" stopIfTrue="1">
      <formula>$J$22&lt;$H$8</formula>
    </cfRule>
  </conditionalFormatting>
  <conditionalFormatting sqref="L23:L26">
    <cfRule type="expression" dxfId="380" priority="5" stopIfTrue="1">
      <formula>$K$26&lt;$H$8</formula>
    </cfRule>
  </conditionalFormatting>
  <conditionalFormatting sqref="M11:M14">
    <cfRule type="expression" dxfId="379" priority="4" stopIfTrue="1">
      <formula>$H$14&lt;$H$8</formula>
    </cfRule>
  </conditionalFormatting>
  <conditionalFormatting sqref="M15:M18">
    <cfRule type="expression" dxfId="378" priority="3" stopIfTrue="1">
      <formula>$I$18&lt;$H$8</formula>
    </cfRule>
  </conditionalFormatting>
  <conditionalFormatting sqref="M19:M22">
    <cfRule type="expression" dxfId="377" priority="2" stopIfTrue="1">
      <formula>$J$22&lt;$H$8</formula>
    </cfRule>
  </conditionalFormatting>
  <conditionalFormatting sqref="M23:M26">
    <cfRule type="expression" dxfId="376" priority="1" stopIfTrue="1">
      <formula>$K$26&lt;$H$8</formula>
    </cfRule>
  </conditionalFormatting>
  <dataValidations count="7">
    <dataValidation type="decimal" allowBlank="1" showInputMessage="1" showErrorMessage="1" sqref="G19:I19 J12:K13 H21:I21 J35:J37 G39:H42 J39:J42 G15 H15:K16 G25:I25 J18:K19 G28:I29 I31:I32 D12:H13">
      <formula1>0</formula1>
      <formula2>999999999999999</formula2>
    </dataValidation>
    <dataValidation operator="lessThanOrEqual" allowBlank="1" showInputMessage="1" showErrorMessage="1" sqref="H14"/>
    <dataValidation type="list" allowBlank="1" showInputMessage="1" showErrorMessage="1" sqref="D5">
      <formula1>$O$9:$O$20</formula1>
    </dataValidation>
    <dataValidation type="textLength" allowBlank="1" showInputMessage="1" showErrorMessage="1" sqref="N11:N34 L27:L32 M11:M31">
      <formula1>0</formula1>
      <formula2>500</formula2>
    </dataValidation>
    <dataValidation type="list" allowBlank="1" showInputMessage="1" showErrorMessage="1" sqref="D4">
      <formula1>$P$9:$P$12</formula1>
    </dataValidation>
    <dataValidation type="list" allowBlank="1" showInputMessage="1" showErrorMessage="1" sqref="D6:E6">
      <formula1>$T$3:$T$68</formula1>
    </dataValidation>
    <dataValidation type="list" allowBlank="1" showInputMessage="1" showErrorMessage="1" sqref="L11:L26">
      <formula1>$N$11:$N$12</formula1>
    </dataValidation>
  </dataValidations>
  <printOptions horizontalCentered="1" verticalCentered="1"/>
  <pageMargins left="0.21" right="0.23" top="0.3" bottom="0.36" header="0" footer="0.17"/>
  <pageSetup scale="53" orientation="landscape" r:id="rId1"/>
  <headerFooter alignWithMargins="0">
    <oddFooter>&amp;L&amp;F</oddFooter>
  </headerFooter>
  <ignoredErrors>
    <ignoredError sqref="D14:G15 D18:G19 D16 D17 D22:G23 D20:E20 D21:E21 D24:F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86"/>
  <sheetViews>
    <sheetView showGridLines="0" topLeftCell="B2" zoomScale="75" zoomScaleNormal="75" zoomScaleSheetLayoutView="70" workbookViewId="0">
      <selection activeCell="I32" sqref="I32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2" width="18.6640625" style="1" customWidth="1"/>
    <col min="13" max="13" width="34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2.44140625" style="1" hidden="1" customWidth="1"/>
    <col min="22" max="22" width="11.5546875" style="1" hidden="1" customWidth="1"/>
    <col min="23" max="23" width="13.33203125" style="1" hidden="1" customWidth="1"/>
    <col min="24" max="25" width="9.109375" style="1" hidden="1" customWidth="1"/>
    <col min="26" max="28" width="9.109375" style="1" customWidth="1"/>
    <col min="29" max="16384" width="9.109375" style="1"/>
  </cols>
  <sheetData>
    <row r="1" spans="1:22" ht="20.25" hidden="1" customHeight="1" x14ac:dyDescent="0.25"/>
    <row r="2" spans="1:22" ht="22.8" x14ac:dyDescent="0.4">
      <c r="K2" s="2"/>
      <c r="L2" s="2"/>
      <c r="M2" s="2" t="s">
        <v>241</v>
      </c>
      <c r="N2" s="2"/>
      <c r="T2" s="91" t="s">
        <v>48</v>
      </c>
    </row>
    <row r="3" spans="1:22" ht="22.8" x14ac:dyDescent="0.4">
      <c r="K3" s="2"/>
      <c r="L3" s="2"/>
      <c r="M3" s="2" t="s">
        <v>16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39" t="str">
        <f>'Circuit Criminal'!D4</f>
        <v>March 2016</v>
      </c>
      <c r="I4" s="223" t="s">
        <v>248</v>
      </c>
      <c r="J4" s="224"/>
      <c r="K4" s="224"/>
      <c r="L4" s="224"/>
      <c r="M4" s="225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37">
        <f>'Circuit Criminal'!$D$5</f>
        <v>1</v>
      </c>
      <c r="I5" s="226"/>
      <c r="J5" s="227" t="s">
        <v>249</v>
      </c>
      <c r="K5" s="227"/>
      <c r="L5" s="227"/>
      <c r="M5" s="228"/>
      <c r="T5" s="91" t="s">
        <v>50</v>
      </c>
    </row>
    <row r="6" spans="1:22" ht="20.25" customHeight="1" x14ac:dyDescent="0.25">
      <c r="A6" s="3"/>
      <c r="C6" s="6" t="s">
        <v>9</v>
      </c>
      <c r="D6" s="300" t="str">
        <f>'Circuit Criminal'!D6</f>
        <v>Brevard</v>
      </c>
      <c r="E6" s="300"/>
      <c r="F6" s="91"/>
      <c r="G6" s="91"/>
      <c r="H6" s="91"/>
      <c r="I6" s="232"/>
      <c r="J6" s="230" t="s">
        <v>250</v>
      </c>
      <c r="K6" s="230"/>
      <c r="L6" s="230"/>
      <c r="M6" s="231"/>
      <c r="N6" s="91"/>
      <c r="T6" s="91" t="s">
        <v>51</v>
      </c>
    </row>
    <row r="7" spans="1:22" ht="11.25" customHeight="1" x14ac:dyDescent="0.25">
      <c r="A7" s="3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46</v>
      </c>
      <c r="E8" s="284"/>
      <c r="G8" s="6" t="s">
        <v>33</v>
      </c>
      <c r="H8" s="27">
        <v>0.75</v>
      </c>
      <c r="T8" s="91" t="s">
        <v>53</v>
      </c>
    </row>
    <row r="9" spans="1:22" ht="15.6" x14ac:dyDescent="0.3">
      <c r="A9" s="7"/>
      <c r="B9" s="3"/>
      <c r="J9" s="8"/>
      <c r="K9" s="9"/>
      <c r="L9" s="291" t="s">
        <v>187</v>
      </c>
      <c r="M9" s="292"/>
      <c r="N9" s="90">
        <v>1</v>
      </c>
      <c r="O9" s="10" t="s">
        <v>2</v>
      </c>
      <c r="P9" s="1" t="s">
        <v>29</v>
      </c>
      <c r="Q9" s="1">
        <v>1</v>
      </c>
      <c r="T9" s="91" t="s">
        <v>54</v>
      </c>
    </row>
    <row r="10" spans="1:22" s="11" customFormat="1" ht="26.25" customHeight="1" thickBot="1" x14ac:dyDescent="0.3">
      <c r="B10" s="19"/>
      <c r="C10" s="20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118" t="s">
        <v>190</v>
      </c>
      <c r="N10" s="87"/>
      <c r="O10" s="10" t="s">
        <v>3</v>
      </c>
      <c r="P10" s="11" t="s">
        <v>30</v>
      </c>
      <c r="Q10" s="1"/>
      <c r="T10" s="91" t="s">
        <v>55</v>
      </c>
      <c r="V10" s="40"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21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/>
      <c r="M11" s="310"/>
      <c r="N11" s="117" t="s">
        <v>188</v>
      </c>
      <c r="O11" s="10" t="s">
        <v>4</v>
      </c>
      <c r="P11" s="1" t="s">
        <v>31</v>
      </c>
      <c r="Q11" s="1">
        <v>3</v>
      </c>
      <c r="T11" s="91" t="s">
        <v>56</v>
      </c>
      <c r="U11" s="1" t="str">
        <f>D6&amp;" "&amp;D8</f>
        <v>Brevard Family</v>
      </c>
      <c r="V11" s="41">
        <v>0.15</v>
      </c>
    </row>
    <row r="12" spans="1:22" ht="15.75" customHeight="1" x14ac:dyDescent="0.25">
      <c r="A12" s="277"/>
      <c r="B12" s="264"/>
      <c r="C12" s="22" t="s">
        <v>23</v>
      </c>
      <c r="D12" s="158">
        <f>LOOKUP($U$11,Lookup!$C$3:$C$672,Lookup!I$3:I$672)</f>
        <v>250309.21</v>
      </c>
      <c r="E12" s="137">
        <f>LOOKUP($U$11,Lookup!$C$3:$C$672,Lookup!J$3:J$672)</f>
        <v>257348.46</v>
      </c>
      <c r="F12" s="137">
        <f>LOOKUP($U$11,Lookup!$C$3:$C$672,Lookup!K$3:K$672)</f>
        <v>259900.81</v>
      </c>
      <c r="G12" s="143">
        <f>LOOKUP($U$11,Lookup!$C$3:$C$672,Lookup!L$3:L$672)</f>
        <v>260261.11</v>
      </c>
      <c r="H12" s="144">
        <v>260576.31</v>
      </c>
      <c r="I12" s="281"/>
      <c r="J12" s="96"/>
      <c r="K12" s="159"/>
      <c r="L12" s="271"/>
      <c r="M12" s="308"/>
      <c r="N12" s="26" t="s">
        <v>189</v>
      </c>
      <c r="O12" s="10" t="s">
        <v>5</v>
      </c>
      <c r="P12" s="1" t="s">
        <v>32</v>
      </c>
      <c r="Q12" s="1">
        <v>4</v>
      </c>
      <c r="T12" s="91" t="s">
        <v>57</v>
      </c>
      <c r="U12" s="1" t="str">
        <f>IF(P13=TRUE,A11,"")</f>
        <v/>
      </c>
    </row>
    <row r="13" spans="1:22" ht="15.75" customHeight="1" thickBot="1" x14ac:dyDescent="0.3">
      <c r="A13" s="277"/>
      <c r="B13" s="264"/>
      <c r="C13" s="22" t="s">
        <v>24</v>
      </c>
      <c r="D13" s="160">
        <f>LOOKUP($U$11,Lookup!$C$3:$C$672,Lookup!D$3:D$672)</f>
        <v>275638.5</v>
      </c>
      <c r="E13" s="138">
        <f>LOOKUP($U$11,Lookup!$C$3:$C$672,Lookup!E$3:E$672)</f>
        <v>275223.5</v>
      </c>
      <c r="F13" s="138">
        <f>LOOKUP($U$11,Lookup!$C$3:$C$672,Lookup!F$3:F$672)</f>
        <v>275223.5</v>
      </c>
      <c r="G13" s="138">
        <f>LOOKUP($U$11,Lookup!$C$3:$C$672,Lookup!G$3:G$672)</f>
        <v>275223.5</v>
      </c>
      <c r="H13" s="54">
        <v>275223.5</v>
      </c>
      <c r="I13" s="282"/>
      <c r="J13" s="96"/>
      <c r="K13" s="159"/>
      <c r="L13" s="271"/>
      <c r="M13" s="308"/>
      <c r="N13" s="26" t="s">
        <v>191</v>
      </c>
      <c r="O13" s="10" t="s">
        <v>6</v>
      </c>
      <c r="P13" s="1" t="b">
        <f>OR(AND(E12&lt;D12,E12&gt;0),AND(F12&lt;E12,F12&gt;0),AND(G12&lt;F12,G12&gt;0),AND(H12&lt;G12,H12&gt;0),AND(F13&gt;E13,E13&gt;0),AND(G13&gt;F13,F13&gt;0),AND(H13&lt;G13,G13&gt;0))</f>
        <v>0</v>
      </c>
      <c r="Q13" s="1">
        <v>5</v>
      </c>
      <c r="T13" s="91" t="s">
        <v>58</v>
      </c>
      <c r="U13" s="1" t="str">
        <f>IF(P14=TRUE,A15,"")</f>
        <v/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0.9081068500953241</v>
      </c>
      <c r="E14" s="145">
        <f>IF(ISBLANK(E12),"N/A",IF(OR(E12=0,E12="N/A"),0,E12/E13))</f>
        <v>0.93505263903700075</v>
      </c>
      <c r="F14" s="145">
        <f>IF(ISBLANK(F12),"N/A",IF(OR(F12=0,F12="N/A"),0,F12/F13))</f>
        <v>0.94432637474634251</v>
      </c>
      <c r="G14" s="145">
        <f>IF(ISBLANK(G12),"N/A",IF(OR(G12=0,G12="N/A"),0,G12/G13))</f>
        <v>0.94563549260873425</v>
      </c>
      <c r="H14" s="145">
        <f>IF(ISBLANK(H12),"N/A",IF(AND(H12=0,H13=0,NOT(ISBLANK(H12)),NOT(ISBLANK(H13))),1,H12/H13))</f>
        <v>0.94678074365016063</v>
      </c>
      <c r="I14" s="283"/>
      <c r="J14" s="96"/>
      <c r="K14" s="159"/>
      <c r="L14" s="271"/>
      <c r="M14" s="308"/>
      <c r="N14" s="117" t="s">
        <v>200</v>
      </c>
      <c r="O14" s="10" t="s">
        <v>7</v>
      </c>
      <c r="P14" s="1" t="b">
        <f>OR(AND(F16&lt;E16,F16&gt;0),AND(G16&lt;F16,G16&gt;0),AND(H16&lt;G16,H16&gt;0),AND(I16&lt;H16,I16&gt;0),AND(G17&gt;F17, F17&gt;0),AND(H17&gt;G17, G17&gt;0),AND(I17&lt;H17,I17&gt;0))</f>
        <v>0</v>
      </c>
      <c r="Q14" s="1">
        <v>6</v>
      </c>
      <c r="T14" s="91" t="s">
        <v>59</v>
      </c>
      <c r="U14" s="1" t="str">
        <f>IF(P15=TRUE,A19,"")</f>
        <v/>
      </c>
    </row>
    <row r="15" spans="1:22" ht="15.75" customHeight="1" x14ac:dyDescent="0.25">
      <c r="A15" s="276" t="str">
        <f>LEFT(B15,3)&amp;" "&amp;RIGHT(B15,6)</f>
        <v>CGE CQ2-16</v>
      </c>
      <c r="B15" s="304" t="s">
        <v>208</v>
      </c>
      <c r="C15" s="119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308"/>
      <c r="N15" s="26" t="s">
        <v>192</v>
      </c>
      <c r="O15" s="10" t="s">
        <v>8</v>
      </c>
      <c r="P15" s="1" t="b">
        <f>OR(AND(G20&lt;F20,D10&gt;0),AND(H20&lt;G20,H20&gt;0),AND(I20&lt;H20,I20&gt;0),AND(J20&lt;I20,J20&gt;0),AND(H21&gt;G21, G21&gt;0),AND(I21&gt;H21, H21&gt;0),AND(J21&lt;I21, J21&gt;0))</f>
        <v>0</v>
      </c>
      <c r="Q15" s="1">
        <v>7</v>
      </c>
      <c r="T15" s="91" t="s">
        <v>60</v>
      </c>
      <c r="U15" s="1" t="str">
        <f>IF(P16=TRUE,A23,"")</f>
        <v/>
      </c>
    </row>
    <row r="16" spans="1:22" ht="15.75" customHeight="1" x14ac:dyDescent="0.25">
      <c r="A16" s="277"/>
      <c r="B16" s="305"/>
      <c r="C16" s="22" t="s">
        <v>23</v>
      </c>
      <c r="D16" s="161"/>
      <c r="E16" s="137">
        <f>LOOKUP($U$11,Lookup!$C$3:$C$672,Lookup!S$3:S$672)</f>
        <v>301897.36</v>
      </c>
      <c r="F16" s="137">
        <f>LOOKUP($U$11,Lookup!$C$3:$C$672,Lookup!T$3:T$672)</f>
        <v>313130.08</v>
      </c>
      <c r="G16" s="137">
        <f>LOOKUP($U$11,Lookup!$C$3:$C$672,Lookup!U$3:U$672)</f>
        <v>315977.92</v>
      </c>
      <c r="H16" s="144">
        <v>317079.27</v>
      </c>
      <c r="I16" s="144">
        <v>318582.36</v>
      </c>
      <c r="J16" s="98"/>
      <c r="K16" s="159"/>
      <c r="L16" s="271"/>
      <c r="M16" s="308"/>
      <c r="N16" s="26" t="s">
        <v>193</v>
      </c>
      <c r="O16" s="10" t="s">
        <v>11</v>
      </c>
      <c r="P16" s="1" t="b">
        <f>OR(AND(H24&lt;G24, H24&gt;0),AND(I24&lt;H24, I24&gt;0),AND(J24&lt;I24, J24&gt;0),AND(K24&lt;J24, K24&gt;0),AND(I25&gt;H25, H25&gt;0),AND(J25&gt;I25, I25&gt;0),AND(K25&lt;J25, J25&gt;0))</f>
        <v>0</v>
      </c>
      <c r="Q16" s="1">
        <v>8</v>
      </c>
      <c r="T16" s="91" t="s">
        <v>61</v>
      </c>
      <c r="U16" s="1" t="str">
        <f>IF(P17=TRUE,A27,"")</f>
        <v/>
      </c>
    </row>
    <row r="17" spans="1:21" ht="15.75" customHeight="1" thickBot="1" x14ac:dyDescent="0.3">
      <c r="A17" s="277"/>
      <c r="B17" s="305"/>
      <c r="C17" s="22" t="s">
        <v>24</v>
      </c>
      <c r="D17" s="161"/>
      <c r="E17" s="138">
        <f>LOOKUP($U$11,Lookup!$C$3:$C$672,Lookup!N$3:N$672)</f>
        <v>336510.1</v>
      </c>
      <c r="F17" s="138">
        <f>LOOKUP($U$11,Lookup!$C$3:$C$672,Lookup!O$3:O$672)</f>
        <v>336510.1</v>
      </c>
      <c r="G17" s="138">
        <f>LOOKUP($U$11,Lookup!$C$3:$C$672,Lookup!P$3:P$672)</f>
        <v>336510.1</v>
      </c>
      <c r="H17" s="54">
        <v>336510.1</v>
      </c>
      <c r="I17" s="54">
        <v>336510.1</v>
      </c>
      <c r="J17" s="98"/>
      <c r="K17" s="159"/>
      <c r="L17" s="271"/>
      <c r="M17" s="308"/>
      <c r="N17" s="117" t="s">
        <v>201</v>
      </c>
      <c r="O17" s="10" t="s">
        <v>12</v>
      </c>
      <c r="P17" s="1" t="b">
        <f>OR(AND(I28&lt;H28, I28&gt;0),AND(J28&lt;I28, J28&gt;0),AND(K28&lt;J28, K28&gt;0),AND(J29&gt;I29, I29&gt;0),AND(K29&gt;J29, J29&gt;0))</f>
        <v>0</v>
      </c>
      <c r="Q17" s="1">
        <v>9</v>
      </c>
      <c r="T17" s="91" t="s">
        <v>62</v>
      </c>
      <c r="U17" s="1" t="str">
        <f>IF(P18=TRUE,A31,"")</f>
        <v/>
      </c>
    </row>
    <row r="18" spans="1:21" ht="15.75" customHeight="1" thickBot="1" x14ac:dyDescent="0.3">
      <c r="A18" s="278"/>
      <c r="B18" s="306"/>
      <c r="C18" s="24" t="s">
        <v>26</v>
      </c>
      <c r="D18" s="162"/>
      <c r="E18" s="145">
        <f>IF(ISBLANK(E16),"N/A",IF(OR(E16=0,E16="N/A"),0,E16/E17))</f>
        <v>0.89714204714806478</v>
      </c>
      <c r="F18" s="145">
        <f>IF(ISBLANK(F16),"N/A",IF(OR(F16=0,F16="N/A"),0,F16/F17))</f>
        <v>0.9305220853698003</v>
      </c>
      <c r="G18" s="145">
        <f>IF(ISBLANK(G16),"N/A",IF(OR(G16=0,G16="N/A"),0,G16/G17))</f>
        <v>0.93898495171467367</v>
      </c>
      <c r="H18" s="145">
        <f>IF(ISBLANK(H16),"N/A",IF(AND(H16=0,H17=0,NOT(ISBLANK(H16)),NOT(ISBLANK(H17))),1,H16/H17))</f>
        <v>0.94225781038964374</v>
      </c>
      <c r="I18" s="145">
        <f>IF(ISBLANK(I16),"N/A",IF(AND(I16=0,I17=0,NOT(ISBLANK(I16)),NOT(ISBLANK(I17))),1,I16/I17))</f>
        <v>0.9467245113891084</v>
      </c>
      <c r="J18" s="99"/>
      <c r="K18" s="159"/>
      <c r="L18" s="271"/>
      <c r="M18" s="308"/>
      <c r="N18" s="117" t="s">
        <v>202</v>
      </c>
      <c r="O18" s="10" t="s">
        <v>13</v>
      </c>
      <c r="P18" s="1" t="b">
        <f>OR(AND(J32&lt;I32, J32&gt;0),AND(K32&lt;J32, K32&gt;0),AND(K33&gt;J33, J33&gt;0))</f>
        <v>0</v>
      </c>
      <c r="Q18" s="1">
        <v>10</v>
      </c>
      <c r="T18" s="91" t="s">
        <v>63</v>
      </c>
      <c r="U18" s="1" t="str">
        <f>IF(P19=TRUE,A35,"")</f>
        <v/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119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308"/>
      <c r="N19" s="26" t="s">
        <v>194</v>
      </c>
      <c r="O19" s="10" t="s">
        <v>14</v>
      </c>
      <c r="P19" s="1" t="b">
        <f>OR(K36&lt;J36)</f>
        <v>0</v>
      </c>
      <c r="Q19" s="1">
        <v>11</v>
      </c>
      <c r="T19" s="91" t="s">
        <v>64</v>
      </c>
      <c r="U19" s="1" t="str">
        <f>U12&amp;" "&amp;U13&amp;" "&amp;U14&amp;" "&amp;U15&amp;" "&amp;U16&amp;" "&amp;U17&amp;" "&amp;U18</f>
        <v xml:space="preserve">      </v>
      </c>
    </row>
    <row r="20" spans="1:21" ht="15.75" customHeight="1" x14ac:dyDescent="0.25">
      <c r="A20" s="277"/>
      <c r="B20" s="264"/>
      <c r="C20" s="22" t="s">
        <v>23</v>
      </c>
      <c r="D20" s="163"/>
      <c r="E20" s="29"/>
      <c r="F20" s="137">
        <f>LOOKUP($U$11,Lookup!$C$3:$C$672,Lookup!AC$3:AC$672)</f>
        <v>306162.81</v>
      </c>
      <c r="G20" s="137">
        <f>LOOKUP($U$11,Lookup!$C$3:$C$672,Lookup!AD$3:AD$672)</f>
        <v>325970.40999999997</v>
      </c>
      <c r="H20" s="144">
        <v>330617.07</v>
      </c>
      <c r="I20" s="144">
        <v>333886.75</v>
      </c>
      <c r="J20" s="144"/>
      <c r="K20" s="165"/>
      <c r="L20" s="271"/>
      <c r="M20" s="308"/>
      <c r="N20" s="82"/>
      <c r="O20" s="10" t="s">
        <v>15</v>
      </c>
      <c r="P20" s="1">
        <f>COUNTIF(P13:P19,"TRUE")</f>
        <v>0</v>
      </c>
      <c r="Q20" s="1">
        <v>12</v>
      </c>
      <c r="T20" s="91" t="s">
        <v>65</v>
      </c>
    </row>
    <row r="21" spans="1:21" s="16" customFormat="1" ht="15.75" customHeight="1" thickBot="1" x14ac:dyDescent="0.3">
      <c r="A21" s="277"/>
      <c r="B21" s="264"/>
      <c r="C21" s="22" t="s">
        <v>24</v>
      </c>
      <c r="D21" s="163"/>
      <c r="E21" s="29"/>
      <c r="F21" s="138">
        <f>LOOKUP($U$11,Lookup!$C$3:$C$672,Lookup!X$3:X$672)</f>
        <v>355166.35</v>
      </c>
      <c r="G21" s="138">
        <f>LOOKUP($U$11,Lookup!$C$3:$C$672,Lookup!Y$3:Y$672)</f>
        <v>354971.35</v>
      </c>
      <c r="H21" s="54">
        <v>354811.35</v>
      </c>
      <c r="I21" s="54">
        <v>354811.35</v>
      </c>
      <c r="J21" s="54"/>
      <c r="K21" s="165"/>
      <c r="L21" s="271"/>
      <c r="M21" s="308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4" t="s">
        <v>26</v>
      </c>
      <c r="D22" s="163"/>
      <c r="E22" s="33"/>
      <c r="F22" s="152">
        <f>IF(ISBLANK(F20),"N/A",IF(OR(F20=0,F20="N/A"),0,F20/F21))</f>
        <v>0.86202651236526218</v>
      </c>
      <c r="G22" s="145">
        <f>IF(ISBLANK(G20),"N/A",IF(OR(G20=0,G20="N/A"),0,G20/G21))</f>
        <v>0.91830061778225203</v>
      </c>
      <c r="H22" s="145">
        <f>IF(ISBLANK(H20),"N/A",IF(AND(H20=0,H21=0,NOT(ISBLANK(H20)),NOT(ISBLANK(H21))),1,H20/H21))</f>
        <v>0.93181086230753341</v>
      </c>
      <c r="I22" s="145">
        <f>IF(ISBLANK(I20),"N/A",IF(AND(I20=0,I21=0,NOT(ISBLANK(I20)),NOT(ISBLANK(I21))),1,I20/I21))</f>
        <v>0.94102612557349141</v>
      </c>
      <c r="J22" s="145" t="str">
        <f>IF(ISBLANK(J20),"N/A",IF(AND(J20=0,J21=0,NOT(ISBLANK(J20)),NOT(ISBLANK(J21))),1,J20/J21))</f>
        <v>N/A</v>
      </c>
      <c r="K22" s="166"/>
      <c r="L22" s="271"/>
      <c r="M22" s="308"/>
      <c r="N22" s="83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304" t="s">
        <v>210</v>
      </c>
      <c r="C23" s="21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308"/>
      <c r="N23" s="94"/>
      <c r="O23" s="101" t="b">
        <v>0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IF(AND('Circuit Criminal'!D4=1,S36=1),A11,IF(AND('Circuit Criminal'!D4=2,S36=1),A15,IF(AND('Circuit Criminal'!D4=3,S36=1),A19,IF(AND('Circuit Criminal'!D4=4,S36=1),A23,""))))</f>
        <v/>
      </c>
      <c r="T23" s="91" t="s">
        <v>68</v>
      </c>
    </row>
    <row r="24" spans="1:21" s="18" customFormat="1" ht="15.75" customHeight="1" x14ac:dyDescent="0.3">
      <c r="A24" s="277"/>
      <c r="B24" s="305"/>
      <c r="C24" s="22" t="s">
        <v>23</v>
      </c>
      <c r="D24" s="163"/>
      <c r="E24" s="33"/>
      <c r="F24" s="29"/>
      <c r="G24" s="139">
        <f>LOOKUP($U$11,Lookup!$C$3:$C$672,Lookup!AM$3:AM$672)</f>
        <v>295002.58</v>
      </c>
      <c r="H24" s="144">
        <v>306411.96000000002</v>
      </c>
      <c r="I24" s="144">
        <v>313489.09999999998</v>
      </c>
      <c r="J24" s="144"/>
      <c r="K24" s="144"/>
      <c r="L24" s="271"/>
      <c r="M24" s="308"/>
      <c r="N24" s="103"/>
      <c r="O24" s="120" t="b">
        <v>0</v>
      </c>
      <c r="P24" s="120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IF(AND('Circuit Criminal'!D4=1,S37=1),A15,IF(AND('Circuit Criminal'!D4=2,S37=1),A19,IF(AND('Circuit Criminal'!D4=3,S37=1),A23,IF(AND('Circuit Criminal'!D4=4,S37=1),A27,""))))</f>
        <v/>
      </c>
      <c r="T24" s="91" t="s">
        <v>69</v>
      </c>
    </row>
    <row r="25" spans="1:21" ht="15.75" customHeight="1" thickBot="1" x14ac:dyDescent="0.3">
      <c r="A25" s="277"/>
      <c r="B25" s="305"/>
      <c r="C25" s="22" t="s">
        <v>24</v>
      </c>
      <c r="D25" s="287"/>
      <c r="E25" s="289"/>
      <c r="F25" s="269"/>
      <c r="G25" s="140">
        <f>LOOKUP($U$11,Lookup!$C$3:$C$672,Lookup!AH$3:AH$672)</f>
        <v>357496.5</v>
      </c>
      <c r="H25" s="54">
        <v>357095.5</v>
      </c>
      <c r="I25" s="54">
        <v>357095.5</v>
      </c>
      <c r="J25" s="54"/>
      <c r="K25" s="54"/>
      <c r="L25" s="271"/>
      <c r="M25" s="308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IF(AND('Circuit Criminal'!D4=1,S38=1),A19,IF(AND('Circuit Criminal'!D4=2,S38=1),A23,IF(AND('Circuit Criminal'!D4=3,S38=1),A27,IF(AND('Circuit Criminal'!D4=4,S38=1),A31,""))))</f>
        <v/>
      </c>
      <c r="T25" s="91" t="s">
        <v>70</v>
      </c>
    </row>
    <row r="26" spans="1:21" ht="15.75" customHeight="1" thickBot="1" x14ac:dyDescent="0.3">
      <c r="A26" s="278"/>
      <c r="B26" s="306"/>
      <c r="C26" s="24" t="s">
        <v>26</v>
      </c>
      <c r="D26" s="288"/>
      <c r="E26" s="290"/>
      <c r="F26" s="270"/>
      <c r="G26" s="153">
        <f>IF(ISBLANK(G24),"N/A",IF(OR(G24=0,G24="N/A"),0,G24/G25))</f>
        <v>0.82519012074244091</v>
      </c>
      <c r="H26" s="145">
        <f>IF(ISBLANK(H24),"N/A",IF(AND(H24=0,H25=0,NOT(ISBLANK(H24)),NOT(ISBLANK(H25))),1,H24/H25))</f>
        <v>0.85806726771969966</v>
      </c>
      <c r="I26" s="145">
        <f>IF(ISBLANK(I24),"N/A",IF(AND(I24=0,I25=0,NOT(ISBLANK(I24)),NOT(ISBLANK(I25))),1,I24/I25))</f>
        <v>0.87788588766870479</v>
      </c>
      <c r="J26" s="145" t="str">
        <f>IF(ISBLANK(J24),"N/A",IF(AND(J24=0,J25=0,NOT(ISBLANK(J24)),NOT(ISBLANK(J25))),1,J24/J25))</f>
        <v>N/A</v>
      </c>
      <c r="K26" s="171" t="str">
        <f>IF(ISBLANK(K24),"N/A",IF(AND(K24=0,K25=0,NOT(ISBLANK(K24)),NOT(ISBLANK(K25))),1,K24/K25))</f>
        <v>N/A</v>
      </c>
      <c r="L26" s="271"/>
      <c r="M26" s="309"/>
      <c r="N26" s="84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IF(AND('Circuit Criminal'!D4=1,S39=1),A23,IF(AND('Circuit Criminal'!D4=2,S39=1),A27,IF(AND('Circuit Criminal'!D4=3,S39=1),A31,IF(AND('Circuit Criminal'!D4=4,S39=1),A35,""))))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21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94"/>
      <c r="M27" s="94"/>
      <c r="N27" s="9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IF(AND('Circuit Criminal'!D4=1,S40=1),A27,IF(AND('Circuit Criminal'!D4=2,S40=1),A31,IF(AND('Circuit Criminal'!D4=3,S40=1),A35,IF(AND('Circuit Criminal'!D4=4,S40=1),A39,""))))</f>
        <v/>
      </c>
      <c r="T27" s="91" t="s">
        <v>72</v>
      </c>
    </row>
    <row r="28" spans="1:21" ht="15.75" customHeight="1" x14ac:dyDescent="0.25">
      <c r="A28" s="277"/>
      <c r="B28" s="264"/>
      <c r="C28" s="22" t="s">
        <v>23</v>
      </c>
      <c r="D28" s="173"/>
      <c r="E28" s="33"/>
      <c r="F28" s="33"/>
      <c r="G28" s="29"/>
      <c r="H28" s="144">
        <v>274043.21000000002</v>
      </c>
      <c r="I28" s="144">
        <v>285383.98</v>
      </c>
      <c r="J28" s="144"/>
      <c r="K28" s="169"/>
      <c r="L28" s="103"/>
      <c r="M28" s="103"/>
      <c r="N28" s="103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22" t="s">
        <v>24</v>
      </c>
      <c r="D29" s="173"/>
      <c r="E29" s="33"/>
      <c r="F29" s="33"/>
      <c r="G29" s="29"/>
      <c r="H29" s="54">
        <v>321813.55</v>
      </c>
      <c r="I29" s="54">
        <v>321813.55</v>
      </c>
      <c r="J29" s="54"/>
      <c r="K29" s="54"/>
      <c r="L29" s="103"/>
      <c r="M29" s="103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4" t="s">
        <v>26</v>
      </c>
      <c r="D30" s="174"/>
      <c r="E30" s="30"/>
      <c r="F30" s="30"/>
      <c r="G30" s="30"/>
      <c r="H30" s="145">
        <f>IF(ISBLANK(H28),"N/A",IF(AND(H28=0,H29=0,NOT(ISBLANK(H28)),NOT(ISBLANK(H29))),1,H28/H29))</f>
        <v>0.85155895393466197</v>
      </c>
      <c r="I30" s="145">
        <f>IF(ISBLANK(I28),"N/A",IF(AND(I28=0,I29=0,NOT(ISBLANK(I28)),NOT(ISBLANK(I29))),1,I28/I29))</f>
        <v>0.88679914192550313</v>
      </c>
      <c r="J30" s="145" t="str">
        <f>IF(ISBLANK(J28),"N/A",IF(AND(J28=0,J29=0,NOT(ISBLANK(J28)),NOT(ISBLANK(J29))),1,J28/J29))</f>
        <v>N/A</v>
      </c>
      <c r="K30" s="171" t="str">
        <f>IF(ISBLANK(K28),"N/A",IF(AND(K28=0,K29=0,NOT(ISBLANK(K28)),NOT(ISBLANK(K29))),1,K28/K29))</f>
        <v>N/A</v>
      </c>
      <c r="L30" s="84"/>
      <c r="M30" s="84"/>
      <c r="N30" s="84"/>
      <c r="O30" s="101" t="b">
        <v>0</v>
      </c>
      <c r="P30" s="101" t="b">
        <v>0</v>
      </c>
      <c r="Q30" s="1" t="str">
        <f>IF(AND(OR(ISBLANK(J20),ISBLANK(J21)),O30=FALSE),"Red","Gray")</f>
        <v>Red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304" t="s">
        <v>258</v>
      </c>
      <c r="C31" s="119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94"/>
      <c r="O31" s="101" t="b">
        <v>0</v>
      </c>
      <c r="P31" s="101" t="b">
        <v>0</v>
      </c>
      <c r="Q31" s="1" t="str">
        <f>IF(AND(OR(ISBLANK(J24),ISBLANK(J25)),O31=FALSE),"Red","Gray")</f>
        <v>Red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305"/>
      <c r="C32" s="22" t="s">
        <v>23</v>
      </c>
      <c r="D32" s="175"/>
      <c r="E32" s="74"/>
      <c r="F32" s="74"/>
      <c r="G32" s="74"/>
      <c r="H32" s="74"/>
      <c r="I32" s="144">
        <v>301961.84000000003</v>
      </c>
      <c r="J32" s="144"/>
      <c r="K32" s="169"/>
      <c r="L32" s="257"/>
      <c r="M32" s="258"/>
      <c r="N32" s="103"/>
      <c r="O32" s="101" t="b">
        <v>0</v>
      </c>
      <c r="P32" s="101" t="b">
        <v>0</v>
      </c>
      <c r="Q32" s="1" t="str">
        <f>IF(AND(OR(ISBLANK(J28),ISBLANK(J29)),O32=FALSE),"Red","Gray")</f>
        <v>Red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305"/>
      <c r="C33" s="22" t="s">
        <v>24</v>
      </c>
      <c r="D33" s="175"/>
      <c r="E33" s="74"/>
      <c r="F33" s="74"/>
      <c r="G33" s="74"/>
      <c r="H33" s="74"/>
      <c r="I33" s="54">
        <v>361179.44</v>
      </c>
      <c r="J33" s="54"/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Red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306"/>
      <c r="C34" s="24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0.83604382353547047</v>
      </c>
      <c r="J34" s="145" t="str">
        <f>IF(ISBLANK(J32),"N/A",IF(AND(J32=0,J33=0,NOT(ISBLANK(J32)),NOT(ISBLANK(J33))),1,J32/J33))</f>
        <v>N/A</v>
      </c>
      <c r="K34" s="171" t="str">
        <f>IF(ISBLANK(K32),"N/A",IF(AND(K32=0,K33=0,NOT(ISBLANK(K32)),NOT(ISBLANK(K33))),1,K32/K33))</f>
        <v>N/A</v>
      </c>
      <c r="L34" s="259"/>
      <c r="M34" s="260"/>
      <c r="N34" s="84"/>
      <c r="O34" s="121" t="b">
        <v>0</v>
      </c>
      <c r="P34" s="105" t="b">
        <v>0</v>
      </c>
      <c r="Q34" s="1" t="str">
        <f>IF(AND(OR(ISBLANK(J36),ISBLANK(J37)),O34=FALSE),"Red","Gray")</f>
        <v>Red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119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9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22" t="s">
        <v>23</v>
      </c>
      <c r="D36" s="177"/>
      <c r="E36" s="107"/>
      <c r="F36" s="107"/>
      <c r="G36" s="107"/>
      <c r="H36" s="107"/>
      <c r="I36" s="108"/>
      <c r="J36" s="144"/>
      <c r="K36" s="169"/>
      <c r="L36" s="259"/>
      <c r="M36" s="260"/>
      <c r="N36" s="103"/>
      <c r="O36" s="14" t="str">
        <f>IF(AND('Circuit Criminal'!$D$4=1,Q23="Red"),"Red","Gray")</f>
        <v>Gray</v>
      </c>
      <c r="P36" s="14" t="str">
        <f>IF(AND('Circuit Criminal'!$D$4=2,R23="Red"),"Red","Gray")</f>
        <v>Gray</v>
      </c>
      <c r="Q36" s="14" t="str">
        <f>IF(AND('Circuit Criminal'!$D$4=3,Q30="Red"),"Red","Gray")</f>
        <v>Gray</v>
      </c>
      <c r="R36" s="14" t="str">
        <f>IF(AND('Circuit Criminal'!$D$4=4,R30="Red"),"Red","Gray")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22" t="s">
        <v>24</v>
      </c>
      <c r="D37" s="177"/>
      <c r="E37" s="107"/>
      <c r="F37" s="107"/>
      <c r="G37" s="107"/>
      <c r="H37" s="107"/>
      <c r="I37" s="107"/>
      <c r="J37" s="54"/>
      <c r="K37" s="54"/>
      <c r="L37" s="259"/>
      <c r="M37" s="260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23" t="s">
        <v>26</v>
      </c>
      <c r="D38" s="178"/>
      <c r="E38" s="112"/>
      <c r="F38" s="112"/>
      <c r="G38" s="112"/>
      <c r="H38" s="112"/>
      <c r="I38" s="112"/>
      <c r="J38" s="145" t="str">
        <f>IF(ISBLANK(J36),"N/A",IF(AND(J36=0,J37=0,NOT(ISBLANK(J36)),NOT(ISBLANK(J37))),1,J36/J37))</f>
        <v>N/A</v>
      </c>
      <c r="K38" s="171" t="str">
        <f>IF(ISBLANK(K36),"N/A",IF(AND(K36=0,K37=0,NOT(ISBLANK(K36)),NOT(ISBLANK(K37))),1,K36/K37))</f>
        <v>N/A</v>
      </c>
      <c r="L38" s="259"/>
      <c r="M38" s="260"/>
      <c r="N38" s="84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304" t="s">
        <v>260</v>
      </c>
      <c r="C39" s="21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9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305"/>
      <c r="C40" s="122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103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305"/>
      <c r="C41" s="122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306"/>
      <c r="C42" s="123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84"/>
      <c r="O42" s="35">
        <f>SUM(O41:R41)</f>
        <v>0</v>
      </c>
      <c r="P42" s="15"/>
      <c r="T42" s="91" t="s">
        <v>87</v>
      </c>
    </row>
    <row r="43" spans="1:20" ht="61.2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90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92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93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94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95</v>
      </c>
    </row>
    <row r="49" spans="1:20" s="11" customFormat="1" ht="20.2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9"/>
      <c r="Q49" s="10"/>
      <c r="T49" s="91" t="s">
        <v>92</v>
      </c>
    </row>
    <row r="50" spans="1:20" ht="15.75" hidden="1" customHeight="1" x14ac:dyDescent="0.25">
      <c r="O50" s="13"/>
      <c r="P50" s="13"/>
      <c r="Q50" s="10"/>
      <c r="T50" s="91" t="s">
        <v>93</v>
      </c>
    </row>
    <row r="51" spans="1:20" ht="15.75" hidden="1" customHeight="1" x14ac:dyDescent="0.25">
      <c r="O51" s="14"/>
      <c r="P51" s="15"/>
      <c r="Q51" s="10"/>
      <c r="T51" s="91" t="s">
        <v>94</v>
      </c>
    </row>
    <row r="52" spans="1:20" ht="15.75" hidden="1" customHeight="1" x14ac:dyDescent="0.25">
      <c r="O52" s="14"/>
      <c r="P52" s="15"/>
      <c r="Q52" s="10"/>
      <c r="T52" s="91" t="s">
        <v>95</v>
      </c>
    </row>
    <row r="53" spans="1:20" ht="15.75" hidden="1" customHeight="1" x14ac:dyDescent="0.25">
      <c r="A53" s="275"/>
      <c r="B53" s="275"/>
      <c r="K53" s="14"/>
      <c r="L53" s="14"/>
      <c r="M53" s="14"/>
      <c r="N53" s="14"/>
      <c r="O53" s="15"/>
      <c r="P53" s="10"/>
      <c r="T53" s="91" t="s">
        <v>98</v>
      </c>
    </row>
    <row r="54" spans="1:20" ht="15.75" customHeight="1" x14ac:dyDescent="0.25">
      <c r="K54" s="14"/>
      <c r="L54" s="14"/>
      <c r="M54" s="14"/>
      <c r="N54" s="14"/>
      <c r="O54" s="15"/>
      <c r="P54" s="10"/>
      <c r="T54" s="91" t="s">
        <v>99</v>
      </c>
    </row>
    <row r="55" spans="1:20" ht="15.75" customHeight="1" x14ac:dyDescent="0.25">
      <c r="K55" s="14"/>
      <c r="L55" s="14"/>
      <c r="M55" s="14"/>
      <c r="N55" s="14"/>
      <c r="O55" s="15"/>
      <c r="P55" s="10"/>
      <c r="T55" s="91" t="s">
        <v>100</v>
      </c>
    </row>
    <row r="56" spans="1:20" ht="15.75" hidden="1" customHeight="1" x14ac:dyDescent="0.25">
      <c r="B56" s="1">
        <f>MAX(Probate!B61:B104)</f>
        <v>16</v>
      </c>
      <c r="D56" s="1" t="s">
        <v>128</v>
      </c>
      <c r="F56" s="1" t="s">
        <v>129</v>
      </c>
      <c r="G56" s="1" t="s">
        <v>130</v>
      </c>
      <c r="H56" s="1" t="s">
        <v>131</v>
      </c>
      <c r="I56" s="1" t="s">
        <v>132</v>
      </c>
      <c r="J56" s="1" t="s">
        <v>139</v>
      </c>
      <c r="K56" s="14"/>
      <c r="L56" s="14"/>
      <c r="M56" s="14"/>
      <c r="N56" s="14"/>
      <c r="O56" s="15"/>
      <c r="T56" s="91" t="s">
        <v>101</v>
      </c>
    </row>
    <row r="57" spans="1:20" ht="69" hidden="1" customHeight="1" x14ac:dyDescent="0.25">
      <c r="A57" s="1" t="str">
        <f>D$8</f>
        <v>Family</v>
      </c>
      <c r="B57" s="1">
        <f>IF(E57="YES",MAX(B56)+1,0)</f>
        <v>0</v>
      </c>
      <c r="C57" s="1" t="str">
        <f>A$11</f>
        <v>CGE CQ1-16</v>
      </c>
      <c r="D57" s="42" t="str">
        <f>"After 3rd Q, Collections went up by more than set percentage of: "&amp;TEXT(J57,"#0%")</f>
        <v>After 3rd Q, Collections went up by more than set percentage of: 500%</v>
      </c>
      <c r="E57" s="1" t="str">
        <f>IF(MAX(F57:G57)&gt;V$10,"YES","NO")</f>
        <v>NO</v>
      </c>
      <c r="F57" s="43">
        <f>IFERROR(IF(NOT(ISBLANK(G12)),(G12-F12)/F12,0),0)</f>
        <v>1.3862981034956695E-3</v>
      </c>
      <c r="G57" s="43">
        <f>IFERROR(IF(NOT(ISBLANK(H12)),(H12-G12)/G12,0),0)</f>
        <v>1.2110914304484894E-3</v>
      </c>
      <c r="J57" s="41">
        <f>V$10</f>
        <v>5</v>
      </c>
      <c r="K57" s="14"/>
      <c r="L57" s="14"/>
      <c r="M57" s="14"/>
      <c r="N57" s="14"/>
      <c r="O57" s="15"/>
      <c r="T57" s="91" t="s">
        <v>102</v>
      </c>
    </row>
    <row r="58" spans="1:20" ht="72.75" hidden="1" customHeight="1" x14ac:dyDescent="0.25">
      <c r="A58" s="1" t="str">
        <f t="shared" ref="A58:A86" si="0">D$8</f>
        <v>Family</v>
      </c>
      <c r="B58" s="1">
        <f>IF(E58="YES",MAX(B$56:B57)+1,0)</f>
        <v>0</v>
      </c>
      <c r="C58" s="1" t="str">
        <f>A$11</f>
        <v>CGE CQ1-16</v>
      </c>
      <c r="D58" s="42" t="str">
        <f>"Assessments dropped by more than set percentage of: "&amp;TEXT(J58,"#0%")</f>
        <v>Assessments dropped by more than set percentage of: 15%</v>
      </c>
      <c r="E58" s="1" t="str">
        <f>IF(MIN(F58:I58)&lt;(-1*V$11),"YES","NO")</f>
        <v>NO</v>
      </c>
      <c r="F58" s="43">
        <f>IFERROR(IF(NOT(ISBLANK(E13)),(E13-D13)/D13,0),0)</f>
        <v>-1.5055951908024459E-3</v>
      </c>
      <c r="G58" s="43">
        <f>IFERROR(IF(NOT(ISBLANK(F13)),(F13-E13)/E13,0),0)</f>
        <v>0</v>
      </c>
      <c r="H58" s="43">
        <f>IFERROR(IF(NOT(ISBLANK(G13)),(G13-F13)/F13,0),0)</f>
        <v>0</v>
      </c>
      <c r="I58" s="43">
        <f>IFERROR(IF(NOT(ISBLANK(H13)),(H13-G13)/G13,0),0)</f>
        <v>0</v>
      </c>
      <c r="J58" s="41">
        <f>V$11</f>
        <v>0.15</v>
      </c>
      <c r="K58" s="14"/>
      <c r="L58" s="14"/>
      <c r="M58" s="14"/>
      <c r="N58" s="14"/>
      <c r="O58" s="15"/>
      <c r="P58" s="10"/>
      <c r="T58" s="91" t="s">
        <v>107</v>
      </c>
    </row>
    <row r="59" spans="1:20" ht="52.5" hidden="1" customHeight="1" x14ac:dyDescent="0.25">
      <c r="A59" s="1" t="str">
        <f t="shared" si="0"/>
        <v>Family</v>
      </c>
      <c r="B59" s="1">
        <f>IF(E59="YES",MAX(B$56:B58)+1,0)</f>
        <v>0</v>
      </c>
      <c r="C59" s="1" t="str">
        <f>A$11</f>
        <v>CGE CQ1-16</v>
      </c>
      <c r="D59" s="42" t="str">
        <f>"The 5th Quarter Collection Rate did not meet the established performance measure standard of: "&amp;TEXT(J59,"#0%")</f>
        <v>The 5th Quarter Collection Rate did not meet the established performance measure standard of: 75%</v>
      </c>
      <c r="E59" s="1" t="str">
        <f>IF(F59="N/A","NO",IF(F59&lt;H$8,"YES","NO"))</f>
        <v>NO</v>
      </c>
      <c r="F59" s="44">
        <f>H14</f>
        <v>0.94678074365016063</v>
      </c>
      <c r="J59" s="41">
        <f>H$8</f>
        <v>0.75</v>
      </c>
      <c r="K59" s="14"/>
      <c r="L59" s="14"/>
      <c r="M59" s="14"/>
      <c r="N59" s="14"/>
      <c r="O59" s="15"/>
      <c r="P59" s="10"/>
      <c r="T59" s="91" t="s">
        <v>114</v>
      </c>
    </row>
    <row r="60" spans="1:20" ht="45" hidden="1" customHeight="1" x14ac:dyDescent="0.25">
      <c r="A60" s="1" t="str">
        <f t="shared" si="0"/>
        <v>Family</v>
      </c>
      <c r="B60" s="1">
        <f>IF(E60="YES",MAX(B$56:B59)+1,0)</f>
        <v>0</v>
      </c>
      <c r="C60" s="1" t="str">
        <f>A$11</f>
        <v>CGE CQ1-16</v>
      </c>
      <c r="D60" s="42" t="s">
        <v>133</v>
      </c>
      <c r="E60" s="1" t="str">
        <f>IF(MIN(F60:I60)&lt;0,"YES","NO")</f>
        <v>NO</v>
      </c>
      <c r="F60" s="43">
        <f t="shared" ref="F60:I61" si="1">IFERROR(IF(NOT(ISBLANK(E12)),(E12-D12)/D12,0),0)</f>
        <v>2.812221731673397E-2</v>
      </c>
      <c r="G60" s="43">
        <f t="shared" si="1"/>
        <v>9.9178755528593638E-3</v>
      </c>
      <c r="H60" s="43">
        <f t="shared" si="1"/>
        <v>1.3862981034956695E-3</v>
      </c>
      <c r="I60" s="43">
        <f t="shared" si="1"/>
        <v>1.2110914304484894E-3</v>
      </c>
      <c r="K60" s="14"/>
      <c r="L60" s="14"/>
      <c r="M60" s="14"/>
      <c r="N60" s="14"/>
      <c r="O60" s="15"/>
    </row>
    <row r="61" spans="1:20" ht="41.4" hidden="1" x14ac:dyDescent="0.25">
      <c r="A61" s="1" t="str">
        <f t="shared" si="0"/>
        <v>Family</v>
      </c>
      <c r="B61" s="1">
        <f>IF(E61="YES",MAX(B$56:B60)+1,0)</f>
        <v>0</v>
      </c>
      <c r="C61" s="1" t="str">
        <f>A$11</f>
        <v>CGE CQ1-16</v>
      </c>
      <c r="D61" s="42" t="s">
        <v>134</v>
      </c>
      <c r="E61" s="1" t="str">
        <f>IF(MAX(F61:I61)&gt;0,"YES","NO")</f>
        <v>NO</v>
      </c>
      <c r="F61" s="43">
        <f t="shared" si="1"/>
        <v>-1.5055951908024459E-3</v>
      </c>
      <c r="G61" s="43">
        <f t="shared" si="1"/>
        <v>0</v>
      </c>
      <c r="H61" s="43">
        <f t="shared" si="1"/>
        <v>0</v>
      </c>
      <c r="I61" s="43">
        <f t="shared" si="1"/>
        <v>0</v>
      </c>
      <c r="K61" s="14"/>
      <c r="L61" s="14"/>
      <c r="M61" s="14"/>
      <c r="N61" s="14"/>
    </row>
    <row r="62" spans="1:20" s="16" customFormat="1" ht="65.25" hidden="1" customHeight="1" x14ac:dyDescent="0.25">
      <c r="A62" s="1" t="str">
        <f t="shared" si="0"/>
        <v>Family</v>
      </c>
      <c r="B62" s="1">
        <f>IF(E62="YES",MAX(B$56:B61)+1,0)</f>
        <v>0</v>
      </c>
      <c r="C62" s="1" t="str">
        <f>A$15</f>
        <v>CGE CQ2-16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IFERROR(IF(NOT(ISBLANK(H16)),(H16-G16)/G16,0),0)</f>
        <v>3.4855283559054855E-3</v>
      </c>
      <c r="G62" s="43">
        <f>IFERROR(IF(NOT(ISBLANK(I16)),(I16-H16)/H16,0),0)</f>
        <v>4.7404234278701583E-3</v>
      </c>
      <c r="H62" s="43"/>
      <c r="I62" s="1"/>
      <c r="J62" s="41">
        <f>V$10</f>
        <v>5</v>
      </c>
      <c r="K62" s="14"/>
      <c r="L62" s="14"/>
      <c r="M62" s="14"/>
      <c r="N62" s="14"/>
      <c r="O62" s="11"/>
      <c r="P62" s="1"/>
      <c r="T62" s="91" t="s">
        <v>103</v>
      </c>
    </row>
    <row r="63" spans="1:20" ht="60.75" hidden="1" customHeight="1" x14ac:dyDescent="0.25">
      <c r="A63" s="1" t="str">
        <f t="shared" si="0"/>
        <v>Family</v>
      </c>
      <c r="B63" s="1">
        <f>IF(E63="YES",MAX(B$56:B62)+1,0)</f>
        <v>0</v>
      </c>
      <c r="C63" s="1" t="str">
        <f>A$15</f>
        <v>CGE CQ2-16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IFERROR(IF(NOT(ISBLANK(F17)),(F17-E17)/E17,0),0)</f>
        <v>0</v>
      </c>
      <c r="G63" s="43">
        <f>IFERROR(IF(NOT(ISBLANK(G17)),(G17-F17)/F17,0),0)</f>
        <v>0</v>
      </c>
      <c r="H63" s="43">
        <f>IFERROR(IF(NOT(ISBLANK(H17)),(H17-G17)/G17,0),0)</f>
        <v>0</v>
      </c>
      <c r="I63" s="43">
        <f>IFERROR(IF(NOT(ISBLANK(I17)),(I17-H17)/H17,0),0)</f>
        <v>0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108</v>
      </c>
    </row>
    <row r="64" spans="1:20" ht="52.5" hidden="1" customHeight="1" x14ac:dyDescent="0.25">
      <c r="A64" s="1" t="str">
        <f t="shared" si="0"/>
        <v>Family</v>
      </c>
      <c r="B64" s="1">
        <f>IF(E64="YES",MAX(B$56:B63)+1,0)</f>
        <v>0</v>
      </c>
      <c r="C64" s="1" t="str">
        <f>A$15</f>
        <v>CGE CQ2-16</v>
      </c>
      <c r="D64" s="42" t="s">
        <v>133</v>
      </c>
      <c r="E64" s="1" t="str">
        <f>IF(MIN(F64:I64)&lt;0,"YES","NO")</f>
        <v>NO</v>
      </c>
      <c r="F64" s="43">
        <f t="shared" ref="F64:I65" si="2">IFERROR(IF(NOT(ISBLANK(F16)),(F16-E16)/E16,0),0)</f>
        <v>3.7207082566074877E-2</v>
      </c>
      <c r="G64" s="43">
        <f t="shared" si="2"/>
        <v>9.0947506544244074E-3</v>
      </c>
      <c r="H64" s="43">
        <f t="shared" si="2"/>
        <v>3.4855283559054855E-3</v>
      </c>
      <c r="I64" s="43">
        <f t="shared" si="2"/>
        <v>4.7404234278701583E-3</v>
      </c>
      <c r="K64" s="14"/>
      <c r="L64" s="14"/>
      <c r="M64" s="14"/>
      <c r="N64" s="14"/>
      <c r="O64" s="15"/>
      <c r="P64" s="10"/>
    </row>
    <row r="65" spans="1:20" s="16" customFormat="1" ht="45" hidden="1" customHeight="1" x14ac:dyDescent="0.25">
      <c r="A65" s="1" t="str">
        <f t="shared" si="0"/>
        <v>Family</v>
      </c>
      <c r="B65" s="1">
        <f>IF(E65="YES",MAX(B$56:B64)+1,0)</f>
        <v>0</v>
      </c>
      <c r="C65" s="1" t="str">
        <f>A$15</f>
        <v>CGE CQ2-16</v>
      </c>
      <c r="D65" s="42" t="s">
        <v>134</v>
      </c>
      <c r="E65" s="1" t="str">
        <f>IF(MAX(F65:I65)&gt;0,"YES","NO")</f>
        <v>NO</v>
      </c>
      <c r="F65" s="43">
        <f t="shared" si="2"/>
        <v>0</v>
      </c>
      <c r="G65" s="43">
        <f t="shared" si="2"/>
        <v>0</v>
      </c>
      <c r="H65" s="43">
        <f t="shared" si="2"/>
        <v>0</v>
      </c>
      <c r="I65" s="43">
        <f t="shared" si="2"/>
        <v>0</v>
      </c>
      <c r="J65" s="1"/>
      <c r="K65" s="14"/>
      <c r="L65" s="14"/>
      <c r="M65" s="14"/>
      <c r="N65" s="14"/>
      <c r="O65" s="11"/>
      <c r="P65" s="1"/>
    </row>
    <row r="66" spans="1:20" ht="96.6" hidden="1" x14ac:dyDescent="0.25">
      <c r="A66" s="1" t="str">
        <f t="shared" si="0"/>
        <v>Family</v>
      </c>
      <c r="B66" s="1">
        <f>IF(E66="YES",MAX(B$56:B65)+1,0)</f>
        <v>0</v>
      </c>
      <c r="C66" s="1" t="str">
        <f>A$15</f>
        <v>CGE CQ2-16</v>
      </c>
      <c r="D66" s="42" t="str">
        <f>"The 5th Quarter Collection Rate did not meet the established performance measure standard of: "&amp;TEXT(J66,"#0%")</f>
        <v>The 5th Quarter Collection Rate did not meet the established performance measure standard of: 75%</v>
      </c>
      <c r="E66" s="1" t="str">
        <f>IF(F66="N/A","NO",IF(F66&lt;H$8,"YES","NO"))</f>
        <v>NO</v>
      </c>
      <c r="F66" s="44">
        <f>I18</f>
        <v>0.9467245113891084</v>
      </c>
      <c r="J66" s="41">
        <f>H$8</f>
        <v>0.75</v>
      </c>
      <c r="K66" s="14"/>
      <c r="L66" s="14"/>
      <c r="M66" s="14"/>
      <c r="N66" s="14"/>
    </row>
    <row r="67" spans="1:20" ht="65.25" hidden="1" customHeight="1" x14ac:dyDescent="0.3">
      <c r="A67" s="1" t="str">
        <f t="shared" si="0"/>
        <v>Family</v>
      </c>
      <c r="B67" s="1">
        <f>IF(E67="YES",MAX(B$56:B66)+1,0)</f>
        <v>0</v>
      </c>
      <c r="C67" s="1" t="str">
        <f>A$19</f>
        <v>CGE CQ3-16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IFERROR(IF(NOT(ISBLANK(I20)),(I20-H20)/H20,0),0)</f>
        <v>9.8896285058723468E-3</v>
      </c>
      <c r="G67" s="43">
        <f>IFERROR(IF(NOT(ISBLANK(J20)),(J20-I20)/I20,0),0)</f>
        <v>0</v>
      </c>
      <c r="J67" s="41">
        <f>V$10</f>
        <v>5</v>
      </c>
      <c r="K67" s="14"/>
      <c r="L67" s="14"/>
      <c r="M67" s="14"/>
      <c r="N67" s="14"/>
      <c r="O67" s="11"/>
      <c r="P67" s="18"/>
      <c r="T67" s="91" t="s">
        <v>104</v>
      </c>
    </row>
    <row r="68" spans="1:20" ht="60.75" hidden="1" customHeight="1" x14ac:dyDescent="0.25">
      <c r="A68" s="1" t="str">
        <f t="shared" si="0"/>
        <v>Family</v>
      </c>
      <c r="B68" s="1">
        <f>IF(E68="YES",MAX(B$56:B67)+1,0)</f>
        <v>0</v>
      </c>
      <c r="C68" s="1" t="str">
        <f>A$19</f>
        <v>CGE CQ3-16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IFERROR(IF(NOT(ISBLANK(G21)),(G21-F21)/F21,0),0)</f>
        <v>-5.4903849984662119E-4</v>
      </c>
      <c r="G68" s="43">
        <f>IFERROR(IF(NOT(ISBLANK(H21)),(H21-G21)/G21,0),0)</f>
        <v>-4.5074060202323371E-4</v>
      </c>
      <c r="H68" s="43">
        <f>IFERROR(IF(NOT(ISBLANK(I21)),(I21-H21)/H21,0),0)</f>
        <v>0</v>
      </c>
      <c r="I68" s="43">
        <f>IFERROR(IF(NOT(ISBLANK(J21)),(J21-I21)/I21,0),0)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109</v>
      </c>
    </row>
    <row r="69" spans="1:20" ht="52.5" hidden="1" customHeight="1" x14ac:dyDescent="0.25">
      <c r="A69" s="1" t="str">
        <f t="shared" si="0"/>
        <v>Family</v>
      </c>
      <c r="B69" s="1">
        <f>IF(E69="YES",MAX(B$56:B68)+1,0)</f>
        <v>0</v>
      </c>
      <c r="C69" s="1" t="str">
        <f>A$19</f>
        <v>CGE CQ3-16</v>
      </c>
      <c r="D69" s="42" t="s">
        <v>133</v>
      </c>
      <c r="E69" s="1" t="str">
        <f>IF(MIN(F69:I69)&lt;0,"YES","NO")</f>
        <v>NO</v>
      </c>
      <c r="F69" s="43">
        <f t="shared" ref="F69:I70" si="3">IFERROR(IF(NOT(ISBLANK(G20)),(G20-F20)/F20,0),0)</f>
        <v>6.469629671872941E-2</v>
      </c>
      <c r="G69" s="43">
        <f t="shared" si="3"/>
        <v>1.4254852150537322E-2</v>
      </c>
      <c r="H69" s="43">
        <f t="shared" si="3"/>
        <v>9.8896285058723468E-3</v>
      </c>
      <c r="I69" s="43">
        <f t="shared" si="3"/>
        <v>0</v>
      </c>
      <c r="K69" s="14"/>
      <c r="L69" s="14"/>
      <c r="M69" s="14"/>
      <c r="N69" s="14"/>
      <c r="O69" s="15"/>
      <c r="P69" s="10"/>
    </row>
    <row r="70" spans="1:20" ht="45" hidden="1" customHeight="1" x14ac:dyDescent="0.25">
      <c r="A70" s="1" t="str">
        <f t="shared" si="0"/>
        <v>Family</v>
      </c>
      <c r="B70" s="1">
        <f>IF(E70="YES",MAX(B$56:B69)+1,0)</f>
        <v>0</v>
      </c>
      <c r="C70" s="1" t="str">
        <f>A$19</f>
        <v>CGE CQ3-16</v>
      </c>
      <c r="D70" s="42" t="s">
        <v>134</v>
      </c>
      <c r="E70" s="1" t="str">
        <f>IF(MAX(F70:I70)&gt;0,"YES","NO")</f>
        <v>NO</v>
      </c>
      <c r="F70" s="43">
        <f t="shared" si="3"/>
        <v>-5.4903849984662119E-4</v>
      </c>
      <c r="G70" s="43">
        <f t="shared" si="3"/>
        <v>-4.5074060202323371E-4</v>
      </c>
      <c r="H70" s="43">
        <f t="shared" si="3"/>
        <v>0</v>
      </c>
      <c r="I70" s="43">
        <f t="shared" si="3"/>
        <v>0</v>
      </c>
      <c r="K70" s="14"/>
      <c r="L70" s="14"/>
      <c r="M70" s="14"/>
      <c r="N70" s="14"/>
      <c r="O70" s="11"/>
    </row>
    <row r="71" spans="1:20" ht="96.6" hidden="1" x14ac:dyDescent="0.25">
      <c r="A71" s="1" t="str">
        <f t="shared" si="0"/>
        <v>Family</v>
      </c>
      <c r="B71" s="1">
        <f>IF(E71="YES",MAX(B$56:B70)+1,0)</f>
        <v>0</v>
      </c>
      <c r="C71" s="1" t="str">
        <f>A$19</f>
        <v>CGE CQ3-16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75%</v>
      </c>
      <c r="E71" s="1" t="str">
        <f>IF(F71="N/A","NO",IF(F71&lt;H$8,"YES","NO"))</f>
        <v>NO</v>
      </c>
      <c r="F71" s="44" t="str">
        <f>J22</f>
        <v>N/A</v>
      </c>
      <c r="J71" s="41">
        <f>H$8</f>
        <v>0.75</v>
      </c>
      <c r="K71" s="14"/>
      <c r="L71" s="14"/>
      <c r="M71" s="14"/>
      <c r="N71" s="14"/>
    </row>
    <row r="72" spans="1:20" ht="65.25" hidden="1" customHeight="1" x14ac:dyDescent="0.25">
      <c r="A72" s="1" t="str">
        <f t="shared" si="0"/>
        <v>Family</v>
      </c>
      <c r="B72" s="1">
        <f>IF(E72="YES",MAX(B$56:B71)+1,0)</f>
        <v>0</v>
      </c>
      <c r="C72" s="1" t="str">
        <f>A$23</f>
        <v>CGE CQ4-16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IF(MAX(F72:G72)&gt;V$10,"YES","NO")</f>
        <v>NO</v>
      </c>
      <c r="F72" s="43">
        <f>IFERROR(IF(NOT(ISBLANK(J24)),(J24-I24)/I24,0),0)</f>
        <v>0</v>
      </c>
      <c r="G72" s="43">
        <f>IFERROR(IF(NOT(ISBLANK(K24)),(K24-J24)/J24,0),0)</f>
        <v>0</v>
      </c>
      <c r="J72" s="41">
        <f>V$10</f>
        <v>5</v>
      </c>
      <c r="K72" s="14"/>
      <c r="L72" s="14"/>
      <c r="M72" s="14"/>
      <c r="N72" s="14"/>
      <c r="O72" s="15"/>
      <c r="P72" s="10"/>
      <c r="T72" s="91" t="s">
        <v>105</v>
      </c>
    </row>
    <row r="73" spans="1:20" ht="60.75" hidden="1" customHeight="1" x14ac:dyDescent="0.25">
      <c r="A73" s="1" t="str">
        <f t="shared" si="0"/>
        <v>Family</v>
      </c>
      <c r="B73" s="1">
        <f>IF(E73="YES",MAX(B$56:B72)+1,0)</f>
        <v>0</v>
      </c>
      <c r="C73" s="1" t="str">
        <f>A$23</f>
        <v>CGE CQ4-16</v>
      </c>
      <c r="D73" s="42" t="str">
        <f>"Assessments dropped by more than set percentage of: "&amp;TEXT(J73,"#0%")</f>
        <v>Assessments dropped by more than set percentage of: 15%</v>
      </c>
      <c r="E73" s="1" t="str">
        <f>IF(MIN(F73:I73)&lt;(-1*V$11),"YES","NO")</f>
        <v>NO</v>
      </c>
      <c r="F73" s="43">
        <f>IFERROR(IF(NOT(ISBLANK(H25)),(H25-G25)/G25,0),0)</f>
        <v>-1.12168930325192E-3</v>
      </c>
      <c r="G73" s="43">
        <f>IFERROR(IF(NOT(ISBLANK(I25)),(I25-H25)/H25,0),0)</f>
        <v>0</v>
      </c>
      <c r="H73" s="43">
        <f>IFERROR(IF(NOT(ISBLANK(J25)),(J25-I25)/I25,0),0)</f>
        <v>0</v>
      </c>
      <c r="I73" s="43">
        <f>IFERROR(IF(NOT(ISBLANK(K25)),(K25-J25)/J25,0),0)</f>
        <v>0</v>
      </c>
      <c r="J73" s="41">
        <f>V$11</f>
        <v>0.15</v>
      </c>
      <c r="K73" s="14"/>
      <c r="L73" s="14"/>
      <c r="M73" s="14"/>
      <c r="N73" s="14"/>
      <c r="O73" s="15"/>
      <c r="P73" s="10"/>
      <c r="T73" s="91" t="s">
        <v>110</v>
      </c>
    </row>
    <row r="74" spans="1:20" ht="52.5" hidden="1" customHeight="1" x14ac:dyDescent="0.25">
      <c r="A74" s="1" t="str">
        <f t="shared" si="0"/>
        <v>Family</v>
      </c>
      <c r="B74" s="1">
        <f>IF(E74="YES",MAX(B$56:B73)+1,0)</f>
        <v>0</v>
      </c>
      <c r="C74" s="1" t="str">
        <f>A$23</f>
        <v>CGE CQ4-16</v>
      </c>
      <c r="D74" s="42" t="s">
        <v>133</v>
      </c>
      <c r="E74" s="1" t="str">
        <f>IF(MIN(F74:I74)&lt;0,"YES","NO")</f>
        <v>NO</v>
      </c>
      <c r="F74" s="43">
        <f t="shared" ref="F74:I75" si="4">IFERROR(IF(NOT(ISBLANK(H24)),(H24-G24)/G24,0),0)</f>
        <v>3.8675526159805122E-2</v>
      </c>
      <c r="G74" s="43">
        <f t="shared" si="4"/>
        <v>2.3096813844994676E-2</v>
      </c>
      <c r="H74" s="43">
        <f t="shared" si="4"/>
        <v>0</v>
      </c>
      <c r="I74" s="43">
        <f t="shared" si="4"/>
        <v>0</v>
      </c>
      <c r="K74" s="14"/>
      <c r="L74" s="14"/>
      <c r="M74" s="14"/>
      <c r="N74" s="14"/>
      <c r="O74" s="15"/>
      <c r="P74" s="10"/>
    </row>
    <row r="75" spans="1:20" ht="45" hidden="1" customHeight="1" x14ac:dyDescent="0.25">
      <c r="A75" s="1" t="str">
        <f t="shared" si="0"/>
        <v>Family</v>
      </c>
      <c r="B75" s="1">
        <f>IF(E75="YES",MAX(B$56:B74)+1,0)</f>
        <v>0</v>
      </c>
      <c r="C75" s="1" t="str">
        <f>A$23</f>
        <v>CGE CQ4-16</v>
      </c>
      <c r="D75" s="42" t="s">
        <v>134</v>
      </c>
      <c r="E75" s="1" t="str">
        <f>IF(MAX(F75:I75)&gt;0,"YES","NO")</f>
        <v>NO</v>
      </c>
      <c r="F75" s="43">
        <f t="shared" si="4"/>
        <v>-1.12168930325192E-3</v>
      </c>
      <c r="G75" s="43">
        <f t="shared" si="4"/>
        <v>0</v>
      </c>
      <c r="H75" s="43">
        <f t="shared" si="4"/>
        <v>0</v>
      </c>
      <c r="I75" s="43">
        <f t="shared" si="4"/>
        <v>0</v>
      </c>
      <c r="K75" s="14"/>
      <c r="L75" s="14"/>
      <c r="M75" s="14"/>
      <c r="N75" s="14"/>
    </row>
    <row r="76" spans="1:20" ht="96.6" hidden="1" x14ac:dyDescent="0.25">
      <c r="A76" s="1" t="str">
        <f t="shared" si="0"/>
        <v>Family</v>
      </c>
      <c r="B76" s="1">
        <f>IF(E76="YES",MAX(B$56:B75)+1,0)</f>
        <v>0</v>
      </c>
      <c r="C76" s="1" t="str">
        <f>A$23</f>
        <v>CGE CQ4-16</v>
      </c>
      <c r="D76" s="42" t="str">
        <f>"The 5th Quarter Collection Rate did not meet the established performance measure standard of: "&amp;TEXT(J76,"#0%")</f>
        <v>The 5th Quarter Collection Rate did not meet the established performance measure standard of: 75%</v>
      </c>
      <c r="E76" s="1" t="str">
        <f>IF(F76="N/A","NO",IF(F76&lt;H$8,"YES","NO"))</f>
        <v>NO</v>
      </c>
      <c r="F76" s="44" t="str">
        <f>K26</f>
        <v>N/A</v>
      </c>
      <c r="J76" s="41">
        <f>H$8</f>
        <v>0.75</v>
      </c>
      <c r="K76" s="14"/>
      <c r="L76" s="14"/>
      <c r="M76" s="14"/>
      <c r="N76" s="14"/>
    </row>
    <row r="77" spans="1:20" s="18" customFormat="1" ht="65.25" hidden="1" customHeight="1" x14ac:dyDescent="0.3">
      <c r="A77" s="1" t="str">
        <f t="shared" si="0"/>
        <v>Family</v>
      </c>
      <c r="B77" s="1">
        <f>IF(E77="YES",MAX(B$56:B76)+1,0)</f>
        <v>0</v>
      </c>
      <c r="C77" s="1" t="str">
        <f>A$27</f>
        <v>CGE CQ1-17</v>
      </c>
      <c r="D77" s="42" t="str">
        <f>"After 3rd Q, Collections went up by more than set percentage of: "&amp;TEXT(J77,"#0%")</f>
        <v>After 3rd Q, Collections went up by more than set percentage of: 500%</v>
      </c>
      <c r="E77" s="1" t="str">
        <f>IF(MAX(F77)&gt;V$10,"YES","NO")</f>
        <v>NO</v>
      </c>
      <c r="F77" s="43">
        <f>IFERROR(IF(NOT(ISBLANK(K28)),(K28-J28)/J28,0),0)</f>
        <v>0</v>
      </c>
      <c r="G77" s="43"/>
      <c r="H77" s="1"/>
      <c r="I77" s="1"/>
      <c r="J77" s="41">
        <f>V$10</f>
        <v>5</v>
      </c>
      <c r="K77" s="14"/>
      <c r="L77" s="14"/>
      <c r="M77" s="14"/>
      <c r="N77" s="14"/>
      <c r="O77" s="17"/>
      <c r="P77" s="10"/>
      <c r="T77" s="91" t="s">
        <v>106</v>
      </c>
    </row>
    <row r="78" spans="1:20" ht="60.75" hidden="1" customHeight="1" x14ac:dyDescent="0.25">
      <c r="A78" s="1" t="str">
        <f t="shared" si="0"/>
        <v>Family</v>
      </c>
      <c r="B78" s="1">
        <f>IF(E78="YES",MAX(B$56:B77)+1,0)</f>
        <v>0</v>
      </c>
      <c r="C78" s="1" t="str">
        <f>A$27</f>
        <v>CGE CQ1-17</v>
      </c>
      <c r="D78" s="42" t="str">
        <f>"Assessments dropped by more than set percentage of: "&amp;TEXT(J78,"#0%")</f>
        <v>Assessments dropped by more than set percentage of: 15%</v>
      </c>
      <c r="E78" s="1" t="str">
        <f>IF(MIN(F78:H78)&lt;(-1*V$11),"YES","NO")</f>
        <v>NO</v>
      </c>
      <c r="F78" s="43">
        <f>IFERROR(IF(NOT(ISBLANK(I29)),(I29-H29)/H29,0),0)</f>
        <v>0</v>
      </c>
      <c r="G78" s="43">
        <f>IFERROR(IF(NOT(ISBLANK(J29)),(J29-I29)/I29,0),0)</f>
        <v>0</v>
      </c>
      <c r="H78" s="43">
        <f>IFERROR(IF(NOT(ISBLANK(K29)),(K29-J29)/J29,0),0)</f>
        <v>0</v>
      </c>
      <c r="J78" s="41">
        <f>V$11</f>
        <v>0.15</v>
      </c>
      <c r="K78" s="14"/>
      <c r="L78" s="14"/>
      <c r="M78" s="14"/>
      <c r="N78" s="14"/>
      <c r="O78" s="15"/>
      <c r="P78" s="10"/>
      <c r="T78" s="91" t="s">
        <v>111</v>
      </c>
    </row>
    <row r="79" spans="1:20" ht="52.5" hidden="1" customHeight="1" x14ac:dyDescent="0.25">
      <c r="A79" s="1" t="str">
        <f t="shared" si="0"/>
        <v>Family</v>
      </c>
      <c r="B79" s="1">
        <f>IF(E79="YES",MAX(B$56:B78)+1,0)</f>
        <v>0</v>
      </c>
      <c r="C79" s="1" t="str">
        <f>A$27</f>
        <v>CGE CQ1-17</v>
      </c>
      <c r="D79" s="42" t="s">
        <v>133</v>
      </c>
      <c r="E79" s="1" t="str">
        <f>IF(MIN(F79:H79)&lt;0,"YES","NO")</f>
        <v>NO</v>
      </c>
      <c r="F79" s="43">
        <f t="shared" ref="F79:H80" si="5">IFERROR(IF(NOT(ISBLANK(I28)),(I28-H28)/H28,0),0)</f>
        <v>4.138314538061337E-2</v>
      </c>
      <c r="G79" s="43">
        <f t="shared" si="5"/>
        <v>0</v>
      </c>
      <c r="H79" s="43">
        <f t="shared" si="5"/>
        <v>0</v>
      </c>
      <c r="K79" s="14"/>
      <c r="L79" s="14"/>
      <c r="M79" s="14"/>
      <c r="N79" s="14"/>
      <c r="O79" s="15"/>
      <c r="P79" s="10"/>
    </row>
    <row r="80" spans="1:20" ht="45" hidden="1" customHeight="1" x14ac:dyDescent="0.25">
      <c r="A80" s="1" t="str">
        <f t="shared" si="0"/>
        <v>Family</v>
      </c>
      <c r="B80" s="1">
        <f>IF(E80="YES",MAX(B$56:B79)+1,0)</f>
        <v>0</v>
      </c>
      <c r="C80" s="1" t="str">
        <f>A$27</f>
        <v>CGE CQ1-17</v>
      </c>
      <c r="D80" s="42" t="s">
        <v>134</v>
      </c>
      <c r="E80" s="1" t="str">
        <f>IF(MAX(F80:H80)&gt;0,"YES","NO")</f>
        <v>NO</v>
      </c>
      <c r="F80" s="43">
        <f t="shared" si="5"/>
        <v>0</v>
      </c>
      <c r="G80" s="43">
        <f t="shared" si="5"/>
        <v>0</v>
      </c>
      <c r="H80" s="43">
        <f t="shared" si="5"/>
        <v>0</v>
      </c>
      <c r="K80" s="14"/>
      <c r="L80" s="14"/>
      <c r="M80" s="14"/>
      <c r="N80" s="14"/>
    </row>
    <row r="81" spans="1:20" ht="60.75" hidden="1" customHeight="1" x14ac:dyDescent="0.25">
      <c r="A81" s="1" t="str">
        <f t="shared" si="0"/>
        <v>Family</v>
      </c>
      <c r="B81" s="1">
        <f>IF(E81="YES",MAX(B$56:B80)+1,0)</f>
        <v>0</v>
      </c>
      <c r="C81" s="1" t="str">
        <f>A$31</f>
        <v>CGE CQ2-17</v>
      </c>
      <c r="D81" s="42" t="str">
        <f>"Assessments dropped by more than set percentage of: "&amp;TEXT(J81,"#0%")</f>
        <v>Assessments dropped by more than set percentage of: 15%</v>
      </c>
      <c r="E81" s="1" t="str">
        <f>IF(MIN(F81:G81)&lt;(-1*V$11),"YES","NO")</f>
        <v>NO</v>
      </c>
      <c r="F81" s="43">
        <f>IFERROR(IF(NOT(ISBLANK(J33)),(J33-I33)/I33,0),0)</f>
        <v>0</v>
      </c>
      <c r="G81" s="43">
        <f>IFERROR(IF(NOT(ISBLANK(K33)),(K33-J33)/J33,0),0)</f>
        <v>0</v>
      </c>
      <c r="J81" s="41">
        <f>V$11</f>
        <v>0.15</v>
      </c>
      <c r="K81" s="14"/>
      <c r="L81" s="14"/>
      <c r="M81" s="14"/>
      <c r="N81" s="14"/>
      <c r="O81" s="15"/>
      <c r="P81" s="10"/>
      <c r="T81" s="91" t="s">
        <v>112</v>
      </c>
    </row>
    <row r="82" spans="1:20" ht="52.5" hidden="1" customHeight="1" x14ac:dyDescent="0.25">
      <c r="A82" s="1" t="str">
        <f t="shared" si="0"/>
        <v>Family</v>
      </c>
      <c r="B82" s="1">
        <f>IF(E82="YES",MAX(B$56:B81)+1,0)</f>
        <v>0</v>
      </c>
      <c r="C82" s="1" t="str">
        <f>A$31</f>
        <v>CGE CQ2-17</v>
      </c>
      <c r="D82" s="42" t="s">
        <v>133</v>
      </c>
      <c r="E82" s="1" t="str">
        <f>IF(MIN(F82:G82)&lt;0,"YES","NO")</f>
        <v>NO</v>
      </c>
      <c r="F82" s="43">
        <f>IFERROR(IF(NOT(ISBLANK(J32)),(J32-I32)/I32,0),0)</f>
        <v>0</v>
      </c>
      <c r="G82" s="43">
        <f>IFERROR(IF(NOT(ISBLANK(K32)),(K32-J32)/J32,0),0)</f>
        <v>0</v>
      </c>
      <c r="K82" s="14"/>
      <c r="L82" s="14"/>
      <c r="M82" s="14"/>
      <c r="N82" s="14"/>
      <c r="O82" s="15"/>
      <c r="P82" s="10"/>
    </row>
    <row r="83" spans="1:20" ht="45" hidden="1" customHeight="1" x14ac:dyDescent="0.25">
      <c r="A83" s="1" t="str">
        <f t="shared" si="0"/>
        <v>Family</v>
      </c>
      <c r="B83" s="1">
        <f>IF(E83="YES",MAX(B$56:B82)+1,0)</f>
        <v>0</v>
      </c>
      <c r="C83" s="1" t="str">
        <f>A$31</f>
        <v>CGE CQ2-17</v>
      </c>
      <c r="D83" s="42" t="s">
        <v>134</v>
      </c>
      <c r="E83" s="1" t="str">
        <f>IF(MAX(F83:G83)&gt;0,"YES","NO")</f>
        <v>NO</v>
      </c>
      <c r="F83" s="43">
        <f>IFERROR(IF(NOT(ISBLANK(J33)),(J33-I33)/I33,0),0)</f>
        <v>0</v>
      </c>
      <c r="G83" s="43">
        <f>IFERROR(IF(NOT(ISBLANK(K33)),(K33-J33)/J33,0),0)</f>
        <v>0</v>
      </c>
      <c r="K83" s="14"/>
      <c r="L83" s="14"/>
      <c r="M83" s="14"/>
      <c r="N83" s="14"/>
    </row>
    <row r="84" spans="1:20" ht="60.75" hidden="1" customHeight="1" x14ac:dyDescent="0.25">
      <c r="A84" s="1" t="str">
        <f t="shared" si="0"/>
        <v>Family</v>
      </c>
      <c r="B84" s="1">
        <f>IF(E84="YES",MAX(B$56:B83)+1,0)</f>
        <v>0</v>
      </c>
      <c r="C84" s="1" t="str">
        <f>A$35</f>
        <v>CGE CQ3-17</v>
      </c>
      <c r="D84" s="42" t="str">
        <f>"Assessments dropped by more than set percentage of: "&amp;TEXT(J84,"#0%")</f>
        <v>Assessments dropped by more than set percentage of: 15%</v>
      </c>
      <c r="E84" s="1" t="str">
        <f>IF(MIN(F84)&lt;(-1*V$11),"YES","NO")</f>
        <v>NO</v>
      </c>
      <c r="F84" s="43">
        <f>IFERROR(IF(NOT(ISBLANK(K37)),(K37-J37)/J37,0),0)</f>
        <v>0</v>
      </c>
      <c r="J84" s="41">
        <f>V$11</f>
        <v>0.15</v>
      </c>
      <c r="K84" s="14"/>
      <c r="L84" s="14"/>
      <c r="M84" s="14"/>
      <c r="N84" s="14"/>
      <c r="O84" s="15"/>
      <c r="P84" s="10"/>
      <c r="T84" s="91" t="s">
        <v>113</v>
      </c>
    </row>
    <row r="85" spans="1:20" ht="52.5" hidden="1" customHeight="1" x14ac:dyDescent="0.25">
      <c r="A85" s="1" t="str">
        <f t="shared" si="0"/>
        <v>Family</v>
      </c>
      <c r="B85" s="1">
        <f>IF(E85="YES",MAX(B$56:B84)+1,0)</f>
        <v>0</v>
      </c>
      <c r="C85" s="1" t="str">
        <f>A$35</f>
        <v>CGE CQ3-17</v>
      </c>
      <c r="D85" s="42" t="s">
        <v>133</v>
      </c>
      <c r="E85" s="1" t="str">
        <f>IF(MIN(F85)&lt;0,"YES","NO")</f>
        <v>NO</v>
      </c>
      <c r="F85" s="43">
        <f>IFERROR(IF(NOT(ISBLANK(K36)),(K36-J36)/J36,0),0)</f>
        <v>0</v>
      </c>
      <c r="K85" s="14"/>
      <c r="L85" s="14"/>
      <c r="M85" s="14"/>
      <c r="N85" s="14"/>
      <c r="O85" s="15"/>
    </row>
    <row r="86" spans="1:20" ht="45" hidden="1" customHeight="1" x14ac:dyDescent="0.25">
      <c r="A86" s="1" t="str">
        <f t="shared" si="0"/>
        <v>Family</v>
      </c>
      <c r="B86" s="1">
        <f>IF(E86="YES",MAX(B$56:B85)+1,0)</f>
        <v>0</v>
      </c>
      <c r="C86" s="1" t="str">
        <f>A$35</f>
        <v>CGE CQ3-17</v>
      </c>
      <c r="D86" s="42" t="s">
        <v>134</v>
      </c>
      <c r="E86" s="1" t="str">
        <f>IF(MAX(F86)&gt;0,"YES","NO")</f>
        <v>NO</v>
      </c>
      <c r="F86" s="43">
        <f>IFERROR(IF(NOT(ISBLANK(K37)),(K37-J37)/J37,0),0)</f>
        <v>0</v>
      </c>
      <c r="K86" s="14"/>
      <c r="L86" s="14"/>
      <c r="M86" s="14"/>
      <c r="N86" s="14"/>
    </row>
  </sheetData>
  <sheetProtection algorithmName="SHA-512" hashValue="7kff1AoaEwSX2aY/MbvivA7qAxsc/a2Tie/9+M84jOv49V5IUszTbLUVz8OcvKFFI54Jna/uPRQovJUlyZ7I8w==" saltValue="47VAQmGiSTsiDI01ltGntg==" spinCount="100000" sheet="1" objects="1" scenarios="1" selectLockedCells="1"/>
  <mergeCells count="36">
    <mergeCell ref="A53:B53"/>
    <mergeCell ref="B35:B38"/>
    <mergeCell ref="B39:B42"/>
    <mergeCell ref="A11:A14"/>
    <mergeCell ref="A15:A18"/>
    <mergeCell ref="B19:B22"/>
    <mergeCell ref="B23:B26"/>
    <mergeCell ref="B11:B14"/>
    <mergeCell ref="B15:B18"/>
    <mergeCell ref="A19:A22"/>
    <mergeCell ref="A23:A26"/>
    <mergeCell ref="A39:A42"/>
    <mergeCell ref="A31:A34"/>
    <mergeCell ref="A27:A30"/>
    <mergeCell ref="B27:B30"/>
    <mergeCell ref="B31:B34"/>
    <mergeCell ref="A35:A38"/>
    <mergeCell ref="D43:G43"/>
    <mergeCell ref="H43:K43"/>
    <mergeCell ref="L31:M31"/>
    <mergeCell ref="L32:M42"/>
    <mergeCell ref="D6:E6"/>
    <mergeCell ref="M23:M26"/>
    <mergeCell ref="L9:M9"/>
    <mergeCell ref="L11:L14"/>
    <mergeCell ref="M11:M14"/>
    <mergeCell ref="L15:L18"/>
    <mergeCell ref="M15:M18"/>
    <mergeCell ref="L19:L22"/>
    <mergeCell ref="M19:M22"/>
    <mergeCell ref="L23:L26"/>
    <mergeCell ref="D8:E8"/>
    <mergeCell ref="I11:I14"/>
    <mergeCell ref="D25:D26"/>
    <mergeCell ref="E25:E26"/>
    <mergeCell ref="F25:F26"/>
  </mergeCells>
  <phoneticPr fontId="0" type="noConversion"/>
  <conditionalFormatting sqref="M15:M18">
    <cfRule type="expression" dxfId="42" priority="228" stopIfTrue="1">
      <formula>$I$18&lt;$H$8</formula>
    </cfRule>
  </conditionalFormatting>
  <conditionalFormatting sqref="M19:M22">
    <cfRule type="expression" dxfId="41" priority="227" stopIfTrue="1">
      <formula>$J$22&lt;$H$8</formula>
    </cfRule>
  </conditionalFormatting>
  <conditionalFormatting sqref="M23:M26">
    <cfRule type="expression" dxfId="40" priority="226" stopIfTrue="1">
      <formula>$K$26&lt;$H$8</formula>
    </cfRule>
  </conditionalFormatting>
  <conditionalFormatting sqref="M11:M14">
    <cfRule type="expression" dxfId="39" priority="225" stopIfTrue="1">
      <formula>$H$14&lt;$H$8</formula>
    </cfRule>
  </conditionalFormatting>
  <conditionalFormatting sqref="I39:I42">
    <cfRule type="cellIs" dxfId="38" priority="44" stopIfTrue="1" operator="lessThan">
      <formula>$H$8</formula>
    </cfRule>
  </conditionalFormatting>
  <conditionalFormatting sqref="H12">
    <cfRule type="expression" dxfId="37" priority="43">
      <formula>(H12&lt;G12)</formula>
    </cfRule>
  </conditionalFormatting>
  <conditionalFormatting sqref="I16">
    <cfRule type="expression" dxfId="36" priority="42">
      <formula>(I16&lt;H16)</formula>
    </cfRule>
  </conditionalFormatting>
  <conditionalFormatting sqref="J20">
    <cfRule type="expression" dxfId="35" priority="41">
      <formula>(J20&lt;I20)</formula>
    </cfRule>
  </conditionalFormatting>
  <conditionalFormatting sqref="H16">
    <cfRule type="expression" dxfId="34" priority="39">
      <formula>(H16&lt;G16)</formula>
    </cfRule>
  </conditionalFormatting>
  <conditionalFormatting sqref="I20">
    <cfRule type="expression" dxfId="33" priority="38">
      <formula>(I20&lt;H20)</formula>
    </cfRule>
  </conditionalFormatting>
  <conditionalFormatting sqref="K28">
    <cfRule type="expression" dxfId="32" priority="36">
      <formula>(K28&lt;J28)</formula>
    </cfRule>
  </conditionalFormatting>
  <conditionalFormatting sqref="H20">
    <cfRule type="expression" dxfId="31" priority="35">
      <formula>(H20&lt;G20)</formula>
    </cfRule>
  </conditionalFormatting>
  <conditionalFormatting sqref="J28">
    <cfRule type="expression" dxfId="30" priority="33">
      <formula>(J28&lt;I28)</formula>
    </cfRule>
  </conditionalFormatting>
  <conditionalFormatting sqref="K32">
    <cfRule type="expression" dxfId="29" priority="32">
      <formula>(K32&lt;J32)</formula>
    </cfRule>
  </conditionalFormatting>
  <conditionalFormatting sqref="H24">
    <cfRule type="expression" dxfId="28" priority="31">
      <formula>(H24&lt;G24)</formula>
    </cfRule>
  </conditionalFormatting>
  <conditionalFormatting sqref="I28">
    <cfRule type="expression" dxfId="27" priority="30">
      <formula>(I28&lt;H28)</formula>
    </cfRule>
  </conditionalFormatting>
  <conditionalFormatting sqref="J32">
    <cfRule type="expression" dxfId="26" priority="29">
      <formula>(J32&lt;I32)</formula>
    </cfRule>
  </conditionalFormatting>
  <conditionalFormatting sqref="K36">
    <cfRule type="expression" dxfId="25" priority="28">
      <formula>(K36&lt;J36)</formula>
    </cfRule>
  </conditionalFormatting>
  <conditionalFormatting sqref="H13">
    <cfRule type="expression" dxfId="24" priority="27">
      <formula>(H13&gt;G13)</formula>
    </cfRule>
  </conditionalFormatting>
  <conditionalFormatting sqref="H17">
    <cfRule type="expression" dxfId="23" priority="26">
      <formula>(H17&gt;G17)</formula>
    </cfRule>
  </conditionalFormatting>
  <conditionalFormatting sqref="H21">
    <cfRule type="expression" dxfId="22" priority="25">
      <formula>(H21&gt;G21)</formula>
    </cfRule>
  </conditionalFormatting>
  <conditionalFormatting sqref="H25">
    <cfRule type="expression" dxfId="21" priority="24">
      <formula>(H25&gt;G25)</formula>
    </cfRule>
  </conditionalFormatting>
  <conditionalFormatting sqref="I29">
    <cfRule type="expression" dxfId="20" priority="23">
      <formula>(I29&gt;H29)</formula>
    </cfRule>
  </conditionalFormatting>
  <conditionalFormatting sqref="H14">
    <cfRule type="expression" dxfId="19" priority="22">
      <formula>H14&lt;$H$8</formula>
    </cfRule>
  </conditionalFormatting>
  <conditionalFormatting sqref="I18">
    <cfRule type="expression" dxfId="18" priority="21">
      <formula>I18&lt;$H$8</formula>
    </cfRule>
  </conditionalFormatting>
  <conditionalFormatting sqref="J22">
    <cfRule type="expression" dxfId="17" priority="20">
      <formula>J22&lt;$H$8</formula>
    </cfRule>
  </conditionalFormatting>
  <conditionalFormatting sqref="K26">
    <cfRule type="expression" dxfId="16" priority="19">
      <formula>K26&lt;$H$8</formula>
    </cfRule>
  </conditionalFormatting>
  <conditionalFormatting sqref="I17">
    <cfRule type="expression" dxfId="15" priority="18">
      <formula>(I17&gt;H17)</formula>
    </cfRule>
  </conditionalFormatting>
  <conditionalFormatting sqref="J21">
    <cfRule type="expression" dxfId="14" priority="17">
      <formula>(J21&gt;I21)</formula>
    </cfRule>
  </conditionalFormatting>
  <conditionalFormatting sqref="I21">
    <cfRule type="expression" dxfId="13" priority="15">
      <formula>(I21&gt;H21)</formula>
    </cfRule>
  </conditionalFormatting>
  <conditionalFormatting sqref="K29">
    <cfRule type="expression" dxfId="12" priority="13">
      <formula>(K29&gt;J29)</formula>
    </cfRule>
  </conditionalFormatting>
  <conditionalFormatting sqref="J29">
    <cfRule type="expression" dxfId="11" priority="11">
      <formula>(J29&gt;I29)</formula>
    </cfRule>
  </conditionalFormatting>
  <conditionalFormatting sqref="K33">
    <cfRule type="expression" dxfId="10" priority="10">
      <formula>(K33&gt;J33)</formula>
    </cfRule>
  </conditionalFormatting>
  <conditionalFormatting sqref="J33">
    <cfRule type="expression" dxfId="9" priority="9">
      <formula>(J33&gt;I33)</formula>
    </cfRule>
  </conditionalFormatting>
  <conditionalFormatting sqref="K37">
    <cfRule type="expression" dxfId="8" priority="8">
      <formula>(K37&gt;J37)</formula>
    </cfRule>
  </conditionalFormatting>
  <conditionalFormatting sqref="L32:M42">
    <cfRule type="expression" dxfId="7" priority="7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L11:L14">
    <cfRule type="expression" dxfId="6" priority="6" stopIfTrue="1">
      <formula>$H$14&lt;$H$8</formula>
    </cfRule>
  </conditionalFormatting>
  <conditionalFormatting sqref="L15:L18">
    <cfRule type="expression" dxfId="5" priority="5" stopIfTrue="1">
      <formula>$I$18&lt;$H$8</formula>
    </cfRule>
  </conditionalFormatting>
  <conditionalFormatting sqref="L19:L22">
    <cfRule type="expression" dxfId="4" priority="4" stopIfTrue="1">
      <formula>$J$22&lt;$H$8</formula>
    </cfRule>
  </conditionalFormatting>
  <conditionalFormatting sqref="L23:L26">
    <cfRule type="expression" dxfId="3" priority="3" stopIfTrue="1">
      <formula>$K$26&lt;$H$8</formula>
    </cfRule>
  </conditionalFormatting>
  <conditionalFormatting sqref="I24:K24">
    <cfRule type="expression" dxfId="2" priority="2">
      <formula>(I24&lt;H24)</formula>
    </cfRule>
  </conditionalFormatting>
  <conditionalFormatting sqref="I25:K25">
    <cfRule type="expression" dxfId="1" priority="1">
      <formula>(I25&gt;H25)</formula>
    </cfRule>
  </conditionalFormatting>
  <dataValidations count="2">
    <dataValidation type="textLength" allowBlank="1" showInputMessage="1" showErrorMessage="1" sqref="M31 L31:L32 L27:M30 M10:M26 L10 N10:N42">
      <formula1>0</formula1>
      <formula2>500</formula2>
    </dataValidation>
    <dataValidation type="decimal" allowBlank="1" showInputMessage="1" showErrorMessage="1" sqref="G19:I19 H15:K16 J35:J37 J39:J42 H21:I21 G15 D12:H13 G39:H42 J18:K19 G28:I29 I31:I32 J12:K13 G25:K25">
      <formula1>0</formula1>
      <formula2>999999999999999</formula2>
    </dataValidation>
  </dataValidations>
  <printOptions horizontalCentered="1" verticalCentered="1"/>
  <pageMargins left="0.21" right="0.23" top="0.3" bottom="0.36" header="0.2" footer="0.17"/>
  <pageSetup scale="57" orientation="landscape" horizontalDpi="4294967293" r:id="rId1"/>
  <headerFooter alignWithMargins="0">
    <oddFooter>&amp;L&amp;F</oddFooter>
  </headerFooter>
  <ignoredErrors>
    <ignoredError sqref="D14:G15 D22:G23 D21:E21 D18:G19 D16 D17 D20:E20 D26:G26 D24:F24 D25:F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'Circuit Criminal'!$N$11:$N$12</xm:f>
          </x14:formula1>
          <xm:sqref>L11:L26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  <pageSetUpPr fitToPage="1"/>
  </sheetPr>
  <dimension ref="A1:O310"/>
  <sheetViews>
    <sheetView showGridLines="0" topLeftCell="B1" zoomScale="75" workbookViewId="0">
      <selection activeCell="E20" sqref="E20"/>
    </sheetView>
  </sheetViews>
  <sheetFormatPr defaultColWidth="9.109375" defaultRowHeight="13.8" x14ac:dyDescent="0.25"/>
  <cols>
    <col min="1" max="1" width="8.5546875" style="1" hidden="1" customWidth="1"/>
    <col min="2" max="2" width="9.5546875" style="1" customWidth="1"/>
    <col min="3" max="3" width="29.88671875" style="1" customWidth="1"/>
    <col min="4" max="10" width="18.6640625" style="1" customWidth="1"/>
    <col min="11" max="11" width="39" style="1" customWidth="1"/>
    <col min="12" max="12" width="4.5546875" style="1" hidden="1" customWidth="1"/>
    <col min="13" max="13" width="39.6640625" style="1" hidden="1" customWidth="1"/>
    <col min="14" max="14" width="37.44140625" style="1" hidden="1" customWidth="1"/>
    <col min="15" max="15" width="23.88671875" style="1" hidden="1" customWidth="1"/>
    <col min="16" max="16384" width="9.109375" style="1"/>
  </cols>
  <sheetData>
    <row r="1" spans="1:15" ht="20.25" customHeight="1" x14ac:dyDescent="0.25"/>
    <row r="2" spans="1:15" ht="22.8" x14ac:dyDescent="0.4">
      <c r="K2" s="2" t="s">
        <v>127</v>
      </c>
    </row>
    <row r="3" spans="1:15" ht="22.8" x14ac:dyDescent="0.4">
      <c r="K3" s="2" t="s">
        <v>16</v>
      </c>
    </row>
    <row r="4" spans="1:15" ht="25.5" customHeight="1" x14ac:dyDescent="0.25">
      <c r="A4" s="3"/>
      <c r="C4" s="4" t="s">
        <v>28</v>
      </c>
      <c r="D4" s="39" t="str">
        <f>Family!D4</f>
        <v>March 2016</v>
      </c>
      <c r="H4" s="312" t="s">
        <v>135</v>
      </c>
      <c r="I4" s="312"/>
      <c r="J4" s="312"/>
      <c r="K4" s="312"/>
    </row>
    <row r="5" spans="1:15" ht="18" customHeight="1" x14ac:dyDescent="0.25">
      <c r="A5" s="3"/>
      <c r="C5" s="4" t="s">
        <v>10</v>
      </c>
      <c r="D5" s="37">
        <f>Family!D5</f>
        <v>1</v>
      </c>
    </row>
    <row r="6" spans="1:15" ht="20.25" customHeight="1" x14ac:dyDescent="0.25">
      <c r="A6" s="3"/>
      <c r="C6" s="6" t="s">
        <v>9</v>
      </c>
      <c r="D6" s="300" t="str">
        <f>'Circuit Criminal'!D6:E6</f>
        <v>Brevard</v>
      </c>
      <c r="E6" s="300"/>
      <c r="F6"/>
      <c r="G6"/>
      <c r="H6"/>
      <c r="I6"/>
      <c r="J6"/>
      <c r="K6"/>
    </row>
    <row r="7" spans="1:15" ht="20.25" customHeight="1" x14ac:dyDescent="0.25">
      <c r="A7" s="3"/>
      <c r="C7" s="6"/>
      <c r="D7" s="45"/>
      <c r="E7" s="45"/>
      <c r="F7"/>
      <c r="G7"/>
      <c r="H7"/>
      <c r="I7"/>
      <c r="J7"/>
      <c r="K7"/>
    </row>
    <row r="8" spans="1:15" ht="20.25" hidden="1" customHeight="1" x14ac:dyDescent="0.25">
      <c r="A8" s="3" t="s">
        <v>143</v>
      </c>
      <c r="B8" s="1" t="s">
        <v>144</v>
      </c>
      <c r="C8" s="1" t="s">
        <v>145</v>
      </c>
      <c r="D8" s="1" t="s">
        <v>146</v>
      </c>
      <c r="E8" s="1" t="s">
        <v>147</v>
      </c>
      <c r="F8" s="1" t="s">
        <v>148</v>
      </c>
      <c r="G8" s="1" t="s">
        <v>149</v>
      </c>
      <c r="H8" s="1" t="s">
        <v>150</v>
      </c>
      <c r="I8" s="1" t="s">
        <v>151</v>
      </c>
    </row>
    <row r="9" spans="1:15" ht="15" hidden="1" customHeight="1" x14ac:dyDescent="0.25">
      <c r="A9" s="1">
        <f>MAX(Family!B56:B99)</f>
        <v>16</v>
      </c>
      <c r="B9" s="1">
        <f>'County Criminal'!B56</f>
        <v>0</v>
      </c>
      <c r="C9" s="1">
        <f>'Juvenile Delinquency'!B56</f>
        <v>1</v>
      </c>
      <c r="D9" s="1">
        <f>'Criminal Traffic'!B56</f>
        <v>2</v>
      </c>
      <c r="F9" s="1">
        <f>'County Civil'!B56</f>
        <v>6</v>
      </c>
      <c r="G9" s="1">
        <f>'Civil Traffic'!B56</f>
        <v>7</v>
      </c>
      <c r="H9" s="1">
        <f>Probate!B61</f>
        <v>9</v>
      </c>
      <c r="I9" s="1">
        <f>Family!B56</f>
        <v>16</v>
      </c>
    </row>
    <row r="10" spans="1:15" ht="31.2" x14ac:dyDescent="0.25">
      <c r="B10" s="50" t="s">
        <v>136</v>
      </c>
      <c r="C10" s="50" t="s">
        <v>137</v>
      </c>
      <c r="D10" s="50" t="s">
        <v>138</v>
      </c>
      <c r="E10" s="50" t="s">
        <v>128</v>
      </c>
      <c r="F10" s="313" t="s">
        <v>140</v>
      </c>
      <c r="G10" s="313"/>
      <c r="H10" s="313" t="s">
        <v>141</v>
      </c>
      <c r="I10" s="313"/>
      <c r="J10" s="51" t="s">
        <v>142</v>
      </c>
      <c r="K10" s="51" t="s">
        <v>165</v>
      </c>
      <c r="L10" s="1">
        <v>0</v>
      </c>
      <c r="M10" s="1" t="s">
        <v>155</v>
      </c>
      <c r="N10" s="1" t="s">
        <v>156</v>
      </c>
      <c r="O10" s="1" t="s">
        <v>157</v>
      </c>
    </row>
    <row r="11" spans="1:15" s="47" customFormat="1" ht="130.5" customHeight="1" x14ac:dyDescent="0.25">
      <c r="A11" s="47">
        <v>1</v>
      </c>
      <c r="B11" s="47">
        <f>IF(A$9=0,"No items for this report",IF(A11&lt;=A$9,A11,""))</f>
        <v>1</v>
      </c>
      <c r="C11" s="48" t="str">
        <f>IF($B11&lt;&gt;"",VLOOKUP($B11,CATLookup!$A$2:$E$271,2,FALSE),"")</f>
        <v>County Criminal</v>
      </c>
      <c r="D11" s="48" t="str">
        <f>IF($B11&lt;&gt;"",VLOOKUP($B11,CATLookup!$A$2:$E$271,3,FALSE),"")</f>
        <v>CGE CQ1-16</v>
      </c>
      <c r="E11" s="48" t="str">
        <f>IF($B11&lt;&gt;"",VLOOKUP($B11,CATLookup!$A$2:$E$271,4,FALSE),"")</f>
        <v>The 5th Quarter Collection Rate did not meet the established performance measure standard of: 40%</v>
      </c>
      <c r="F11" s="311"/>
      <c r="G11" s="311"/>
      <c r="H11" s="311"/>
      <c r="I11" s="311"/>
      <c r="J11" s="48"/>
      <c r="K11" s="48"/>
      <c r="L11" s="47">
        <f>IF(B11&lt;&gt;"",L10+1,1)</f>
        <v>1</v>
      </c>
      <c r="M11" s="47" t="s">
        <v>158</v>
      </c>
      <c r="O11" s="42" t="s">
        <v>171</v>
      </c>
    </row>
    <row r="12" spans="1:15" s="47" customFormat="1" ht="130.5" customHeight="1" x14ac:dyDescent="0.25">
      <c r="A12" s="47">
        <v>2</v>
      </c>
      <c r="B12" s="47">
        <f t="shared" ref="B12:B75" si="0">IF(A$9=0,"No items for this report",IF(A12&lt;=A$9,A12,""))</f>
        <v>2</v>
      </c>
      <c r="C12" s="48" t="str">
        <f>IF($B12&lt;&gt;"",VLOOKUP($B12,CATLookup!$A$2:$E$271,2,FALSE),"")</f>
        <v>Circuit Civil</v>
      </c>
      <c r="D12" s="48" t="str">
        <f>IF($B12&lt;&gt;"",VLOOKUP($B12,CATLookup!$A$2:$E$271,3,FALSE),"")</f>
        <v>CGE CQ1-16</v>
      </c>
      <c r="E12" s="48" t="str">
        <f>IF($B12&lt;&gt;"",VLOOKUP($B12,CATLookup!$A$2:$E$271,4,FALSE),"")</f>
        <v>Collections amount decreased from prior quarter</v>
      </c>
      <c r="F12" s="311"/>
      <c r="G12" s="311"/>
      <c r="H12" s="311"/>
      <c r="I12" s="311"/>
      <c r="J12" s="48"/>
      <c r="L12" s="47">
        <f t="shared" ref="L12:L75" si="1">IF(B12&lt;&gt;"",L11+1,1)</f>
        <v>2</v>
      </c>
      <c r="M12" s="47" t="s">
        <v>159</v>
      </c>
      <c r="O12" s="47" t="s">
        <v>168</v>
      </c>
    </row>
    <row r="13" spans="1:15" s="47" customFormat="1" ht="130.5" customHeight="1" x14ac:dyDescent="0.25">
      <c r="A13" s="47">
        <v>3</v>
      </c>
      <c r="B13" s="47">
        <f t="shared" si="0"/>
        <v>3</v>
      </c>
      <c r="C13" s="48" t="str">
        <f>IF($B13&lt;&gt;"",VLOOKUP($B13,CATLookup!$A$2:$E$271,2,FALSE),"")</f>
        <v>Civil Traffic</v>
      </c>
      <c r="D13" s="48" t="str">
        <f>IF($B13&lt;&gt;"",VLOOKUP($B13,CATLookup!$A$2:$E$271,3,FALSE),"")</f>
        <v>CGE CQ1-16</v>
      </c>
      <c r="E13" s="48" t="str">
        <f>IF($B13&lt;&gt;"",VLOOKUP($B13,CATLookup!$A$2:$E$271,4,FALSE),"")</f>
        <v>The 5th Quarter Collection Rate did not meet the established performance measure standard of: 90%</v>
      </c>
      <c r="F13" s="311"/>
      <c r="G13" s="311"/>
      <c r="H13" s="311"/>
      <c r="I13" s="311"/>
      <c r="J13" s="48"/>
      <c r="L13" s="47">
        <f t="shared" si="1"/>
        <v>3</v>
      </c>
      <c r="M13" s="47" t="s">
        <v>160</v>
      </c>
      <c r="O13" s="47" t="s">
        <v>172</v>
      </c>
    </row>
    <row r="14" spans="1:15" s="47" customFormat="1" ht="130.5" customHeight="1" x14ac:dyDescent="0.25">
      <c r="A14" s="47">
        <v>4</v>
      </c>
      <c r="B14" s="47">
        <f t="shared" si="0"/>
        <v>4</v>
      </c>
      <c r="C14" s="48" t="str">
        <f>IF($B14&lt;&gt;"",VLOOKUP($B14,CATLookup!$A$2:$E$271,2,FALSE),"")</f>
        <v>Probate</v>
      </c>
      <c r="D14" s="48" t="str">
        <f>IF($B14&lt;&gt;"",VLOOKUP($B14,CATLookup!$A$2:$E$271,3,FALSE),"")</f>
        <v>CGE CQ1-16</v>
      </c>
      <c r="E14" s="48" t="str">
        <f>IF($B14&lt;&gt;"",VLOOKUP($B14,CATLookup!$A$2:$E$271,4,FALSE),"")</f>
        <v>Collections amount decreased from prior quarter</v>
      </c>
      <c r="F14" s="311"/>
      <c r="G14" s="311"/>
      <c r="H14" s="311"/>
      <c r="I14" s="311"/>
      <c r="J14" s="48"/>
      <c r="L14" s="47">
        <f t="shared" si="1"/>
        <v>4</v>
      </c>
      <c r="M14" s="47" t="s">
        <v>161</v>
      </c>
      <c r="O14" s="47" t="s">
        <v>167</v>
      </c>
    </row>
    <row r="15" spans="1:15" s="47" customFormat="1" ht="130.5" customHeight="1" x14ac:dyDescent="0.25">
      <c r="A15" s="47">
        <v>5</v>
      </c>
      <c r="B15" s="47">
        <f t="shared" si="0"/>
        <v>5</v>
      </c>
      <c r="C15" s="48" t="str">
        <f>IF($B15&lt;&gt;"",VLOOKUP($B15,CATLookup!$A$2:$E$271,2,FALSE),"")</f>
        <v>Juvenile Delinquency</v>
      </c>
      <c r="D15" s="48" t="str">
        <f>IF($B15&lt;&gt;"",VLOOKUP($B15,CATLookup!$A$2:$E$271,3,FALSE),"")</f>
        <v>CGE CQ2-16</v>
      </c>
      <c r="E15" s="48" t="str">
        <f>IF($B15&lt;&gt;"",VLOOKUP($B15,CATLookup!$A$2:$E$271,4,FALSE),"")</f>
        <v>The 5th Quarter Collection Rate did not meet the established performance measure standard of: 9%</v>
      </c>
      <c r="F15" s="311"/>
      <c r="G15" s="311"/>
      <c r="H15" s="311"/>
      <c r="I15" s="311"/>
      <c r="J15" s="48"/>
      <c r="L15" s="47">
        <f t="shared" si="1"/>
        <v>5</v>
      </c>
      <c r="M15" s="47" t="s">
        <v>162</v>
      </c>
      <c r="O15" s="47" t="s">
        <v>173</v>
      </c>
    </row>
    <row r="16" spans="1:15" s="47" customFormat="1" ht="130.5" customHeight="1" x14ac:dyDescent="0.25">
      <c r="A16" s="47">
        <v>6</v>
      </c>
      <c r="B16" s="47">
        <f t="shared" si="0"/>
        <v>6</v>
      </c>
      <c r="C16" s="48" t="str">
        <f>IF($B16&lt;&gt;"",VLOOKUP($B16,CATLookup!$A$2:$E$271,2,FALSE),"")</f>
        <v>Circuit Civil</v>
      </c>
      <c r="D16" s="48" t="str">
        <f>IF($B16&lt;&gt;"",VLOOKUP($B16,CATLookup!$A$2:$E$271,3,FALSE),"")</f>
        <v>CGE CQ2-16</v>
      </c>
      <c r="E16" s="48" t="str">
        <f>IF($B16&lt;&gt;"",VLOOKUP($B16,CATLookup!$A$2:$E$271,4,FALSE),"")</f>
        <v>Collections amount decreased from prior quarter</v>
      </c>
      <c r="F16" s="311"/>
      <c r="G16" s="311"/>
      <c r="H16" s="311"/>
      <c r="I16" s="311"/>
      <c r="J16" s="48"/>
      <c r="L16" s="47">
        <f t="shared" si="1"/>
        <v>6</v>
      </c>
      <c r="M16" s="47" t="s">
        <v>163</v>
      </c>
      <c r="O16" s="47" t="s">
        <v>169</v>
      </c>
    </row>
    <row r="17" spans="1:15" s="47" customFormat="1" ht="130.5" customHeight="1" x14ac:dyDescent="0.25">
      <c r="A17" s="47">
        <v>7</v>
      </c>
      <c r="B17" s="47">
        <f t="shared" si="0"/>
        <v>7</v>
      </c>
      <c r="C17" s="48" t="str">
        <f>IF($B17&lt;&gt;"",VLOOKUP($B17,CATLookup!$A$2:$E$271,2,FALSE),"")</f>
        <v>County Civil</v>
      </c>
      <c r="D17" s="48" t="str">
        <f>IF($B17&lt;&gt;"",VLOOKUP($B17,CATLookup!$A$2:$E$271,3,FALSE),"")</f>
        <v>CGE CQ2-16</v>
      </c>
      <c r="E17" s="48" t="str">
        <f>IF($B17&lt;&gt;"",VLOOKUP($B17,CATLookup!$A$2:$E$271,4,FALSE),"")</f>
        <v>Collections amount decreased from prior quarter</v>
      </c>
      <c r="F17" s="311"/>
      <c r="G17" s="311"/>
      <c r="H17" s="311"/>
      <c r="I17" s="311"/>
      <c r="J17" s="48"/>
      <c r="L17" s="47">
        <f t="shared" si="1"/>
        <v>7</v>
      </c>
      <c r="M17" s="47" t="s">
        <v>164</v>
      </c>
      <c r="O17" s="47" t="s">
        <v>174</v>
      </c>
    </row>
    <row r="18" spans="1:15" s="47" customFormat="1" ht="130.5" customHeight="1" x14ac:dyDescent="0.25">
      <c r="A18" s="47">
        <v>8</v>
      </c>
      <c r="B18" s="47">
        <f t="shared" si="0"/>
        <v>8</v>
      </c>
      <c r="C18" s="48" t="str">
        <f>IF($B18&lt;&gt;"",VLOOKUP($B18,CATLookup!$A$2:$E$271,2,FALSE),"")</f>
        <v>Civil Traffic</v>
      </c>
      <c r="D18" s="48" t="str">
        <f>IF($B18&lt;&gt;"",VLOOKUP($B18,CATLookup!$A$2:$E$271,3,FALSE),"")</f>
        <v>CGE CQ2-16</v>
      </c>
      <c r="E18" s="48" t="str">
        <f>IF($B18&lt;&gt;"",VLOOKUP($B18,CATLookup!$A$2:$E$271,4,FALSE),"")</f>
        <v>The 5th Quarter Collection Rate did not meet the established performance measure standard of: 90%</v>
      </c>
      <c r="F18" s="311"/>
      <c r="G18" s="311"/>
      <c r="H18" s="311"/>
      <c r="I18" s="311"/>
      <c r="J18" s="48"/>
      <c r="L18" s="47">
        <f t="shared" si="1"/>
        <v>8</v>
      </c>
      <c r="M18" s="47" t="s">
        <v>166</v>
      </c>
      <c r="O18" s="47" t="s">
        <v>170</v>
      </c>
    </row>
    <row r="19" spans="1:15" s="47" customFormat="1" ht="130.5" customHeight="1" x14ac:dyDescent="0.25">
      <c r="A19" s="47">
        <v>9</v>
      </c>
      <c r="B19" s="47">
        <f t="shared" si="0"/>
        <v>9</v>
      </c>
      <c r="C19" s="48" t="str">
        <f>IF($B19&lt;&gt;"",VLOOKUP($B19,CATLookup!$A$2:$E$271,2,FALSE),"")</f>
        <v>Probate</v>
      </c>
      <c r="D19" s="48" t="str">
        <f>IF($B19&lt;&gt;"",VLOOKUP($B19,CATLookup!$A$2:$E$271,3,FALSE),"")</f>
        <v>CGE CQ2-16</v>
      </c>
      <c r="E19" s="48" t="str">
        <f>IF($B19&lt;&gt;"",VLOOKUP($B19,CATLookup!$A$2:$E$271,4,FALSE),"")</f>
        <v>Collections amount decreased from prior quarter</v>
      </c>
      <c r="F19" s="311"/>
      <c r="G19" s="311"/>
      <c r="H19" s="311"/>
      <c r="I19" s="311"/>
      <c r="J19" s="48"/>
      <c r="L19" s="47">
        <f t="shared" si="1"/>
        <v>9</v>
      </c>
      <c r="M19" s="47" t="s">
        <v>184</v>
      </c>
      <c r="O19" s="47" t="s">
        <v>175</v>
      </c>
    </row>
    <row r="20" spans="1:15" s="47" customFormat="1" ht="130.5" customHeight="1" x14ac:dyDescent="0.25">
      <c r="A20" s="47">
        <v>10</v>
      </c>
      <c r="B20" s="47">
        <f t="shared" si="0"/>
        <v>10</v>
      </c>
      <c r="C20" s="48" t="str">
        <f>IF($B20&lt;&gt;"",VLOOKUP($B20,CATLookup!$A$2:$E$271,2,FALSE),"")</f>
        <v>Circuit Civil</v>
      </c>
      <c r="D20" s="48" t="str">
        <f>IF($B20&lt;&gt;"",VLOOKUP($B20,CATLookup!$A$2:$E$271,3,FALSE),"")</f>
        <v>CGE CQ3-16</v>
      </c>
      <c r="E20" s="48" t="str">
        <f>IF($B20&lt;&gt;"",VLOOKUP($B20,CATLookup!$A$2:$E$271,4,FALSE),"")</f>
        <v>Collections amount decreased from prior quarter</v>
      </c>
      <c r="F20" s="311"/>
      <c r="G20" s="311"/>
      <c r="H20" s="311"/>
      <c r="I20" s="311"/>
      <c r="J20" s="48"/>
      <c r="L20" s="47">
        <f t="shared" si="1"/>
        <v>10</v>
      </c>
      <c r="O20" s="47" t="s">
        <v>176</v>
      </c>
    </row>
    <row r="21" spans="1:15" s="47" customFormat="1" ht="130.5" customHeight="1" x14ac:dyDescent="0.25">
      <c r="A21" s="47">
        <v>11</v>
      </c>
      <c r="B21" s="47">
        <f t="shared" si="0"/>
        <v>11</v>
      </c>
      <c r="C21" s="48" t="str">
        <f>IF($B21&lt;&gt;"",VLOOKUP($B21,CATLookup!$A$2:$E$271,2,FALSE),"")</f>
        <v>Probate</v>
      </c>
      <c r="D21" s="48" t="str">
        <f>IF($B21&lt;&gt;"",VLOOKUP($B21,CATLookup!$A$2:$E$271,3,FALSE),"")</f>
        <v>CGE CQ3-16</v>
      </c>
      <c r="E21" s="48" t="str">
        <f>IF($B21&lt;&gt;"",VLOOKUP($B21,CATLookup!$A$2:$E$271,4,FALSE),"")</f>
        <v>Collections amount decreased from prior quarter</v>
      </c>
      <c r="F21" s="311"/>
      <c r="G21" s="311"/>
      <c r="H21" s="311"/>
      <c r="I21" s="311"/>
      <c r="J21" s="48"/>
      <c r="L21" s="47">
        <f t="shared" si="1"/>
        <v>11</v>
      </c>
      <c r="O21" s="47" t="s">
        <v>177</v>
      </c>
    </row>
    <row r="22" spans="1:15" s="47" customFormat="1" ht="130.5" customHeight="1" x14ac:dyDescent="0.25">
      <c r="A22" s="47">
        <v>12</v>
      </c>
      <c r="B22" s="47">
        <f t="shared" si="0"/>
        <v>12</v>
      </c>
      <c r="C22" s="48" t="str">
        <f>IF($B22&lt;&gt;"",VLOOKUP($B22,CATLookup!$A$2:$E$271,2,FALSE),"")</f>
        <v>Circuit Civil</v>
      </c>
      <c r="D22" s="48" t="str">
        <f>IF($B22&lt;&gt;"",VLOOKUP($B22,CATLookup!$A$2:$E$271,3,FALSE),"")</f>
        <v>CGE CQ4-16</v>
      </c>
      <c r="E22" s="48" t="str">
        <f>IF($B22&lt;&gt;"",VLOOKUP($B22,CATLookup!$A$2:$E$271,4,FALSE),"")</f>
        <v>Collections amount decreased from prior quarter</v>
      </c>
      <c r="F22" s="311"/>
      <c r="G22" s="311"/>
      <c r="H22" s="311"/>
      <c r="I22" s="311"/>
      <c r="J22" s="48"/>
      <c r="L22" s="47">
        <f t="shared" si="1"/>
        <v>12</v>
      </c>
      <c r="O22" s="47" t="s">
        <v>178</v>
      </c>
    </row>
    <row r="23" spans="1:15" s="47" customFormat="1" ht="130.5" customHeight="1" x14ac:dyDescent="0.25">
      <c r="A23" s="47">
        <v>13</v>
      </c>
      <c r="B23" s="47">
        <f t="shared" si="0"/>
        <v>13</v>
      </c>
      <c r="C23" s="48" t="str">
        <f>IF($B23&lt;&gt;"",VLOOKUP($B23,CATLookup!$A$2:$E$271,2,FALSE),"")</f>
        <v>Probate</v>
      </c>
      <c r="D23" s="48" t="str">
        <f>IF($B23&lt;&gt;"",VLOOKUP($B23,CATLookup!$A$2:$E$271,3,FALSE),"")</f>
        <v>CGE CQ4-16</v>
      </c>
      <c r="E23" s="48" t="str">
        <f>IF($B23&lt;&gt;"",VLOOKUP($B23,CATLookup!$A$2:$E$271,4,FALSE),"")</f>
        <v>Assessment amount increased from prior quarter</v>
      </c>
      <c r="F23" s="311"/>
      <c r="G23" s="311"/>
      <c r="H23" s="311"/>
      <c r="I23" s="311"/>
      <c r="J23" s="48"/>
      <c r="L23" s="47">
        <f t="shared" si="1"/>
        <v>13</v>
      </c>
      <c r="O23" s="47" t="s">
        <v>179</v>
      </c>
    </row>
    <row r="24" spans="1:15" s="47" customFormat="1" ht="130.5" customHeight="1" x14ac:dyDescent="0.25">
      <c r="A24" s="47">
        <v>14</v>
      </c>
      <c r="B24" s="47">
        <f t="shared" si="0"/>
        <v>14</v>
      </c>
      <c r="C24" s="48" t="str">
        <f>IF($B24&lt;&gt;"",VLOOKUP($B24,CATLookup!$A$2:$E$271,2,FALSE),"")</f>
        <v>Probate</v>
      </c>
      <c r="D24" s="48" t="str">
        <f>IF($B24&lt;&gt;"",VLOOKUP($B24,CATLookup!$A$2:$E$271,3,FALSE),"")</f>
        <v>CGE CQ1-17</v>
      </c>
      <c r="E24" s="48" t="str">
        <f>IF($B24&lt;&gt;"",VLOOKUP($B24,CATLookup!$A$2:$E$271,4,FALSE),"")</f>
        <v>Assessment amount increased from prior quarter</v>
      </c>
      <c r="F24" s="311"/>
      <c r="G24" s="311"/>
      <c r="H24" s="311"/>
      <c r="I24" s="311"/>
      <c r="J24" s="48"/>
      <c r="L24" s="47">
        <f t="shared" si="1"/>
        <v>14</v>
      </c>
      <c r="O24" s="47" t="s">
        <v>180</v>
      </c>
    </row>
    <row r="25" spans="1:15" s="47" customFormat="1" ht="130.5" customHeight="1" x14ac:dyDescent="0.25">
      <c r="A25" s="47">
        <v>15</v>
      </c>
      <c r="B25" s="47">
        <f t="shared" si="0"/>
        <v>15</v>
      </c>
      <c r="C25" s="48" t="str">
        <f>IF($B25&lt;&gt;"",VLOOKUP($B25,CATLookup!$A$2:$E$271,2,FALSE),"")</f>
        <v>Probate</v>
      </c>
      <c r="D25" s="48" t="str">
        <f>IF($B25&lt;&gt;"",VLOOKUP($B25,CATLookup!$A$2:$E$271,3,FALSE),"")</f>
        <v>CGE CQ2-17</v>
      </c>
      <c r="E25" s="48" t="str">
        <f>IF($B25&lt;&gt;"",VLOOKUP($B25,CATLookup!$A$2:$E$271,4,FALSE),"")</f>
        <v>Assessments dropped by more than set percentage of: 15%</v>
      </c>
      <c r="F25" s="311"/>
      <c r="G25" s="311"/>
      <c r="H25" s="311"/>
      <c r="I25" s="311"/>
      <c r="J25" s="48"/>
      <c r="L25" s="47">
        <f t="shared" si="1"/>
        <v>15</v>
      </c>
      <c r="O25" s="47" t="s">
        <v>181</v>
      </c>
    </row>
    <row r="26" spans="1:15" s="47" customFormat="1" ht="130.5" customHeight="1" x14ac:dyDescent="0.25">
      <c r="A26" s="47">
        <v>16</v>
      </c>
      <c r="B26" s="47">
        <f t="shared" si="0"/>
        <v>16</v>
      </c>
      <c r="C26" s="48" t="str">
        <f>IF($B26&lt;&gt;"",VLOOKUP($B26,CATLookup!$A$2:$E$271,2,FALSE),"")</f>
        <v>Probate</v>
      </c>
      <c r="D26" s="48" t="str">
        <f>IF($B26&lt;&gt;"",VLOOKUP($B26,CATLookup!$A$2:$E$271,3,FALSE),"")</f>
        <v>CGE CQ2-17</v>
      </c>
      <c r="E26" s="48" t="str">
        <f>IF($B26&lt;&gt;"",VLOOKUP($B26,CATLookup!$A$2:$E$271,4,FALSE),"")</f>
        <v>Collections amount decreased from prior quarter</v>
      </c>
      <c r="F26" s="311"/>
      <c r="G26" s="311"/>
      <c r="H26" s="311"/>
      <c r="I26" s="311"/>
      <c r="J26" s="48"/>
      <c r="L26" s="47">
        <f t="shared" si="1"/>
        <v>16</v>
      </c>
    </row>
    <row r="27" spans="1:15" s="47" customFormat="1" ht="130.5" customHeight="1" x14ac:dyDescent="0.25">
      <c r="A27" s="47">
        <v>17</v>
      </c>
      <c r="B27" s="47" t="str">
        <f t="shared" si="0"/>
        <v/>
      </c>
      <c r="C27" s="48" t="str">
        <f>IF($B27&lt;&gt;"",VLOOKUP($B27,CATLookup!$A$2:$E$271,2,FALSE),"")</f>
        <v/>
      </c>
      <c r="D27" s="48" t="str">
        <f>IF($B27&lt;&gt;"",VLOOKUP($B27,CATLookup!$A$2:$E$271,3,FALSE),"")</f>
        <v/>
      </c>
      <c r="E27" s="48" t="str">
        <f>IF($B27&lt;&gt;"",VLOOKUP($B27,CATLookup!$A$2:$E$271,4,FALSE),"")</f>
        <v/>
      </c>
      <c r="F27" s="311"/>
      <c r="G27" s="311"/>
      <c r="H27" s="311"/>
      <c r="I27" s="311"/>
      <c r="J27" s="48"/>
      <c r="L27" s="47">
        <f t="shared" si="1"/>
        <v>1</v>
      </c>
    </row>
    <row r="28" spans="1:15" s="47" customFormat="1" ht="130.5" customHeight="1" x14ac:dyDescent="0.25">
      <c r="A28" s="47">
        <v>18</v>
      </c>
      <c r="B28" s="47" t="str">
        <f t="shared" si="0"/>
        <v/>
      </c>
      <c r="C28" s="48" t="str">
        <f>IF($B28&lt;&gt;"",VLOOKUP($B28,CATLookup!$A$2:$E$271,2,FALSE),"")</f>
        <v/>
      </c>
      <c r="D28" s="48" t="str">
        <f>IF($B28&lt;&gt;"",VLOOKUP($B28,CATLookup!$A$2:$E$271,3,FALSE),"")</f>
        <v/>
      </c>
      <c r="E28" s="48" t="str">
        <f>IF($B28&lt;&gt;"",VLOOKUP($B28,CATLookup!$A$2:$E$271,4,FALSE),"")</f>
        <v/>
      </c>
      <c r="F28" s="311"/>
      <c r="G28" s="311"/>
      <c r="H28" s="311"/>
      <c r="I28" s="311"/>
      <c r="J28" s="48"/>
      <c r="L28" s="47">
        <f t="shared" si="1"/>
        <v>1</v>
      </c>
    </row>
    <row r="29" spans="1:15" s="47" customFormat="1" ht="130.5" customHeight="1" x14ac:dyDescent="0.25">
      <c r="A29" s="47">
        <v>19</v>
      </c>
      <c r="B29" s="47" t="str">
        <f t="shared" si="0"/>
        <v/>
      </c>
      <c r="C29" s="48" t="str">
        <f>IF($B29&lt;&gt;"",VLOOKUP($B29,CATLookup!$A$2:$E$271,2,FALSE),"")</f>
        <v/>
      </c>
      <c r="D29" s="48" t="str">
        <f>IF($B29&lt;&gt;"",VLOOKUP($B29,CATLookup!$A$2:$E$271,3,FALSE),"")</f>
        <v/>
      </c>
      <c r="E29" s="48" t="str">
        <f>IF($B29&lt;&gt;"",VLOOKUP($B29,CATLookup!$A$2:$E$271,4,FALSE),"")</f>
        <v/>
      </c>
      <c r="F29" s="311"/>
      <c r="G29" s="311"/>
      <c r="H29" s="311"/>
      <c r="I29" s="311"/>
      <c r="J29" s="48"/>
      <c r="L29" s="47">
        <f t="shared" si="1"/>
        <v>1</v>
      </c>
    </row>
    <row r="30" spans="1:15" s="47" customFormat="1" ht="130.5" customHeight="1" x14ac:dyDescent="0.25">
      <c r="A30" s="47">
        <v>20</v>
      </c>
      <c r="B30" s="47" t="str">
        <f t="shared" si="0"/>
        <v/>
      </c>
      <c r="C30" s="48" t="str">
        <f>IF($B30&lt;&gt;"",VLOOKUP($B30,CATLookup!$A$2:$E$271,2,FALSE),"")</f>
        <v/>
      </c>
      <c r="D30" s="48" t="str">
        <f>IF($B30&lt;&gt;"",VLOOKUP($B30,CATLookup!$A$2:$E$271,3,FALSE),"")</f>
        <v/>
      </c>
      <c r="E30" s="48" t="str">
        <f>IF($B30&lt;&gt;"",VLOOKUP($B30,CATLookup!$A$2:$E$271,4,FALSE),"")</f>
        <v/>
      </c>
      <c r="F30" s="311"/>
      <c r="G30" s="311"/>
      <c r="H30" s="311"/>
      <c r="I30" s="311"/>
      <c r="J30" s="48"/>
      <c r="L30" s="47">
        <f t="shared" si="1"/>
        <v>1</v>
      </c>
    </row>
    <row r="31" spans="1:15" s="47" customFormat="1" ht="130.5" customHeight="1" x14ac:dyDescent="0.25">
      <c r="A31" s="47">
        <v>21</v>
      </c>
      <c r="B31" s="47" t="str">
        <f t="shared" si="0"/>
        <v/>
      </c>
      <c r="C31" s="48" t="str">
        <f>IF($B31&lt;&gt;"",VLOOKUP($B31,CATLookup!$A$2:$E$271,2,FALSE),"")</f>
        <v/>
      </c>
      <c r="D31" s="48" t="str">
        <f>IF($B31&lt;&gt;"",VLOOKUP($B31,CATLookup!$A$2:$E$271,3,FALSE),"")</f>
        <v/>
      </c>
      <c r="E31" s="48" t="str">
        <f>IF($B31&lt;&gt;"",VLOOKUP($B31,CATLookup!$A$2:$E$271,4,FALSE),"")</f>
        <v/>
      </c>
      <c r="F31" s="311"/>
      <c r="G31" s="311"/>
      <c r="H31" s="311"/>
      <c r="I31" s="311"/>
      <c r="J31" s="48"/>
      <c r="L31" s="47">
        <f t="shared" si="1"/>
        <v>1</v>
      </c>
    </row>
    <row r="32" spans="1:15" s="47" customFormat="1" ht="130.5" customHeight="1" x14ac:dyDescent="0.25">
      <c r="A32" s="47">
        <v>22</v>
      </c>
      <c r="B32" s="47" t="str">
        <f t="shared" si="0"/>
        <v/>
      </c>
      <c r="C32" s="48" t="str">
        <f>IF($B32&lt;&gt;"",VLOOKUP($B32,CATLookup!$A$2:$E$271,2,FALSE),"")</f>
        <v/>
      </c>
      <c r="D32" s="48" t="str">
        <f>IF($B32&lt;&gt;"",VLOOKUP($B32,CATLookup!$A$2:$E$271,3,FALSE),"")</f>
        <v/>
      </c>
      <c r="E32" s="48" t="str">
        <f>IF($B32&lt;&gt;"",VLOOKUP($B32,CATLookup!$A$2:$E$271,4,FALSE),"")</f>
        <v/>
      </c>
      <c r="F32" s="311"/>
      <c r="G32" s="311"/>
      <c r="H32" s="311"/>
      <c r="I32" s="311"/>
      <c r="J32" s="48"/>
      <c r="L32" s="47">
        <f t="shared" si="1"/>
        <v>1</v>
      </c>
    </row>
    <row r="33" spans="1:12" s="47" customFormat="1" ht="130.5" customHeight="1" x14ac:dyDescent="0.25">
      <c r="A33" s="47">
        <v>23</v>
      </c>
      <c r="B33" s="47" t="str">
        <f t="shared" si="0"/>
        <v/>
      </c>
      <c r="C33" s="48" t="str">
        <f>IF($B33&lt;&gt;"",VLOOKUP($B33,CATLookup!$A$2:$E$271,2,FALSE),"")</f>
        <v/>
      </c>
      <c r="D33" s="48" t="str">
        <f>IF($B33&lt;&gt;"",VLOOKUP($B33,CATLookup!$A$2:$E$271,3,FALSE),"")</f>
        <v/>
      </c>
      <c r="E33" s="48" t="str">
        <f>IF($B33&lt;&gt;"",VLOOKUP($B33,CATLookup!$A$2:$E$271,4,FALSE),"")</f>
        <v/>
      </c>
      <c r="F33" s="311"/>
      <c r="G33" s="311"/>
      <c r="H33" s="311"/>
      <c r="I33" s="311"/>
      <c r="J33" s="48"/>
      <c r="L33" s="47">
        <f t="shared" si="1"/>
        <v>1</v>
      </c>
    </row>
    <row r="34" spans="1:12" s="47" customFormat="1" ht="130.5" customHeight="1" x14ac:dyDescent="0.25">
      <c r="A34" s="47">
        <v>24</v>
      </c>
      <c r="B34" s="47" t="str">
        <f t="shared" si="0"/>
        <v/>
      </c>
      <c r="C34" s="48" t="str">
        <f>IF($B34&lt;&gt;"",VLOOKUP($B34,CATLookup!$A$2:$E$271,2,FALSE),"")</f>
        <v/>
      </c>
      <c r="D34" s="48" t="str">
        <f>IF($B34&lt;&gt;"",VLOOKUP($B34,CATLookup!$A$2:$E$271,3,FALSE),"")</f>
        <v/>
      </c>
      <c r="E34" s="48" t="str">
        <f>IF($B34&lt;&gt;"",VLOOKUP($B34,CATLookup!$A$2:$E$271,4,FALSE),"")</f>
        <v/>
      </c>
      <c r="F34" s="311"/>
      <c r="G34" s="311"/>
      <c r="H34" s="311"/>
      <c r="I34" s="311"/>
      <c r="J34" s="48"/>
      <c r="L34" s="47">
        <f t="shared" si="1"/>
        <v>1</v>
      </c>
    </row>
    <row r="35" spans="1:12" s="47" customFormat="1" ht="130.5" customHeight="1" x14ac:dyDescent="0.25">
      <c r="A35" s="47">
        <v>25</v>
      </c>
      <c r="B35" s="47" t="str">
        <f t="shared" si="0"/>
        <v/>
      </c>
      <c r="C35" s="48" t="str">
        <f>IF($B35&lt;&gt;"",VLOOKUP($B35,CATLookup!$A$2:$E$271,2,FALSE),"")</f>
        <v/>
      </c>
      <c r="D35" s="48" t="str">
        <f>IF($B35&lt;&gt;"",VLOOKUP($B35,CATLookup!$A$2:$E$271,3,FALSE),"")</f>
        <v/>
      </c>
      <c r="E35" s="48" t="str">
        <f>IF($B35&lt;&gt;"",VLOOKUP($B35,CATLookup!$A$2:$E$271,4,FALSE),"")</f>
        <v/>
      </c>
      <c r="F35" s="311"/>
      <c r="G35" s="311"/>
      <c r="H35" s="311"/>
      <c r="I35" s="311"/>
      <c r="J35" s="48"/>
      <c r="L35" s="47">
        <f t="shared" si="1"/>
        <v>1</v>
      </c>
    </row>
    <row r="36" spans="1:12" s="47" customFormat="1" ht="130.5" customHeight="1" x14ac:dyDescent="0.25">
      <c r="A36" s="47">
        <v>26</v>
      </c>
      <c r="B36" s="47" t="str">
        <f t="shared" si="0"/>
        <v/>
      </c>
      <c r="C36" s="48" t="str">
        <f>IF($B36&lt;&gt;"",VLOOKUP($B36,CATLookup!$A$2:$E$271,2,FALSE),"")</f>
        <v/>
      </c>
      <c r="D36" s="48" t="str">
        <f>IF($B36&lt;&gt;"",VLOOKUP($B36,CATLookup!$A$2:$E$271,3,FALSE),"")</f>
        <v/>
      </c>
      <c r="E36" s="48" t="str">
        <f>IF($B36&lt;&gt;"",VLOOKUP($B36,CATLookup!$A$2:$E$271,4,FALSE),"")</f>
        <v/>
      </c>
      <c r="F36" s="311"/>
      <c r="G36" s="311"/>
      <c r="H36" s="311"/>
      <c r="I36" s="311"/>
      <c r="J36" s="48"/>
      <c r="L36" s="47">
        <f t="shared" si="1"/>
        <v>1</v>
      </c>
    </row>
    <row r="37" spans="1:12" s="47" customFormat="1" ht="130.5" customHeight="1" x14ac:dyDescent="0.25">
      <c r="A37" s="47">
        <v>27</v>
      </c>
      <c r="B37" s="47" t="str">
        <f t="shared" si="0"/>
        <v/>
      </c>
      <c r="C37" s="48" t="str">
        <f>IF($B37&lt;&gt;"",VLOOKUP($B37,CATLookup!$A$2:$E$271,2,FALSE),"")</f>
        <v/>
      </c>
      <c r="D37" s="48" t="str">
        <f>IF($B37&lt;&gt;"",VLOOKUP($B37,CATLookup!$A$2:$E$271,3,FALSE),"")</f>
        <v/>
      </c>
      <c r="E37" s="48" t="str">
        <f>IF($B37&lt;&gt;"",VLOOKUP($B37,CATLookup!$A$2:$E$271,4,FALSE),"")</f>
        <v/>
      </c>
      <c r="F37" s="311"/>
      <c r="G37" s="311"/>
      <c r="H37" s="311"/>
      <c r="I37" s="311"/>
      <c r="J37" s="48"/>
      <c r="L37" s="47">
        <f t="shared" si="1"/>
        <v>1</v>
      </c>
    </row>
    <row r="38" spans="1:12" s="47" customFormat="1" ht="130.5" customHeight="1" x14ac:dyDescent="0.25">
      <c r="A38" s="47">
        <v>28</v>
      </c>
      <c r="B38" s="47" t="str">
        <f t="shared" si="0"/>
        <v/>
      </c>
      <c r="C38" s="48" t="str">
        <f>IF($B38&lt;&gt;"",VLOOKUP($B38,CATLookup!$A$2:$E$271,2,FALSE),"")</f>
        <v/>
      </c>
      <c r="D38" s="48" t="str">
        <f>IF($B38&lt;&gt;"",VLOOKUP($B38,CATLookup!$A$2:$E$271,3,FALSE),"")</f>
        <v/>
      </c>
      <c r="E38" s="48" t="str">
        <f>IF($B38&lt;&gt;"",VLOOKUP($B38,CATLookup!$A$2:$E$271,4,FALSE),"")</f>
        <v/>
      </c>
      <c r="F38" s="311"/>
      <c r="G38" s="311"/>
      <c r="H38" s="311"/>
      <c r="I38" s="311"/>
      <c r="J38" s="48"/>
      <c r="L38" s="47">
        <f t="shared" si="1"/>
        <v>1</v>
      </c>
    </row>
    <row r="39" spans="1:12" s="47" customFormat="1" ht="130.5" customHeight="1" x14ac:dyDescent="0.25">
      <c r="A39" s="47">
        <v>29</v>
      </c>
      <c r="B39" s="47" t="str">
        <f t="shared" si="0"/>
        <v/>
      </c>
      <c r="C39" s="48" t="str">
        <f>IF($B39&lt;&gt;"",VLOOKUP($B39,CATLookup!$A$2:$E$271,2,FALSE),"")</f>
        <v/>
      </c>
      <c r="D39" s="48" t="str">
        <f>IF($B39&lt;&gt;"",VLOOKUP($B39,CATLookup!$A$2:$E$271,3,FALSE),"")</f>
        <v/>
      </c>
      <c r="E39" s="48" t="str">
        <f>IF($B39&lt;&gt;"",VLOOKUP($B39,CATLookup!$A$2:$E$271,4,FALSE),"")</f>
        <v/>
      </c>
      <c r="F39" s="311"/>
      <c r="G39" s="311"/>
      <c r="H39" s="311"/>
      <c r="I39" s="311"/>
      <c r="J39" s="48"/>
      <c r="L39" s="47">
        <f t="shared" si="1"/>
        <v>1</v>
      </c>
    </row>
    <row r="40" spans="1:12" s="47" customFormat="1" ht="130.5" customHeight="1" x14ac:dyDescent="0.25">
      <c r="A40" s="47">
        <v>30</v>
      </c>
      <c r="B40" s="47" t="str">
        <f t="shared" si="0"/>
        <v/>
      </c>
      <c r="C40" s="48" t="str">
        <f>IF($B40&lt;&gt;"",VLOOKUP($B40,CATLookup!$A$2:$E$271,2,FALSE),"")</f>
        <v/>
      </c>
      <c r="D40" s="48" t="str">
        <f>IF($B40&lt;&gt;"",VLOOKUP($B40,CATLookup!$A$2:$E$271,3,FALSE),"")</f>
        <v/>
      </c>
      <c r="E40" s="48" t="str">
        <f>IF($B40&lt;&gt;"",VLOOKUP($B40,CATLookup!$A$2:$E$271,4,FALSE),"")</f>
        <v/>
      </c>
      <c r="F40" s="311"/>
      <c r="G40" s="311"/>
      <c r="H40" s="311"/>
      <c r="I40" s="311"/>
      <c r="J40" s="48"/>
      <c r="L40" s="47">
        <f t="shared" si="1"/>
        <v>1</v>
      </c>
    </row>
    <row r="41" spans="1:12" s="47" customFormat="1" ht="130.5" customHeight="1" x14ac:dyDescent="0.25">
      <c r="A41" s="47">
        <v>31</v>
      </c>
      <c r="B41" s="47" t="str">
        <f t="shared" si="0"/>
        <v/>
      </c>
      <c r="C41" s="48" t="str">
        <f>IF($B41&lt;&gt;"",VLOOKUP($B41,CATLookup!$A$2:$E$271,2,FALSE),"")</f>
        <v/>
      </c>
      <c r="D41" s="48" t="str">
        <f>IF($B41&lt;&gt;"",VLOOKUP($B41,CATLookup!$A$2:$E$271,3,FALSE),"")</f>
        <v/>
      </c>
      <c r="E41" s="48" t="str">
        <f>IF($B41&lt;&gt;"",VLOOKUP($B41,CATLookup!$A$2:$E$271,4,FALSE),"")</f>
        <v/>
      </c>
      <c r="F41" s="311"/>
      <c r="G41" s="311"/>
      <c r="H41" s="311"/>
      <c r="I41" s="311"/>
      <c r="J41" s="48"/>
      <c r="L41" s="47">
        <f t="shared" si="1"/>
        <v>1</v>
      </c>
    </row>
    <row r="42" spans="1:12" s="47" customFormat="1" ht="130.5" customHeight="1" x14ac:dyDescent="0.25">
      <c r="A42" s="47">
        <v>32</v>
      </c>
      <c r="B42" s="47" t="str">
        <f t="shared" si="0"/>
        <v/>
      </c>
      <c r="C42" s="48" t="str">
        <f>IF($B42&lt;&gt;"",VLOOKUP($B42,CATLookup!$A$2:$E$271,2,FALSE),"")</f>
        <v/>
      </c>
      <c r="D42" s="48" t="str">
        <f>IF($B42&lt;&gt;"",VLOOKUP($B42,CATLookup!$A$2:$E$271,3,FALSE),"")</f>
        <v/>
      </c>
      <c r="E42" s="48" t="str">
        <f>IF($B42&lt;&gt;"",VLOOKUP($B42,CATLookup!$A$2:$E$271,4,FALSE),"")</f>
        <v/>
      </c>
      <c r="F42" s="311"/>
      <c r="G42" s="311"/>
      <c r="H42" s="311"/>
      <c r="I42" s="311"/>
      <c r="J42" s="48"/>
      <c r="L42" s="47">
        <f t="shared" si="1"/>
        <v>1</v>
      </c>
    </row>
    <row r="43" spans="1:12" s="47" customFormat="1" ht="130.5" customHeight="1" x14ac:dyDescent="0.25">
      <c r="A43" s="47">
        <v>33</v>
      </c>
      <c r="B43" s="47" t="str">
        <f t="shared" si="0"/>
        <v/>
      </c>
      <c r="C43" s="48" t="str">
        <f>IF($B43&lt;&gt;"",VLOOKUP($B43,CATLookup!$A$2:$E$271,2,FALSE),"")</f>
        <v/>
      </c>
      <c r="D43" s="48" t="str">
        <f>IF($B43&lt;&gt;"",VLOOKUP($B43,CATLookup!$A$2:$E$271,3,FALSE),"")</f>
        <v/>
      </c>
      <c r="E43" s="48" t="str">
        <f>IF($B43&lt;&gt;"",VLOOKUP($B43,CATLookup!$A$2:$E$271,4,FALSE),"")</f>
        <v/>
      </c>
      <c r="F43" s="311"/>
      <c r="G43" s="311"/>
      <c r="H43" s="311"/>
      <c r="I43" s="311"/>
      <c r="J43" s="48"/>
      <c r="L43" s="47">
        <f t="shared" si="1"/>
        <v>1</v>
      </c>
    </row>
    <row r="44" spans="1:12" s="47" customFormat="1" ht="130.5" customHeight="1" x14ac:dyDescent="0.25">
      <c r="A44" s="47">
        <v>34</v>
      </c>
      <c r="B44" s="47" t="str">
        <f t="shared" si="0"/>
        <v/>
      </c>
      <c r="C44" s="48" t="str">
        <f>IF($B44&lt;&gt;"",VLOOKUP($B44,CATLookup!$A$2:$E$271,2,FALSE),"")</f>
        <v/>
      </c>
      <c r="D44" s="48" t="str">
        <f>IF($B44&lt;&gt;"",VLOOKUP($B44,CATLookup!$A$2:$E$271,3,FALSE),"")</f>
        <v/>
      </c>
      <c r="E44" s="48" t="str">
        <f>IF($B44&lt;&gt;"",VLOOKUP($B44,CATLookup!$A$2:$E$271,4,FALSE),"")</f>
        <v/>
      </c>
      <c r="F44" s="311"/>
      <c r="G44" s="311"/>
      <c r="H44" s="311"/>
      <c r="I44" s="311"/>
      <c r="J44" s="48"/>
      <c r="L44" s="47">
        <f t="shared" si="1"/>
        <v>1</v>
      </c>
    </row>
    <row r="45" spans="1:12" s="47" customFormat="1" ht="130.5" customHeight="1" x14ac:dyDescent="0.25">
      <c r="A45" s="47">
        <v>35</v>
      </c>
      <c r="B45" s="47" t="str">
        <f t="shared" si="0"/>
        <v/>
      </c>
      <c r="C45" s="48" t="str">
        <f>IF($B45&lt;&gt;"",VLOOKUP($B45,CATLookup!$A$2:$E$271,2,FALSE),"")</f>
        <v/>
      </c>
      <c r="D45" s="48" t="str">
        <f>IF($B45&lt;&gt;"",VLOOKUP($B45,CATLookup!$A$2:$E$271,3,FALSE),"")</f>
        <v/>
      </c>
      <c r="E45" s="48" t="str">
        <f>IF($B45&lt;&gt;"",VLOOKUP($B45,CATLookup!$A$2:$E$271,4,FALSE),"")</f>
        <v/>
      </c>
      <c r="F45" s="311"/>
      <c r="G45" s="311"/>
      <c r="H45" s="311"/>
      <c r="I45" s="311"/>
      <c r="J45" s="48"/>
      <c r="L45" s="47">
        <f t="shared" si="1"/>
        <v>1</v>
      </c>
    </row>
    <row r="46" spans="1:12" s="47" customFormat="1" ht="130.5" customHeight="1" x14ac:dyDescent="0.25">
      <c r="A46" s="47">
        <v>36</v>
      </c>
      <c r="B46" s="47" t="str">
        <f t="shared" si="0"/>
        <v/>
      </c>
      <c r="C46" s="48" t="str">
        <f>IF($B46&lt;&gt;"",VLOOKUP($B46,CATLookup!$A$2:$E$271,2,FALSE),"")</f>
        <v/>
      </c>
      <c r="D46" s="48" t="str">
        <f>IF($B46&lt;&gt;"",VLOOKUP($B46,CATLookup!$A$2:$E$271,3,FALSE),"")</f>
        <v/>
      </c>
      <c r="E46" s="48" t="str">
        <f>IF($B46&lt;&gt;"",VLOOKUP($B46,CATLookup!$A$2:$E$271,4,FALSE),"")</f>
        <v/>
      </c>
      <c r="F46" s="311"/>
      <c r="G46" s="311"/>
      <c r="H46" s="311"/>
      <c r="I46" s="311"/>
      <c r="J46" s="48"/>
      <c r="L46" s="47">
        <f t="shared" si="1"/>
        <v>1</v>
      </c>
    </row>
    <row r="47" spans="1:12" s="47" customFormat="1" ht="130.5" customHeight="1" x14ac:dyDescent="0.25">
      <c r="A47" s="47">
        <v>37</v>
      </c>
      <c r="B47" s="47" t="str">
        <f t="shared" si="0"/>
        <v/>
      </c>
      <c r="C47" s="48" t="str">
        <f>IF($B47&lt;&gt;"",VLOOKUP($B47,CATLookup!$A$2:$E$271,2,FALSE),"")</f>
        <v/>
      </c>
      <c r="D47" s="48" t="str">
        <f>IF($B47&lt;&gt;"",VLOOKUP($B47,CATLookup!$A$2:$E$271,3,FALSE),"")</f>
        <v/>
      </c>
      <c r="E47" s="48" t="str">
        <f>IF($B47&lt;&gt;"",VLOOKUP($B47,CATLookup!$A$2:$E$271,4,FALSE),"")</f>
        <v/>
      </c>
      <c r="F47" s="311"/>
      <c r="G47" s="311"/>
      <c r="H47" s="311"/>
      <c r="I47" s="311"/>
      <c r="J47" s="48"/>
      <c r="L47" s="47">
        <f t="shared" si="1"/>
        <v>1</v>
      </c>
    </row>
    <row r="48" spans="1:12" s="47" customFormat="1" ht="130.5" customHeight="1" x14ac:dyDescent="0.25">
      <c r="A48" s="47">
        <v>38</v>
      </c>
      <c r="B48" s="47" t="str">
        <f t="shared" si="0"/>
        <v/>
      </c>
      <c r="C48" s="48" t="str">
        <f>IF($B48&lt;&gt;"",VLOOKUP($B48,CATLookup!$A$2:$E$271,2,FALSE),"")</f>
        <v/>
      </c>
      <c r="D48" s="48" t="str">
        <f>IF($B48&lt;&gt;"",VLOOKUP($B48,CATLookup!$A$2:$E$271,3,FALSE),"")</f>
        <v/>
      </c>
      <c r="E48" s="48" t="str">
        <f>IF($B48&lt;&gt;"",VLOOKUP($B48,CATLookup!$A$2:$E$271,4,FALSE),"")</f>
        <v/>
      </c>
      <c r="F48" s="311"/>
      <c r="G48" s="311"/>
      <c r="H48" s="311"/>
      <c r="I48" s="311"/>
      <c r="J48" s="48"/>
      <c r="L48" s="47">
        <f t="shared" si="1"/>
        <v>1</v>
      </c>
    </row>
    <row r="49" spans="1:12" s="47" customFormat="1" ht="130.5" customHeight="1" x14ac:dyDescent="0.25">
      <c r="A49" s="47">
        <v>39</v>
      </c>
      <c r="B49" s="47" t="str">
        <f t="shared" si="0"/>
        <v/>
      </c>
      <c r="C49" s="48" t="str">
        <f>IF($B49&lt;&gt;"",VLOOKUP($B49,CATLookup!$A$2:$E$271,2,FALSE),"")</f>
        <v/>
      </c>
      <c r="D49" s="48" t="str">
        <f>IF($B49&lt;&gt;"",VLOOKUP($B49,CATLookup!$A$2:$E$271,3,FALSE),"")</f>
        <v/>
      </c>
      <c r="E49" s="48" t="str">
        <f>IF($B49&lt;&gt;"",VLOOKUP($B49,CATLookup!$A$2:$E$271,4,FALSE),"")</f>
        <v/>
      </c>
      <c r="F49" s="311"/>
      <c r="G49" s="311"/>
      <c r="H49" s="311"/>
      <c r="I49" s="311"/>
      <c r="J49" s="48"/>
      <c r="L49" s="47">
        <f t="shared" si="1"/>
        <v>1</v>
      </c>
    </row>
    <row r="50" spans="1:12" s="47" customFormat="1" ht="130.5" customHeight="1" x14ac:dyDescent="0.25">
      <c r="A50" s="47">
        <v>40</v>
      </c>
      <c r="B50" s="47" t="str">
        <f t="shared" si="0"/>
        <v/>
      </c>
      <c r="C50" s="48" t="str">
        <f>IF($B50&lt;&gt;"",VLOOKUP($B50,CATLookup!$A$2:$E$271,2,FALSE),"")</f>
        <v/>
      </c>
      <c r="D50" s="48" t="str">
        <f>IF($B50&lt;&gt;"",VLOOKUP($B50,CATLookup!$A$2:$E$271,3,FALSE),"")</f>
        <v/>
      </c>
      <c r="E50" s="48" t="str">
        <f>IF($B50&lt;&gt;"",VLOOKUP($B50,CATLookup!$A$2:$E$271,4,FALSE),"")</f>
        <v/>
      </c>
      <c r="F50" s="311"/>
      <c r="G50" s="311"/>
      <c r="H50" s="311"/>
      <c r="I50" s="311"/>
      <c r="J50" s="48"/>
      <c r="L50" s="47">
        <f t="shared" si="1"/>
        <v>1</v>
      </c>
    </row>
    <row r="51" spans="1:12" s="47" customFormat="1" ht="130.5" customHeight="1" x14ac:dyDescent="0.25">
      <c r="A51" s="47">
        <v>41</v>
      </c>
      <c r="B51" s="47" t="str">
        <f t="shared" si="0"/>
        <v/>
      </c>
      <c r="C51" s="48" t="str">
        <f>IF($B51&lt;&gt;"",VLOOKUP($B51,CATLookup!$A$2:$E$271,2,FALSE),"")</f>
        <v/>
      </c>
      <c r="D51" s="48" t="str">
        <f>IF($B51&lt;&gt;"",VLOOKUP($B51,CATLookup!$A$2:$E$271,3,FALSE),"")</f>
        <v/>
      </c>
      <c r="E51" s="48" t="str">
        <f>IF($B51&lt;&gt;"",VLOOKUP($B51,CATLookup!$A$2:$E$271,4,FALSE),"")</f>
        <v/>
      </c>
      <c r="F51" s="311"/>
      <c r="G51" s="311"/>
      <c r="H51" s="311"/>
      <c r="I51" s="311"/>
      <c r="J51" s="48"/>
      <c r="L51" s="47">
        <f t="shared" si="1"/>
        <v>1</v>
      </c>
    </row>
    <row r="52" spans="1:12" s="47" customFormat="1" ht="130.5" customHeight="1" x14ac:dyDescent="0.25">
      <c r="A52" s="47">
        <v>42</v>
      </c>
      <c r="B52" s="47" t="str">
        <f t="shared" si="0"/>
        <v/>
      </c>
      <c r="C52" s="48" t="str">
        <f>IF($B52&lt;&gt;"",VLOOKUP($B52,CATLookup!$A$2:$E$271,2,FALSE),"")</f>
        <v/>
      </c>
      <c r="D52" s="48" t="str">
        <f>IF($B52&lt;&gt;"",VLOOKUP($B52,CATLookup!$A$2:$E$271,3,FALSE),"")</f>
        <v/>
      </c>
      <c r="E52" s="48" t="str">
        <f>IF($B52&lt;&gt;"",VLOOKUP($B52,CATLookup!$A$2:$E$271,4,FALSE),"")</f>
        <v/>
      </c>
      <c r="F52" s="311"/>
      <c r="G52" s="311"/>
      <c r="H52" s="311"/>
      <c r="I52" s="311"/>
      <c r="J52" s="48"/>
      <c r="L52" s="47">
        <f t="shared" si="1"/>
        <v>1</v>
      </c>
    </row>
    <row r="53" spans="1:12" s="47" customFormat="1" ht="130.5" customHeight="1" x14ac:dyDescent="0.25">
      <c r="A53" s="47">
        <v>43</v>
      </c>
      <c r="B53" s="47" t="str">
        <f t="shared" si="0"/>
        <v/>
      </c>
      <c r="C53" s="48" t="str">
        <f>IF($B53&lt;&gt;"",VLOOKUP($B53,CATLookup!$A$2:$E$271,2,FALSE),"")</f>
        <v/>
      </c>
      <c r="D53" s="48" t="str">
        <f>IF($B53&lt;&gt;"",VLOOKUP($B53,CATLookup!$A$2:$E$271,3,FALSE),"")</f>
        <v/>
      </c>
      <c r="E53" s="48" t="str">
        <f>IF($B53&lt;&gt;"",VLOOKUP($B53,CATLookup!$A$2:$E$271,4,FALSE),"")</f>
        <v/>
      </c>
      <c r="F53" s="311"/>
      <c r="G53" s="311"/>
      <c r="H53" s="311"/>
      <c r="I53" s="311"/>
      <c r="J53" s="48"/>
      <c r="L53" s="47">
        <f t="shared" si="1"/>
        <v>1</v>
      </c>
    </row>
    <row r="54" spans="1:12" s="47" customFormat="1" ht="130.5" customHeight="1" x14ac:dyDescent="0.25">
      <c r="A54" s="47">
        <v>44</v>
      </c>
      <c r="B54" s="47" t="str">
        <f t="shared" si="0"/>
        <v/>
      </c>
      <c r="C54" s="48" t="str">
        <f>IF($B54&lt;&gt;"",VLOOKUP($B54,CATLookup!$A$2:$E$271,2,FALSE),"")</f>
        <v/>
      </c>
      <c r="D54" s="48" t="str">
        <f>IF($B54&lt;&gt;"",VLOOKUP($B54,CATLookup!$A$2:$E$271,3,FALSE),"")</f>
        <v/>
      </c>
      <c r="E54" s="48" t="str">
        <f>IF($B54&lt;&gt;"",VLOOKUP($B54,CATLookup!$A$2:$E$271,4,FALSE),"")</f>
        <v/>
      </c>
      <c r="F54" s="311"/>
      <c r="G54" s="311"/>
      <c r="H54" s="311"/>
      <c r="I54" s="311"/>
      <c r="J54" s="48"/>
      <c r="L54" s="47">
        <f t="shared" si="1"/>
        <v>1</v>
      </c>
    </row>
    <row r="55" spans="1:12" s="47" customFormat="1" ht="130.5" customHeight="1" x14ac:dyDescent="0.25">
      <c r="A55" s="47">
        <v>45</v>
      </c>
      <c r="B55" s="47" t="str">
        <f t="shared" si="0"/>
        <v/>
      </c>
      <c r="C55" s="48" t="str">
        <f>IF($B55&lt;&gt;"",VLOOKUP($B55,CATLookup!$A$2:$E$271,2,FALSE),"")</f>
        <v/>
      </c>
      <c r="D55" s="48" t="str">
        <f>IF($B55&lt;&gt;"",VLOOKUP($B55,CATLookup!$A$2:$E$271,3,FALSE),"")</f>
        <v/>
      </c>
      <c r="E55" s="48" t="str">
        <f>IF($B55&lt;&gt;"",VLOOKUP($B55,CATLookup!$A$2:$E$271,4,FALSE),"")</f>
        <v/>
      </c>
      <c r="F55" s="311"/>
      <c r="G55" s="311"/>
      <c r="H55" s="311"/>
      <c r="I55" s="311"/>
      <c r="J55" s="48"/>
      <c r="L55" s="47">
        <f t="shared" si="1"/>
        <v>1</v>
      </c>
    </row>
    <row r="56" spans="1:12" s="47" customFormat="1" ht="130.5" customHeight="1" x14ac:dyDescent="0.25">
      <c r="A56" s="47">
        <v>46</v>
      </c>
      <c r="B56" s="47" t="str">
        <f t="shared" si="0"/>
        <v/>
      </c>
      <c r="C56" s="48" t="str">
        <f>IF($B56&lt;&gt;"",VLOOKUP($B56,CATLookup!$A$2:$E$271,2,FALSE),"")</f>
        <v/>
      </c>
      <c r="D56" s="48" t="str">
        <f>IF($B56&lt;&gt;"",VLOOKUP($B56,CATLookup!$A$2:$E$271,3,FALSE),"")</f>
        <v/>
      </c>
      <c r="E56" s="48" t="str">
        <f>IF($B56&lt;&gt;"",VLOOKUP($B56,CATLookup!$A$2:$E$271,4,FALSE),"")</f>
        <v/>
      </c>
      <c r="F56" s="311"/>
      <c r="G56" s="311"/>
      <c r="H56" s="311"/>
      <c r="I56" s="311"/>
      <c r="J56" s="48"/>
      <c r="L56" s="47">
        <f t="shared" si="1"/>
        <v>1</v>
      </c>
    </row>
    <row r="57" spans="1:12" s="47" customFormat="1" ht="130.5" customHeight="1" x14ac:dyDescent="0.25">
      <c r="A57" s="47">
        <v>47</v>
      </c>
      <c r="B57" s="47" t="str">
        <f t="shared" si="0"/>
        <v/>
      </c>
      <c r="C57" s="48" t="str">
        <f>IF($B57&lt;&gt;"",VLOOKUP($B57,CATLookup!$A$2:$E$271,2,FALSE),"")</f>
        <v/>
      </c>
      <c r="D57" s="48" t="str">
        <f>IF($B57&lt;&gt;"",VLOOKUP($B57,CATLookup!$A$2:$E$271,3,FALSE),"")</f>
        <v/>
      </c>
      <c r="E57" s="48" t="str">
        <f>IF($B57&lt;&gt;"",VLOOKUP($B57,CATLookup!$A$2:$E$271,4,FALSE),"")</f>
        <v/>
      </c>
      <c r="F57" s="311"/>
      <c r="G57" s="311"/>
      <c r="H57" s="311"/>
      <c r="I57" s="311"/>
      <c r="J57" s="48"/>
      <c r="L57" s="47">
        <f t="shared" si="1"/>
        <v>1</v>
      </c>
    </row>
    <row r="58" spans="1:12" s="47" customFormat="1" ht="130.5" customHeight="1" x14ac:dyDescent="0.25">
      <c r="A58" s="47">
        <v>48</v>
      </c>
      <c r="B58" s="47" t="str">
        <f t="shared" si="0"/>
        <v/>
      </c>
      <c r="C58" s="48" t="str">
        <f>IF($B58&lt;&gt;"",VLOOKUP($B58,CATLookup!$A$2:$E$271,2,FALSE),"")</f>
        <v/>
      </c>
      <c r="D58" s="48" t="str">
        <f>IF($B58&lt;&gt;"",VLOOKUP($B58,CATLookup!$A$2:$E$271,3,FALSE),"")</f>
        <v/>
      </c>
      <c r="E58" s="48" t="str">
        <f>IF($B58&lt;&gt;"",VLOOKUP($B58,CATLookup!$A$2:$E$271,4,FALSE),"")</f>
        <v/>
      </c>
      <c r="F58" s="311"/>
      <c r="G58" s="311"/>
      <c r="H58" s="311"/>
      <c r="I58" s="311"/>
      <c r="J58" s="48"/>
      <c r="L58" s="47">
        <f t="shared" si="1"/>
        <v>1</v>
      </c>
    </row>
    <row r="59" spans="1:12" s="47" customFormat="1" ht="130.5" customHeight="1" x14ac:dyDescent="0.25">
      <c r="A59" s="47">
        <v>49</v>
      </c>
      <c r="B59" s="47" t="str">
        <f t="shared" si="0"/>
        <v/>
      </c>
      <c r="C59" s="48" t="str">
        <f>IF($B59&lt;&gt;"",VLOOKUP($B59,CATLookup!$A$2:$E$271,2,FALSE),"")</f>
        <v/>
      </c>
      <c r="D59" s="48" t="str">
        <f>IF($B59&lt;&gt;"",VLOOKUP($B59,CATLookup!$A$2:$E$271,3,FALSE),"")</f>
        <v/>
      </c>
      <c r="E59" s="48" t="str">
        <f>IF($B59&lt;&gt;"",VLOOKUP($B59,CATLookup!$A$2:$E$271,4,FALSE),"")</f>
        <v/>
      </c>
      <c r="F59" s="311"/>
      <c r="G59" s="311"/>
      <c r="H59" s="311"/>
      <c r="I59" s="311"/>
      <c r="J59" s="48"/>
      <c r="L59" s="47">
        <f t="shared" si="1"/>
        <v>1</v>
      </c>
    </row>
    <row r="60" spans="1:12" s="47" customFormat="1" ht="130.5" customHeight="1" x14ac:dyDescent="0.25">
      <c r="A60" s="47">
        <v>50</v>
      </c>
      <c r="B60" s="47" t="str">
        <f t="shared" si="0"/>
        <v/>
      </c>
      <c r="C60" s="48" t="str">
        <f>IF($B60&lt;&gt;"",VLOOKUP($B60,CATLookup!$A$2:$E$271,2,FALSE),"")</f>
        <v/>
      </c>
      <c r="D60" s="48" t="str">
        <f>IF($B60&lt;&gt;"",VLOOKUP($B60,CATLookup!$A$2:$E$271,3,FALSE),"")</f>
        <v/>
      </c>
      <c r="E60" s="48" t="str">
        <f>IF($B60&lt;&gt;"",VLOOKUP($B60,CATLookup!$A$2:$E$271,4,FALSE),"")</f>
        <v/>
      </c>
      <c r="F60" s="311"/>
      <c r="G60" s="311"/>
      <c r="H60" s="311"/>
      <c r="I60" s="311"/>
      <c r="J60" s="48"/>
      <c r="L60" s="47">
        <f t="shared" si="1"/>
        <v>1</v>
      </c>
    </row>
    <row r="61" spans="1:12" s="47" customFormat="1" ht="130.5" customHeight="1" x14ac:dyDescent="0.25">
      <c r="A61" s="47">
        <v>51</v>
      </c>
      <c r="B61" s="47" t="str">
        <f t="shared" si="0"/>
        <v/>
      </c>
      <c r="C61" s="48" t="str">
        <f>IF($B61&lt;&gt;"",VLOOKUP($B61,CATLookup!$A$2:$E$271,2,FALSE),"")</f>
        <v/>
      </c>
      <c r="D61" s="48" t="str">
        <f>IF($B61&lt;&gt;"",VLOOKUP($B61,CATLookup!$A$2:$E$271,3,FALSE),"")</f>
        <v/>
      </c>
      <c r="E61" s="48" t="str">
        <f>IF($B61&lt;&gt;"",VLOOKUP($B61,CATLookup!$A$2:$E$271,4,FALSE),"")</f>
        <v/>
      </c>
      <c r="F61" s="311"/>
      <c r="G61" s="311"/>
      <c r="H61" s="311"/>
      <c r="I61" s="311"/>
      <c r="J61" s="48"/>
      <c r="L61" s="47">
        <f t="shared" si="1"/>
        <v>1</v>
      </c>
    </row>
    <row r="62" spans="1:12" s="47" customFormat="1" ht="130.5" customHeight="1" x14ac:dyDescent="0.25">
      <c r="A62" s="47">
        <v>52</v>
      </c>
      <c r="B62" s="47" t="str">
        <f t="shared" si="0"/>
        <v/>
      </c>
      <c r="C62" s="48" t="str">
        <f>IF($B62&lt;&gt;"",VLOOKUP($B62,CATLookup!$A$2:$E$271,2,FALSE),"")</f>
        <v/>
      </c>
      <c r="D62" s="48" t="str">
        <f>IF($B62&lt;&gt;"",VLOOKUP($B62,CATLookup!$A$2:$E$271,3,FALSE),"")</f>
        <v/>
      </c>
      <c r="E62" s="48" t="str">
        <f>IF($B62&lt;&gt;"",VLOOKUP($B62,CATLookup!$A$2:$E$271,4,FALSE),"")</f>
        <v/>
      </c>
      <c r="F62" s="311"/>
      <c r="G62" s="311"/>
      <c r="H62" s="311"/>
      <c r="I62" s="311"/>
      <c r="J62" s="48"/>
      <c r="L62" s="47">
        <f t="shared" si="1"/>
        <v>1</v>
      </c>
    </row>
    <row r="63" spans="1:12" s="47" customFormat="1" ht="130.5" customHeight="1" x14ac:dyDescent="0.25">
      <c r="A63" s="47">
        <v>53</v>
      </c>
      <c r="B63" s="47" t="str">
        <f t="shared" si="0"/>
        <v/>
      </c>
      <c r="C63" s="48" t="str">
        <f>IF($B63&lt;&gt;"",VLOOKUP($B63,CATLookup!$A$2:$E$271,2,FALSE),"")</f>
        <v/>
      </c>
      <c r="D63" s="48" t="str">
        <f>IF($B63&lt;&gt;"",VLOOKUP($B63,CATLookup!$A$2:$E$271,3,FALSE),"")</f>
        <v/>
      </c>
      <c r="E63" s="48" t="str">
        <f>IF($B63&lt;&gt;"",VLOOKUP($B63,CATLookup!$A$2:$E$271,4,FALSE),"")</f>
        <v/>
      </c>
      <c r="F63" s="311"/>
      <c r="G63" s="311"/>
      <c r="H63" s="311"/>
      <c r="I63" s="311"/>
      <c r="J63" s="48"/>
      <c r="L63" s="47">
        <f t="shared" si="1"/>
        <v>1</v>
      </c>
    </row>
    <row r="64" spans="1:12" s="47" customFormat="1" ht="130.5" customHeight="1" x14ac:dyDescent="0.25">
      <c r="A64" s="47">
        <v>54</v>
      </c>
      <c r="B64" s="47" t="str">
        <f t="shared" si="0"/>
        <v/>
      </c>
      <c r="C64" s="48" t="str">
        <f>IF($B64&lt;&gt;"",VLOOKUP($B64,CATLookup!$A$2:$E$271,2,FALSE),"")</f>
        <v/>
      </c>
      <c r="D64" s="48" t="str">
        <f>IF($B64&lt;&gt;"",VLOOKUP($B64,CATLookup!$A$2:$E$271,3,FALSE),"")</f>
        <v/>
      </c>
      <c r="E64" s="48" t="str">
        <f>IF($B64&lt;&gt;"",VLOOKUP($B64,CATLookup!$A$2:$E$271,4,FALSE),"")</f>
        <v/>
      </c>
      <c r="F64" s="311"/>
      <c r="G64" s="311"/>
      <c r="H64" s="311"/>
      <c r="I64" s="311"/>
      <c r="J64" s="48"/>
      <c r="L64" s="47">
        <f t="shared" si="1"/>
        <v>1</v>
      </c>
    </row>
    <row r="65" spans="1:12" s="47" customFormat="1" ht="130.5" customHeight="1" x14ac:dyDescent="0.25">
      <c r="A65" s="47">
        <v>55</v>
      </c>
      <c r="B65" s="47" t="str">
        <f t="shared" si="0"/>
        <v/>
      </c>
      <c r="C65" s="48" t="str">
        <f>IF($B65&lt;&gt;"",VLOOKUP($B65,CATLookup!$A$2:$E$271,2,FALSE),"")</f>
        <v/>
      </c>
      <c r="D65" s="48" t="str">
        <f>IF($B65&lt;&gt;"",VLOOKUP($B65,CATLookup!$A$2:$E$271,3,FALSE),"")</f>
        <v/>
      </c>
      <c r="E65" s="48" t="str">
        <f>IF($B65&lt;&gt;"",VLOOKUP($B65,CATLookup!$A$2:$E$271,4,FALSE),"")</f>
        <v/>
      </c>
      <c r="F65" s="311"/>
      <c r="G65" s="311"/>
      <c r="H65" s="311"/>
      <c r="I65" s="311"/>
      <c r="J65" s="48"/>
      <c r="L65" s="47">
        <f t="shared" si="1"/>
        <v>1</v>
      </c>
    </row>
    <row r="66" spans="1:12" s="47" customFormat="1" ht="130.5" customHeight="1" x14ac:dyDescent="0.25">
      <c r="A66" s="47">
        <v>56</v>
      </c>
      <c r="B66" s="47" t="str">
        <f t="shared" si="0"/>
        <v/>
      </c>
      <c r="C66" s="48" t="str">
        <f>IF($B66&lt;&gt;"",VLOOKUP($B66,CATLookup!$A$2:$E$271,2,FALSE),"")</f>
        <v/>
      </c>
      <c r="D66" s="48" t="str">
        <f>IF($B66&lt;&gt;"",VLOOKUP($B66,CATLookup!$A$2:$E$271,3,FALSE),"")</f>
        <v/>
      </c>
      <c r="E66" s="48" t="str">
        <f>IF($B66&lt;&gt;"",VLOOKUP($B66,CATLookup!$A$2:$E$271,4,FALSE),"")</f>
        <v/>
      </c>
      <c r="F66" s="311"/>
      <c r="G66" s="311"/>
      <c r="H66" s="311"/>
      <c r="I66" s="311"/>
      <c r="J66" s="48"/>
      <c r="L66" s="47">
        <f t="shared" si="1"/>
        <v>1</v>
      </c>
    </row>
    <row r="67" spans="1:12" s="47" customFormat="1" ht="130.5" customHeight="1" x14ac:dyDescent="0.25">
      <c r="A67" s="47">
        <v>57</v>
      </c>
      <c r="B67" s="47" t="str">
        <f t="shared" si="0"/>
        <v/>
      </c>
      <c r="C67" s="48" t="str">
        <f>IF($B67&lt;&gt;"",VLOOKUP($B67,CATLookup!$A$2:$E$271,2,FALSE),"")</f>
        <v/>
      </c>
      <c r="D67" s="48" t="str">
        <f>IF($B67&lt;&gt;"",VLOOKUP($B67,CATLookup!$A$2:$E$271,3,FALSE),"")</f>
        <v/>
      </c>
      <c r="E67" s="48" t="str">
        <f>IF($B67&lt;&gt;"",VLOOKUP($B67,CATLookup!$A$2:$E$271,4,FALSE),"")</f>
        <v/>
      </c>
      <c r="F67" s="311"/>
      <c r="G67" s="311"/>
      <c r="H67" s="311"/>
      <c r="I67" s="311"/>
      <c r="J67" s="48"/>
      <c r="L67" s="47">
        <f t="shared" si="1"/>
        <v>1</v>
      </c>
    </row>
    <row r="68" spans="1:12" s="47" customFormat="1" ht="130.5" customHeight="1" x14ac:dyDescent="0.25">
      <c r="A68" s="47">
        <v>58</v>
      </c>
      <c r="B68" s="47" t="str">
        <f t="shared" si="0"/>
        <v/>
      </c>
      <c r="C68" s="48" t="str">
        <f>IF($B68&lt;&gt;"",VLOOKUP($B68,CATLookup!$A$2:$E$271,2,FALSE),"")</f>
        <v/>
      </c>
      <c r="D68" s="48" t="str">
        <f>IF($B68&lt;&gt;"",VLOOKUP($B68,CATLookup!$A$2:$E$271,3,FALSE),"")</f>
        <v/>
      </c>
      <c r="E68" s="48" t="str">
        <f>IF($B68&lt;&gt;"",VLOOKUP($B68,CATLookup!$A$2:$E$271,4,FALSE),"")</f>
        <v/>
      </c>
      <c r="F68" s="311"/>
      <c r="G68" s="311"/>
      <c r="H68" s="311"/>
      <c r="I68" s="311"/>
      <c r="J68" s="48"/>
      <c r="L68" s="47">
        <f t="shared" si="1"/>
        <v>1</v>
      </c>
    </row>
    <row r="69" spans="1:12" s="47" customFormat="1" ht="130.5" customHeight="1" x14ac:dyDescent="0.25">
      <c r="A69" s="47">
        <v>59</v>
      </c>
      <c r="B69" s="47" t="str">
        <f t="shared" si="0"/>
        <v/>
      </c>
      <c r="C69" s="48" t="str">
        <f>IF($B69&lt;&gt;"",VLOOKUP($B69,CATLookup!$A$2:$E$271,2,FALSE),"")</f>
        <v/>
      </c>
      <c r="D69" s="48" t="str">
        <f>IF($B69&lt;&gt;"",VLOOKUP($B69,CATLookup!$A$2:$E$271,3,FALSE),"")</f>
        <v/>
      </c>
      <c r="E69" s="48" t="str">
        <f>IF($B69&lt;&gt;"",VLOOKUP($B69,CATLookup!$A$2:$E$271,4,FALSE),"")</f>
        <v/>
      </c>
      <c r="F69" s="311"/>
      <c r="G69" s="311"/>
      <c r="H69" s="311"/>
      <c r="I69" s="311"/>
      <c r="J69" s="48"/>
      <c r="L69" s="47">
        <f t="shared" si="1"/>
        <v>1</v>
      </c>
    </row>
    <row r="70" spans="1:12" s="47" customFormat="1" ht="130.5" customHeight="1" x14ac:dyDescent="0.25">
      <c r="A70" s="47">
        <v>60</v>
      </c>
      <c r="B70" s="47" t="str">
        <f t="shared" si="0"/>
        <v/>
      </c>
      <c r="C70" s="48" t="str">
        <f>IF($B70&lt;&gt;"",VLOOKUP($B70,CATLookup!$A$2:$E$271,2,FALSE),"")</f>
        <v/>
      </c>
      <c r="D70" s="48" t="str">
        <f>IF($B70&lt;&gt;"",VLOOKUP($B70,CATLookup!$A$2:$E$271,3,FALSE),"")</f>
        <v/>
      </c>
      <c r="E70" s="48" t="str">
        <f>IF($B70&lt;&gt;"",VLOOKUP($B70,CATLookup!$A$2:$E$271,4,FALSE),"")</f>
        <v/>
      </c>
      <c r="F70" s="311"/>
      <c r="G70" s="311"/>
      <c r="H70" s="311"/>
      <c r="I70" s="311"/>
      <c r="J70" s="48"/>
      <c r="L70" s="47">
        <f t="shared" si="1"/>
        <v>1</v>
      </c>
    </row>
    <row r="71" spans="1:12" s="47" customFormat="1" ht="130.5" customHeight="1" x14ac:dyDescent="0.25">
      <c r="A71" s="47">
        <v>61</v>
      </c>
      <c r="B71" s="47" t="str">
        <f t="shared" si="0"/>
        <v/>
      </c>
      <c r="C71" s="48" t="str">
        <f>IF($B71&lt;&gt;"",VLOOKUP($B71,CATLookup!$A$2:$E$271,2,FALSE),"")</f>
        <v/>
      </c>
      <c r="D71" s="48" t="str">
        <f>IF($B71&lt;&gt;"",VLOOKUP($B71,CATLookup!$A$2:$E$271,3,FALSE),"")</f>
        <v/>
      </c>
      <c r="E71" s="48" t="str">
        <f>IF($B71&lt;&gt;"",VLOOKUP($B71,CATLookup!$A$2:$E$271,4,FALSE),"")</f>
        <v/>
      </c>
      <c r="F71" s="311"/>
      <c r="G71" s="311"/>
      <c r="H71" s="311"/>
      <c r="I71" s="311"/>
      <c r="J71" s="48"/>
      <c r="L71" s="47">
        <f t="shared" si="1"/>
        <v>1</v>
      </c>
    </row>
    <row r="72" spans="1:12" s="47" customFormat="1" ht="130.5" customHeight="1" x14ac:dyDescent="0.25">
      <c r="A72" s="47">
        <v>62</v>
      </c>
      <c r="B72" s="47" t="str">
        <f t="shared" si="0"/>
        <v/>
      </c>
      <c r="C72" s="48" t="str">
        <f>IF($B72&lt;&gt;"",VLOOKUP($B72,CATLookup!$A$2:$E$271,2,FALSE),"")</f>
        <v/>
      </c>
      <c r="D72" s="48" t="str">
        <f>IF($B72&lt;&gt;"",VLOOKUP($B72,CATLookup!$A$2:$E$271,3,FALSE),"")</f>
        <v/>
      </c>
      <c r="E72" s="48" t="str">
        <f>IF($B72&lt;&gt;"",VLOOKUP($B72,CATLookup!$A$2:$E$271,4,FALSE),"")</f>
        <v/>
      </c>
      <c r="F72" s="311"/>
      <c r="G72" s="311"/>
      <c r="H72" s="311"/>
      <c r="I72" s="311"/>
      <c r="J72" s="48"/>
      <c r="L72" s="47">
        <f t="shared" si="1"/>
        <v>1</v>
      </c>
    </row>
    <row r="73" spans="1:12" s="47" customFormat="1" ht="130.5" customHeight="1" x14ac:dyDescent="0.25">
      <c r="A73" s="47">
        <v>63</v>
      </c>
      <c r="B73" s="47" t="str">
        <f t="shared" si="0"/>
        <v/>
      </c>
      <c r="C73" s="48" t="str">
        <f>IF($B73&lt;&gt;"",VLOOKUP($B73,CATLookup!$A$2:$E$271,2,FALSE),"")</f>
        <v/>
      </c>
      <c r="D73" s="48" t="str">
        <f>IF($B73&lt;&gt;"",VLOOKUP($B73,CATLookup!$A$2:$E$271,3,FALSE),"")</f>
        <v/>
      </c>
      <c r="E73" s="48" t="str">
        <f>IF($B73&lt;&gt;"",VLOOKUP($B73,CATLookup!$A$2:$E$271,4,FALSE),"")</f>
        <v/>
      </c>
      <c r="F73" s="311"/>
      <c r="G73" s="311"/>
      <c r="H73" s="311"/>
      <c r="I73" s="311"/>
      <c r="J73" s="48"/>
      <c r="L73" s="47">
        <f t="shared" si="1"/>
        <v>1</v>
      </c>
    </row>
    <row r="74" spans="1:12" s="47" customFormat="1" ht="130.5" customHeight="1" x14ac:dyDescent="0.25">
      <c r="A74" s="47">
        <v>64</v>
      </c>
      <c r="B74" s="47" t="str">
        <f t="shared" si="0"/>
        <v/>
      </c>
      <c r="C74" s="48" t="str">
        <f>IF($B74&lt;&gt;"",VLOOKUP($B74,CATLookup!$A$2:$E$271,2,FALSE),"")</f>
        <v/>
      </c>
      <c r="D74" s="48" t="str">
        <f>IF($B74&lt;&gt;"",VLOOKUP($B74,CATLookup!$A$2:$E$271,3,FALSE),"")</f>
        <v/>
      </c>
      <c r="E74" s="48" t="str">
        <f>IF($B74&lt;&gt;"",VLOOKUP($B74,CATLookup!$A$2:$E$271,4,FALSE),"")</f>
        <v/>
      </c>
      <c r="F74" s="311"/>
      <c r="G74" s="311"/>
      <c r="H74" s="311"/>
      <c r="I74" s="311"/>
      <c r="J74" s="48"/>
      <c r="L74" s="47">
        <f t="shared" si="1"/>
        <v>1</v>
      </c>
    </row>
    <row r="75" spans="1:12" s="47" customFormat="1" ht="130.5" customHeight="1" x14ac:dyDescent="0.25">
      <c r="A75" s="47">
        <v>65</v>
      </c>
      <c r="B75" s="47" t="str">
        <f t="shared" si="0"/>
        <v/>
      </c>
      <c r="C75" s="48" t="str">
        <f>IF($B75&lt;&gt;"",VLOOKUP($B75,CATLookup!$A$2:$E$271,2,FALSE),"")</f>
        <v/>
      </c>
      <c r="D75" s="48" t="str">
        <f>IF($B75&lt;&gt;"",VLOOKUP($B75,CATLookup!$A$2:$E$271,3,FALSE),"")</f>
        <v/>
      </c>
      <c r="E75" s="48" t="str">
        <f>IF($B75&lt;&gt;"",VLOOKUP($B75,CATLookup!$A$2:$E$271,4,FALSE),"")</f>
        <v/>
      </c>
      <c r="F75" s="311"/>
      <c r="G75" s="311"/>
      <c r="H75" s="311"/>
      <c r="I75" s="311"/>
      <c r="J75" s="48"/>
      <c r="L75" s="47">
        <f t="shared" si="1"/>
        <v>1</v>
      </c>
    </row>
    <row r="76" spans="1:12" s="47" customFormat="1" ht="130.5" customHeight="1" x14ac:dyDescent="0.25">
      <c r="A76" s="47">
        <v>66</v>
      </c>
      <c r="B76" s="47" t="str">
        <f t="shared" ref="B76:B139" si="2">IF(A$9=0,"No items for this report",IF(A76&lt;=A$9,A76,""))</f>
        <v/>
      </c>
      <c r="C76" s="48" t="str">
        <f>IF($B76&lt;&gt;"",VLOOKUP($B76,CATLookup!$A$2:$E$271,2,FALSE),"")</f>
        <v/>
      </c>
      <c r="D76" s="48" t="str">
        <f>IF($B76&lt;&gt;"",VLOOKUP($B76,CATLookup!$A$2:$E$271,3,FALSE),"")</f>
        <v/>
      </c>
      <c r="E76" s="48" t="str">
        <f>IF($B76&lt;&gt;"",VLOOKUP($B76,CATLookup!$A$2:$E$271,4,FALSE),"")</f>
        <v/>
      </c>
      <c r="F76" s="311"/>
      <c r="G76" s="311"/>
      <c r="H76" s="311"/>
      <c r="I76" s="311"/>
      <c r="J76" s="48"/>
      <c r="L76" s="47">
        <f t="shared" ref="L76:L139" si="3">IF(B76&lt;&gt;"",L75+1,1)</f>
        <v>1</v>
      </c>
    </row>
    <row r="77" spans="1:12" s="47" customFormat="1" ht="130.5" customHeight="1" x14ac:dyDescent="0.25">
      <c r="A77" s="47">
        <v>67</v>
      </c>
      <c r="B77" s="47" t="str">
        <f t="shared" si="2"/>
        <v/>
      </c>
      <c r="C77" s="48" t="str">
        <f>IF($B77&lt;&gt;"",VLOOKUP($B77,CATLookup!$A$2:$E$271,2,FALSE),"")</f>
        <v/>
      </c>
      <c r="D77" s="48" t="str">
        <f>IF($B77&lt;&gt;"",VLOOKUP($B77,CATLookup!$A$2:$E$271,3,FALSE),"")</f>
        <v/>
      </c>
      <c r="E77" s="48" t="str">
        <f>IF($B77&lt;&gt;"",VLOOKUP($B77,CATLookup!$A$2:$E$271,4,FALSE),"")</f>
        <v/>
      </c>
      <c r="F77" s="311"/>
      <c r="G77" s="311"/>
      <c r="H77" s="311"/>
      <c r="I77" s="311"/>
      <c r="J77" s="48"/>
      <c r="L77" s="47">
        <f t="shared" si="3"/>
        <v>1</v>
      </c>
    </row>
    <row r="78" spans="1:12" s="47" customFormat="1" ht="130.5" customHeight="1" x14ac:dyDescent="0.25">
      <c r="A78" s="47">
        <v>68</v>
      </c>
      <c r="B78" s="47" t="str">
        <f t="shared" si="2"/>
        <v/>
      </c>
      <c r="C78" s="48" t="str">
        <f>IF($B78&lt;&gt;"",VLOOKUP($B78,CATLookup!$A$2:$E$271,2,FALSE),"")</f>
        <v/>
      </c>
      <c r="D78" s="48" t="str">
        <f>IF($B78&lt;&gt;"",VLOOKUP($B78,CATLookup!$A$2:$E$271,3,FALSE),"")</f>
        <v/>
      </c>
      <c r="E78" s="48" t="str">
        <f>IF($B78&lt;&gt;"",VLOOKUP($B78,CATLookup!$A$2:$E$271,4,FALSE),"")</f>
        <v/>
      </c>
      <c r="F78" s="311"/>
      <c r="G78" s="311"/>
      <c r="H78" s="311"/>
      <c r="I78" s="311"/>
      <c r="J78" s="48"/>
      <c r="L78" s="47">
        <f t="shared" si="3"/>
        <v>1</v>
      </c>
    </row>
    <row r="79" spans="1:12" s="47" customFormat="1" ht="130.5" customHeight="1" x14ac:dyDescent="0.25">
      <c r="A79" s="47">
        <v>69</v>
      </c>
      <c r="B79" s="47" t="str">
        <f t="shared" si="2"/>
        <v/>
      </c>
      <c r="C79" s="48" t="str">
        <f>IF($B79&lt;&gt;"",VLOOKUP($B79,CATLookup!$A$2:$E$271,2,FALSE),"")</f>
        <v/>
      </c>
      <c r="D79" s="48" t="str">
        <f>IF($B79&lt;&gt;"",VLOOKUP($B79,CATLookup!$A$2:$E$271,3,FALSE),"")</f>
        <v/>
      </c>
      <c r="E79" s="48" t="str">
        <f>IF($B79&lt;&gt;"",VLOOKUP($B79,CATLookup!$A$2:$E$271,4,FALSE),"")</f>
        <v/>
      </c>
      <c r="F79" s="311"/>
      <c r="G79" s="311"/>
      <c r="H79" s="311"/>
      <c r="I79" s="311"/>
      <c r="J79" s="48"/>
      <c r="L79" s="47">
        <f t="shared" si="3"/>
        <v>1</v>
      </c>
    </row>
    <row r="80" spans="1:12" s="47" customFormat="1" ht="130.5" customHeight="1" x14ac:dyDescent="0.25">
      <c r="A80" s="47">
        <v>70</v>
      </c>
      <c r="B80" s="47" t="str">
        <f t="shared" si="2"/>
        <v/>
      </c>
      <c r="C80" s="48" t="str">
        <f>IF($B80&lt;&gt;"",VLOOKUP($B80,CATLookup!$A$2:$E$271,2,FALSE),"")</f>
        <v/>
      </c>
      <c r="D80" s="48" t="str">
        <f>IF($B80&lt;&gt;"",VLOOKUP($B80,CATLookup!$A$2:$E$271,3,FALSE),"")</f>
        <v/>
      </c>
      <c r="E80" s="48" t="str">
        <f>IF($B80&lt;&gt;"",VLOOKUP($B80,CATLookup!$A$2:$E$271,4,FALSE),"")</f>
        <v/>
      </c>
      <c r="F80" s="311"/>
      <c r="G80" s="311"/>
      <c r="H80" s="311"/>
      <c r="I80" s="311"/>
      <c r="J80" s="48"/>
      <c r="L80" s="47">
        <f t="shared" si="3"/>
        <v>1</v>
      </c>
    </row>
    <row r="81" spans="1:12" s="47" customFormat="1" ht="130.5" customHeight="1" x14ac:dyDescent="0.25">
      <c r="A81" s="47">
        <v>71</v>
      </c>
      <c r="B81" s="47" t="str">
        <f t="shared" si="2"/>
        <v/>
      </c>
      <c r="C81" s="48" t="str">
        <f>IF($B81&lt;&gt;"",VLOOKUP($B81,CATLookup!$A$2:$E$271,2,FALSE),"")</f>
        <v/>
      </c>
      <c r="D81" s="48" t="str">
        <f>IF($B81&lt;&gt;"",VLOOKUP($B81,CATLookup!$A$2:$E$271,3,FALSE),"")</f>
        <v/>
      </c>
      <c r="E81" s="48" t="str">
        <f>IF($B81&lt;&gt;"",VLOOKUP($B81,CATLookup!$A$2:$E$271,4,FALSE),"")</f>
        <v/>
      </c>
      <c r="F81" s="311"/>
      <c r="G81" s="311"/>
      <c r="H81" s="311"/>
      <c r="I81" s="311"/>
      <c r="J81" s="48"/>
      <c r="L81" s="47">
        <f t="shared" si="3"/>
        <v>1</v>
      </c>
    </row>
    <row r="82" spans="1:12" s="47" customFormat="1" ht="130.5" customHeight="1" x14ac:dyDescent="0.25">
      <c r="A82" s="47">
        <v>72</v>
      </c>
      <c r="B82" s="47" t="str">
        <f t="shared" si="2"/>
        <v/>
      </c>
      <c r="C82" s="48" t="str">
        <f>IF($B82&lt;&gt;"",VLOOKUP($B82,CATLookup!$A$2:$E$271,2,FALSE),"")</f>
        <v/>
      </c>
      <c r="D82" s="48" t="str">
        <f>IF($B82&lt;&gt;"",VLOOKUP($B82,CATLookup!$A$2:$E$271,3,FALSE),"")</f>
        <v/>
      </c>
      <c r="E82" s="48" t="str">
        <f>IF($B82&lt;&gt;"",VLOOKUP($B82,CATLookup!$A$2:$E$271,4,FALSE),"")</f>
        <v/>
      </c>
      <c r="F82" s="311"/>
      <c r="G82" s="311"/>
      <c r="H82" s="311"/>
      <c r="I82" s="311"/>
      <c r="J82" s="48"/>
      <c r="L82" s="47">
        <f t="shared" si="3"/>
        <v>1</v>
      </c>
    </row>
    <row r="83" spans="1:12" s="47" customFormat="1" ht="130.5" customHeight="1" x14ac:dyDescent="0.25">
      <c r="A83" s="47">
        <v>73</v>
      </c>
      <c r="B83" s="47" t="str">
        <f t="shared" si="2"/>
        <v/>
      </c>
      <c r="C83" s="48" t="str">
        <f>IF($B83&lt;&gt;"",VLOOKUP($B83,CATLookup!$A$2:$E$271,2,FALSE),"")</f>
        <v/>
      </c>
      <c r="D83" s="48" t="str">
        <f>IF($B83&lt;&gt;"",VLOOKUP($B83,CATLookup!$A$2:$E$271,3,FALSE),"")</f>
        <v/>
      </c>
      <c r="E83" s="48" t="str">
        <f>IF($B83&lt;&gt;"",VLOOKUP($B83,CATLookup!$A$2:$E$271,4,FALSE),"")</f>
        <v/>
      </c>
      <c r="F83" s="311"/>
      <c r="G83" s="311"/>
      <c r="H83" s="311"/>
      <c r="I83" s="311"/>
      <c r="J83" s="48"/>
      <c r="L83" s="47">
        <f t="shared" si="3"/>
        <v>1</v>
      </c>
    </row>
    <row r="84" spans="1:12" s="47" customFormat="1" ht="130.5" customHeight="1" x14ac:dyDescent="0.25">
      <c r="A84" s="47">
        <v>74</v>
      </c>
      <c r="B84" s="47" t="str">
        <f t="shared" si="2"/>
        <v/>
      </c>
      <c r="C84" s="48" t="str">
        <f>IF($B84&lt;&gt;"",VLOOKUP($B84,CATLookup!$A$2:$E$271,2,FALSE),"")</f>
        <v/>
      </c>
      <c r="D84" s="48" t="str">
        <f>IF($B84&lt;&gt;"",VLOOKUP($B84,CATLookup!$A$2:$E$271,3,FALSE),"")</f>
        <v/>
      </c>
      <c r="E84" s="48" t="str">
        <f>IF($B84&lt;&gt;"",VLOOKUP($B84,CATLookup!$A$2:$E$271,4,FALSE),"")</f>
        <v/>
      </c>
      <c r="F84" s="311"/>
      <c r="G84" s="311"/>
      <c r="H84" s="311"/>
      <c r="I84" s="311"/>
      <c r="J84" s="48"/>
      <c r="L84" s="47">
        <f t="shared" si="3"/>
        <v>1</v>
      </c>
    </row>
    <row r="85" spans="1:12" s="47" customFormat="1" ht="130.5" customHeight="1" x14ac:dyDescent="0.25">
      <c r="A85" s="47">
        <v>75</v>
      </c>
      <c r="B85" s="47" t="str">
        <f t="shared" si="2"/>
        <v/>
      </c>
      <c r="C85" s="48" t="str">
        <f>IF($B85&lt;&gt;"",VLOOKUP($B85,CATLookup!$A$2:$E$271,2,FALSE),"")</f>
        <v/>
      </c>
      <c r="D85" s="48" t="str">
        <f>IF($B85&lt;&gt;"",VLOOKUP($B85,CATLookup!$A$2:$E$271,3,FALSE),"")</f>
        <v/>
      </c>
      <c r="E85" s="48" t="str">
        <f>IF($B85&lt;&gt;"",VLOOKUP($B85,CATLookup!$A$2:$E$271,4,FALSE),"")</f>
        <v/>
      </c>
      <c r="F85" s="311"/>
      <c r="G85" s="311"/>
      <c r="H85" s="311"/>
      <c r="I85" s="311"/>
      <c r="J85" s="48"/>
      <c r="L85" s="47">
        <f t="shared" si="3"/>
        <v>1</v>
      </c>
    </row>
    <row r="86" spans="1:12" s="47" customFormat="1" ht="130.5" customHeight="1" x14ac:dyDescent="0.25">
      <c r="A86" s="47">
        <v>76</v>
      </c>
      <c r="B86" s="47" t="str">
        <f t="shared" si="2"/>
        <v/>
      </c>
      <c r="C86" s="48" t="str">
        <f>IF($B86&lt;&gt;"",VLOOKUP($B86,CATLookup!$A$2:$E$271,2,FALSE),"")</f>
        <v/>
      </c>
      <c r="D86" s="48" t="str">
        <f>IF($B86&lt;&gt;"",VLOOKUP($B86,CATLookup!$A$2:$E$271,3,FALSE),"")</f>
        <v/>
      </c>
      <c r="E86" s="48" t="str">
        <f>IF($B86&lt;&gt;"",VLOOKUP($B86,CATLookup!$A$2:$E$271,4,FALSE),"")</f>
        <v/>
      </c>
      <c r="F86" s="311"/>
      <c r="G86" s="311"/>
      <c r="H86" s="311"/>
      <c r="I86" s="311"/>
      <c r="J86" s="48"/>
      <c r="L86" s="47">
        <f t="shared" si="3"/>
        <v>1</v>
      </c>
    </row>
    <row r="87" spans="1:12" s="47" customFormat="1" ht="130.5" customHeight="1" x14ac:dyDescent="0.25">
      <c r="A87" s="47">
        <v>77</v>
      </c>
      <c r="B87" s="47" t="str">
        <f t="shared" si="2"/>
        <v/>
      </c>
      <c r="C87" s="48" t="str">
        <f>IF($B87&lt;&gt;"",VLOOKUP($B87,CATLookup!$A$2:$E$271,2,FALSE),"")</f>
        <v/>
      </c>
      <c r="D87" s="48" t="str">
        <f>IF($B87&lt;&gt;"",VLOOKUP($B87,CATLookup!$A$2:$E$271,3,FALSE),"")</f>
        <v/>
      </c>
      <c r="E87" s="48" t="str">
        <f>IF($B87&lt;&gt;"",VLOOKUP($B87,CATLookup!$A$2:$E$271,4,FALSE),"")</f>
        <v/>
      </c>
      <c r="F87" s="311"/>
      <c r="G87" s="311"/>
      <c r="H87" s="311"/>
      <c r="I87" s="311"/>
      <c r="J87" s="48"/>
      <c r="L87" s="47">
        <f t="shared" si="3"/>
        <v>1</v>
      </c>
    </row>
    <row r="88" spans="1:12" s="47" customFormat="1" ht="130.5" customHeight="1" x14ac:dyDescent="0.25">
      <c r="A88" s="47">
        <v>78</v>
      </c>
      <c r="B88" s="47" t="str">
        <f t="shared" si="2"/>
        <v/>
      </c>
      <c r="C88" s="48" t="str">
        <f>IF($B88&lt;&gt;"",VLOOKUP($B88,CATLookup!$A$2:$E$271,2,FALSE),"")</f>
        <v/>
      </c>
      <c r="D88" s="48" t="str">
        <f>IF($B88&lt;&gt;"",VLOOKUP($B88,CATLookup!$A$2:$E$271,3,FALSE),"")</f>
        <v/>
      </c>
      <c r="E88" s="48" t="str">
        <f>IF($B88&lt;&gt;"",VLOOKUP($B88,CATLookup!$A$2:$E$271,4,FALSE),"")</f>
        <v/>
      </c>
      <c r="F88" s="311"/>
      <c r="G88" s="311"/>
      <c r="H88" s="311"/>
      <c r="I88" s="311"/>
      <c r="J88" s="48"/>
      <c r="L88" s="47">
        <f t="shared" si="3"/>
        <v>1</v>
      </c>
    </row>
    <row r="89" spans="1:12" s="47" customFormat="1" ht="130.5" customHeight="1" x14ac:dyDescent="0.25">
      <c r="A89" s="47">
        <v>79</v>
      </c>
      <c r="B89" s="47" t="str">
        <f t="shared" si="2"/>
        <v/>
      </c>
      <c r="C89" s="48" t="str">
        <f>IF($B89&lt;&gt;"",VLOOKUP($B89,CATLookup!$A$2:$E$271,2,FALSE),"")</f>
        <v/>
      </c>
      <c r="D89" s="48" t="str">
        <f>IF($B89&lt;&gt;"",VLOOKUP($B89,CATLookup!$A$2:$E$271,3,FALSE),"")</f>
        <v/>
      </c>
      <c r="E89" s="48" t="str">
        <f>IF($B89&lt;&gt;"",VLOOKUP($B89,CATLookup!$A$2:$E$271,4,FALSE),"")</f>
        <v/>
      </c>
      <c r="F89" s="311"/>
      <c r="G89" s="311"/>
      <c r="H89" s="311"/>
      <c r="I89" s="311"/>
      <c r="J89" s="48"/>
      <c r="L89" s="47">
        <f t="shared" si="3"/>
        <v>1</v>
      </c>
    </row>
    <row r="90" spans="1:12" s="47" customFormat="1" ht="130.5" customHeight="1" x14ac:dyDescent="0.25">
      <c r="A90" s="47">
        <v>80</v>
      </c>
      <c r="B90" s="47" t="str">
        <f t="shared" si="2"/>
        <v/>
      </c>
      <c r="C90" s="48" t="str">
        <f>IF($B90&lt;&gt;"",VLOOKUP($B90,CATLookup!$A$2:$E$271,2,FALSE),"")</f>
        <v/>
      </c>
      <c r="D90" s="48" t="str">
        <f>IF($B90&lt;&gt;"",VLOOKUP($B90,CATLookup!$A$2:$E$271,3,FALSE),"")</f>
        <v/>
      </c>
      <c r="E90" s="48" t="str">
        <f>IF($B90&lt;&gt;"",VLOOKUP($B90,CATLookup!$A$2:$E$271,4,FALSE),"")</f>
        <v/>
      </c>
      <c r="F90" s="311"/>
      <c r="G90" s="311"/>
      <c r="H90" s="311"/>
      <c r="I90" s="311"/>
      <c r="J90" s="48"/>
      <c r="L90" s="47">
        <f t="shared" si="3"/>
        <v>1</v>
      </c>
    </row>
    <row r="91" spans="1:12" s="47" customFormat="1" ht="130.5" customHeight="1" x14ac:dyDescent="0.25">
      <c r="A91" s="47">
        <v>81</v>
      </c>
      <c r="B91" s="47" t="str">
        <f t="shared" si="2"/>
        <v/>
      </c>
      <c r="C91" s="48" t="str">
        <f>IF($B91&lt;&gt;"",VLOOKUP($B91,CATLookup!$A$2:$E$271,2,FALSE),"")</f>
        <v/>
      </c>
      <c r="D91" s="48" t="str">
        <f>IF($B91&lt;&gt;"",VLOOKUP($B91,CATLookup!$A$2:$E$271,3,FALSE),"")</f>
        <v/>
      </c>
      <c r="E91" s="48" t="str">
        <f>IF($B91&lt;&gt;"",VLOOKUP($B91,CATLookup!$A$2:$E$271,4,FALSE),"")</f>
        <v/>
      </c>
      <c r="F91" s="311"/>
      <c r="G91" s="311"/>
      <c r="H91" s="311"/>
      <c r="I91" s="311"/>
      <c r="J91" s="48"/>
      <c r="L91" s="47">
        <f t="shared" si="3"/>
        <v>1</v>
      </c>
    </row>
    <row r="92" spans="1:12" s="47" customFormat="1" ht="130.5" customHeight="1" x14ac:dyDescent="0.25">
      <c r="A92" s="47">
        <v>82</v>
      </c>
      <c r="B92" s="47" t="str">
        <f t="shared" si="2"/>
        <v/>
      </c>
      <c r="C92" s="48" t="str">
        <f>IF($B92&lt;&gt;"",VLOOKUP($B92,CATLookup!$A$2:$E$271,2,FALSE),"")</f>
        <v/>
      </c>
      <c r="D92" s="48" t="str">
        <f>IF($B92&lt;&gt;"",VLOOKUP($B92,CATLookup!$A$2:$E$271,3,FALSE),"")</f>
        <v/>
      </c>
      <c r="E92" s="48" t="str">
        <f>IF($B92&lt;&gt;"",VLOOKUP($B92,CATLookup!$A$2:$E$271,4,FALSE),"")</f>
        <v/>
      </c>
      <c r="F92" s="311"/>
      <c r="G92" s="311"/>
      <c r="H92" s="311"/>
      <c r="I92" s="311"/>
      <c r="J92" s="48"/>
      <c r="L92" s="47">
        <f t="shared" si="3"/>
        <v>1</v>
      </c>
    </row>
    <row r="93" spans="1:12" s="47" customFormat="1" ht="130.5" customHeight="1" x14ac:dyDescent="0.25">
      <c r="A93" s="47">
        <v>83</v>
      </c>
      <c r="B93" s="47" t="str">
        <f t="shared" si="2"/>
        <v/>
      </c>
      <c r="C93" s="48" t="str">
        <f>IF($B93&lt;&gt;"",VLOOKUP($B93,CATLookup!$A$2:$E$271,2,FALSE),"")</f>
        <v/>
      </c>
      <c r="D93" s="48" t="str">
        <f>IF($B93&lt;&gt;"",VLOOKUP($B93,CATLookup!$A$2:$E$271,3,FALSE),"")</f>
        <v/>
      </c>
      <c r="E93" s="48" t="str">
        <f>IF($B93&lt;&gt;"",VLOOKUP($B93,CATLookup!$A$2:$E$271,4,FALSE),"")</f>
        <v/>
      </c>
      <c r="F93" s="311"/>
      <c r="G93" s="311"/>
      <c r="H93" s="311"/>
      <c r="I93" s="311"/>
      <c r="J93" s="48"/>
      <c r="L93" s="47">
        <f t="shared" si="3"/>
        <v>1</v>
      </c>
    </row>
    <row r="94" spans="1:12" s="47" customFormat="1" ht="130.5" customHeight="1" x14ac:dyDescent="0.25">
      <c r="A94" s="47">
        <v>84</v>
      </c>
      <c r="B94" s="47" t="str">
        <f t="shared" si="2"/>
        <v/>
      </c>
      <c r="C94" s="48" t="str">
        <f>IF($B94&lt;&gt;"",VLOOKUP($B94,CATLookup!$A$2:$E$271,2,FALSE),"")</f>
        <v/>
      </c>
      <c r="D94" s="48" t="str">
        <f>IF($B94&lt;&gt;"",VLOOKUP($B94,CATLookup!$A$2:$E$271,3,FALSE),"")</f>
        <v/>
      </c>
      <c r="E94" s="48" t="str">
        <f>IF($B94&lt;&gt;"",VLOOKUP($B94,CATLookup!$A$2:$E$271,4,FALSE),"")</f>
        <v/>
      </c>
      <c r="F94" s="311"/>
      <c r="G94" s="311"/>
      <c r="H94" s="311"/>
      <c r="I94" s="311"/>
      <c r="J94" s="48"/>
      <c r="L94" s="47">
        <f t="shared" si="3"/>
        <v>1</v>
      </c>
    </row>
    <row r="95" spans="1:12" s="47" customFormat="1" ht="130.5" customHeight="1" x14ac:dyDescent="0.25">
      <c r="A95" s="47">
        <v>85</v>
      </c>
      <c r="B95" s="47" t="str">
        <f t="shared" si="2"/>
        <v/>
      </c>
      <c r="C95" s="48" t="str">
        <f>IF($B95&lt;&gt;"",VLOOKUP($B95,CATLookup!$A$2:$E$271,2,FALSE),"")</f>
        <v/>
      </c>
      <c r="D95" s="48" t="str">
        <f>IF($B95&lt;&gt;"",VLOOKUP($B95,CATLookup!$A$2:$E$271,3,FALSE),"")</f>
        <v/>
      </c>
      <c r="E95" s="48" t="str">
        <f>IF($B95&lt;&gt;"",VLOOKUP($B95,CATLookup!$A$2:$E$271,4,FALSE),"")</f>
        <v/>
      </c>
      <c r="F95" s="311"/>
      <c r="G95" s="311"/>
      <c r="H95" s="311"/>
      <c r="I95" s="311"/>
      <c r="J95" s="48"/>
      <c r="L95" s="47">
        <f t="shared" si="3"/>
        <v>1</v>
      </c>
    </row>
    <row r="96" spans="1:12" s="47" customFormat="1" ht="130.5" customHeight="1" x14ac:dyDescent="0.25">
      <c r="A96" s="47">
        <v>86</v>
      </c>
      <c r="B96" s="47" t="str">
        <f t="shared" si="2"/>
        <v/>
      </c>
      <c r="C96" s="48" t="str">
        <f>IF($B96&lt;&gt;"",VLOOKUP($B96,CATLookup!$A$2:$E$271,2,FALSE),"")</f>
        <v/>
      </c>
      <c r="D96" s="48" t="str">
        <f>IF($B96&lt;&gt;"",VLOOKUP($B96,CATLookup!$A$2:$E$271,3,FALSE),"")</f>
        <v/>
      </c>
      <c r="E96" s="48" t="str">
        <f>IF($B96&lt;&gt;"",VLOOKUP($B96,CATLookup!$A$2:$E$271,4,FALSE),"")</f>
        <v/>
      </c>
      <c r="F96" s="311"/>
      <c r="G96" s="311"/>
      <c r="H96" s="311"/>
      <c r="I96" s="311"/>
      <c r="J96" s="48"/>
      <c r="L96" s="47">
        <f t="shared" si="3"/>
        <v>1</v>
      </c>
    </row>
    <row r="97" spans="1:12" s="47" customFormat="1" ht="130.5" customHeight="1" x14ac:dyDescent="0.25">
      <c r="A97" s="47">
        <v>87</v>
      </c>
      <c r="B97" s="47" t="str">
        <f t="shared" si="2"/>
        <v/>
      </c>
      <c r="C97" s="48" t="str">
        <f>IF($B97&lt;&gt;"",VLOOKUP($B97,CATLookup!$A$2:$E$271,2,FALSE),"")</f>
        <v/>
      </c>
      <c r="D97" s="48" t="str">
        <f>IF($B97&lt;&gt;"",VLOOKUP($B97,CATLookup!$A$2:$E$271,3,FALSE),"")</f>
        <v/>
      </c>
      <c r="E97" s="48" t="str">
        <f>IF($B97&lt;&gt;"",VLOOKUP($B97,CATLookup!$A$2:$E$271,4,FALSE),"")</f>
        <v/>
      </c>
      <c r="F97" s="311"/>
      <c r="G97" s="311"/>
      <c r="H97" s="311"/>
      <c r="I97" s="311"/>
      <c r="J97" s="48"/>
      <c r="L97" s="47">
        <f t="shared" si="3"/>
        <v>1</v>
      </c>
    </row>
    <row r="98" spans="1:12" s="47" customFormat="1" ht="130.5" customHeight="1" x14ac:dyDescent="0.25">
      <c r="A98" s="47">
        <v>88</v>
      </c>
      <c r="B98" s="47" t="str">
        <f t="shared" si="2"/>
        <v/>
      </c>
      <c r="C98" s="48" t="str">
        <f>IF($B98&lt;&gt;"",VLOOKUP($B98,CATLookup!$A$2:$E$271,2,FALSE),"")</f>
        <v/>
      </c>
      <c r="D98" s="48" t="str">
        <f>IF($B98&lt;&gt;"",VLOOKUP($B98,CATLookup!$A$2:$E$271,3,FALSE),"")</f>
        <v/>
      </c>
      <c r="E98" s="48" t="str">
        <f>IF($B98&lt;&gt;"",VLOOKUP($B98,CATLookup!$A$2:$E$271,4,FALSE),"")</f>
        <v/>
      </c>
      <c r="F98" s="311"/>
      <c r="G98" s="311"/>
      <c r="H98" s="311"/>
      <c r="I98" s="311"/>
      <c r="J98" s="48"/>
      <c r="L98" s="47">
        <f t="shared" si="3"/>
        <v>1</v>
      </c>
    </row>
    <row r="99" spans="1:12" s="47" customFormat="1" ht="130.5" customHeight="1" x14ac:dyDescent="0.25">
      <c r="A99" s="47">
        <v>89</v>
      </c>
      <c r="B99" s="47" t="str">
        <f t="shared" si="2"/>
        <v/>
      </c>
      <c r="C99" s="48" t="str">
        <f>IF($B99&lt;&gt;"",VLOOKUP($B99,CATLookup!$A$2:$E$271,2,FALSE),"")</f>
        <v/>
      </c>
      <c r="D99" s="48" t="str">
        <f>IF($B99&lt;&gt;"",VLOOKUP($B99,CATLookup!$A$2:$E$271,3,FALSE),"")</f>
        <v/>
      </c>
      <c r="E99" s="48" t="str">
        <f>IF($B99&lt;&gt;"",VLOOKUP($B99,CATLookup!$A$2:$E$271,4,FALSE),"")</f>
        <v/>
      </c>
      <c r="F99" s="311"/>
      <c r="G99" s="311"/>
      <c r="H99" s="311"/>
      <c r="I99" s="311"/>
      <c r="J99" s="48"/>
      <c r="L99" s="47">
        <f t="shared" si="3"/>
        <v>1</v>
      </c>
    </row>
    <row r="100" spans="1:12" s="47" customFormat="1" ht="130.5" customHeight="1" x14ac:dyDescent="0.25">
      <c r="A100" s="47">
        <v>90</v>
      </c>
      <c r="B100" s="47" t="str">
        <f t="shared" si="2"/>
        <v/>
      </c>
      <c r="C100" s="48" t="str">
        <f>IF($B100&lt;&gt;"",VLOOKUP($B100,CATLookup!$A$2:$E$271,2,FALSE),"")</f>
        <v/>
      </c>
      <c r="D100" s="48" t="str">
        <f>IF($B100&lt;&gt;"",VLOOKUP($B100,CATLookup!$A$2:$E$271,3,FALSE),"")</f>
        <v/>
      </c>
      <c r="E100" s="48" t="str">
        <f>IF($B100&lt;&gt;"",VLOOKUP($B100,CATLookup!$A$2:$E$271,4,FALSE),"")</f>
        <v/>
      </c>
      <c r="F100" s="311"/>
      <c r="G100" s="311"/>
      <c r="H100" s="311"/>
      <c r="I100" s="311"/>
      <c r="J100" s="48"/>
      <c r="L100" s="47">
        <f t="shared" si="3"/>
        <v>1</v>
      </c>
    </row>
    <row r="101" spans="1:12" s="47" customFormat="1" ht="130.5" customHeight="1" x14ac:dyDescent="0.25">
      <c r="A101" s="47">
        <v>91</v>
      </c>
      <c r="B101" s="47" t="str">
        <f t="shared" si="2"/>
        <v/>
      </c>
      <c r="C101" s="48" t="str">
        <f>IF($B101&lt;&gt;"",VLOOKUP($B101,CATLookup!$A$2:$E$271,2,FALSE),"")</f>
        <v/>
      </c>
      <c r="D101" s="48" t="str">
        <f>IF($B101&lt;&gt;"",VLOOKUP($B101,CATLookup!$A$2:$E$271,3,FALSE),"")</f>
        <v/>
      </c>
      <c r="E101" s="48" t="str">
        <f>IF($B101&lt;&gt;"",VLOOKUP($B101,CATLookup!$A$2:$E$271,4,FALSE),"")</f>
        <v/>
      </c>
      <c r="F101" s="311"/>
      <c r="G101" s="311"/>
      <c r="H101" s="311"/>
      <c r="I101" s="311"/>
      <c r="J101" s="48"/>
      <c r="L101" s="47">
        <f t="shared" si="3"/>
        <v>1</v>
      </c>
    </row>
    <row r="102" spans="1:12" s="47" customFormat="1" ht="130.5" customHeight="1" x14ac:dyDescent="0.25">
      <c r="A102" s="47">
        <v>92</v>
      </c>
      <c r="B102" s="47" t="str">
        <f t="shared" si="2"/>
        <v/>
      </c>
      <c r="C102" s="48" t="str">
        <f>IF($B102&lt;&gt;"",VLOOKUP($B102,CATLookup!$A$2:$E$271,2,FALSE),"")</f>
        <v/>
      </c>
      <c r="D102" s="48" t="str">
        <f>IF($B102&lt;&gt;"",VLOOKUP($B102,CATLookup!$A$2:$E$271,3,FALSE),"")</f>
        <v/>
      </c>
      <c r="E102" s="48" t="str">
        <f>IF($B102&lt;&gt;"",VLOOKUP($B102,CATLookup!$A$2:$E$271,4,FALSE),"")</f>
        <v/>
      </c>
      <c r="F102" s="311"/>
      <c r="G102" s="311"/>
      <c r="H102" s="311"/>
      <c r="I102" s="311"/>
      <c r="J102" s="48"/>
      <c r="L102" s="47">
        <f t="shared" si="3"/>
        <v>1</v>
      </c>
    </row>
    <row r="103" spans="1:12" s="47" customFormat="1" ht="130.5" customHeight="1" x14ac:dyDescent="0.25">
      <c r="A103" s="47">
        <v>93</v>
      </c>
      <c r="B103" s="47" t="str">
        <f t="shared" si="2"/>
        <v/>
      </c>
      <c r="C103" s="48" t="str">
        <f>IF($B103&lt;&gt;"",VLOOKUP($B103,CATLookup!$A$2:$E$271,2,FALSE),"")</f>
        <v/>
      </c>
      <c r="D103" s="48" t="str">
        <f>IF($B103&lt;&gt;"",VLOOKUP($B103,CATLookup!$A$2:$E$271,3,FALSE),"")</f>
        <v/>
      </c>
      <c r="E103" s="48" t="str">
        <f>IF($B103&lt;&gt;"",VLOOKUP($B103,CATLookup!$A$2:$E$271,4,FALSE),"")</f>
        <v/>
      </c>
      <c r="F103" s="311"/>
      <c r="G103" s="311"/>
      <c r="H103" s="311"/>
      <c r="I103" s="311"/>
      <c r="J103" s="48"/>
      <c r="L103" s="47">
        <f t="shared" si="3"/>
        <v>1</v>
      </c>
    </row>
    <row r="104" spans="1:12" s="47" customFormat="1" ht="130.5" customHeight="1" x14ac:dyDescent="0.25">
      <c r="A104" s="47">
        <v>94</v>
      </c>
      <c r="B104" s="47" t="str">
        <f t="shared" si="2"/>
        <v/>
      </c>
      <c r="C104" s="48" t="str">
        <f>IF($B104&lt;&gt;"",VLOOKUP($B104,CATLookup!$A$2:$E$271,2,FALSE),"")</f>
        <v/>
      </c>
      <c r="D104" s="48" t="str">
        <f>IF($B104&lt;&gt;"",VLOOKUP($B104,CATLookup!$A$2:$E$271,3,FALSE),"")</f>
        <v/>
      </c>
      <c r="E104" s="48" t="str">
        <f>IF($B104&lt;&gt;"",VLOOKUP($B104,CATLookup!$A$2:$E$271,4,FALSE),"")</f>
        <v/>
      </c>
      <c r="F104" s="311"/>
      <c r="G104" s="311"/>
      <c r="H104" s="311"/>
      <c r="I104" s="311"/>
      <c r="J104" s="48"/>
      <c r="L104" s="47">
        <f t="shared" si="3"/>
        <v>1</v>
      </c>
    </row>
    <row r="105" spans="1:12" s="47" customFormat="1" ht="130.5" customHeight="1" x14ac:dyDescent="0.25">
      <c r="A105" s="47">
        <v>95</v>
      </c>
      <c r="B105" s="47" t="str">
        <f t="shared" si="2"/>
        <v/>
      </c>
      <c r="C105" s="48" t="str">
        <f>IF($B105&lt;&gt;"",VLOOKUP($B105,CATLookup!$A$2:$E$271,2,FALSE),"")</f>
        <v/>
      </c>
      <c r="D105" s="48" t="str">
        <f>IF($B105&lt;&gt;"",VLOOKUP($B105,CATLookup!$A$2:$E$271,3,FALSE),"")</f>
        <v/>
      </c>
      <c r="E105" s="48" t="str">
        <f>IF($B105&lt;&gt;"",VLOOKUP($B105,CATLookup!$A$2:$E$271,4,FALSE),"")</f>
        <v/>
      </c>
      <c r="F105" s="311"/>
      <c r="G105" s="311"/>
      <c r="H105" s="311"/>
      <c r="I105" s="311"/>
      <c r="J105" s="48"/>
      <c r="L105" s="47">
        <f t="shared" si="3"/>
        <v>1</v>
      </c>
    </row>
    <row r="106" spans="1:12" s="47" customFormat="1" ht="130.5" customHeight="1" x14ac:dyDescent="0.25">
      <c r="A106" s="47">
        <v>96</v>
      </c>
      <c r="B106" s="47" t="str">
        <f t="shared" si="2"/>
        <v/>
      </c>
      <c r="C106" s="48" t="str">
        <f>IF($B106&lt;&gt;"",VLOOKUP($B106,CATLookup!$A$2:$E$271,2,FALSE),"")</f>
        <v/>
      </c>
      <c r="D106" s="48" t="str">
        <f>IF($B106&lt;&gt;"",VLOOKUP($B106,CATLookup!$A$2:$E$271,3,FALSE),"")</f>
        <v/>
      </c>
      <c r="E106" s="48" t="str">
        <f>IF($B106&lt;&gt;"",VLOOKUP($B106,CATLookup!$A$2:$E$271,4,FALSE),"")</f>
        <v/>
      </c>
      <c r="F106" s="311"/>
      <c r="G106" s="311"/>
      <c r="H106" s="311"/>
      <c r="I106" s="311"/>
      <c r="J106" s="48"/>
      <c r="L106" s="47">
        <f t="shared" si="3"/>
        <v>1</v>
      </c>
    </row>
    <row r="107" spans="1:12" s="47" customFormat="1" ht="130.5" customHeight="1" x14ac:dyDescent="0.25">
      <c r="A107" s="47">
        <v>97</v>
      </c>
      <c r="B107" s="47" t="str">
        <f t="shared" si="2"/>
        <v/>
      </c>
      <c r="C107" s="48" t="str">
        <f>IF($B107&lt;&gt;"",VLOOKUP($B107,CATLookup!$A$2:$E$271,2,FALSE),"")</f>
        <v/>
      </c>
      <c r="D107" s="48" t="str">
        <f>IF($B107&lt;&gt;"",VLOOKUP($B107,CATLookup!$A$2:$E$271,3,FALSE),"")</f>
        <v/>
      </c>
      <c r="E107" s="48" t="str">
        <f>IF($B107&lt;&gt;"",VLOOKUP($B107,CATLookup!$A$2:$E$271,4,FALSE),"")</f>
        <v/>
      </c>
      <c r="F107" s="311"/>
      <c r="G107" s="311"/>
      <c r="H107" s="311"/>
      <c r="I107" s="311"/>
      <c r="J107" s="48"/>
      <c r="L107" s="47">
        <f t="shared" si="3"/>
        <v>1</v>
      </c>
    </row>
    <row r="108" spans="1:12" s="47" customFormat="1" ht="130.5" customHeight="1" x14ac:dyDescent="0.25">
      <c r="A108" s="47">
        <v>98</v>
      </c>
      <c r="B108" s="47" t="str">
        <f t="shared" si="2"/>
        <v/>
      </c>
      <c r="C108" s="48" t="str">
        <f>IF($B108&lt;&gt;"",VLOOKUP($B108,CATLookup!$A$2:$E$271,2,FALSE),"")</f>
        <v/>
      </c>
      <c r="D108" s="48" t="str">
        <f>IF($B108&lt;&gt;"",VLOOKUP($B108,CATLookup!$A$2:$E$271,3,FALSE),"")</f>
        <v/>
      </c>
      <c r="E108" s="48" t="str">
        <f>IF($B108&lt;&gt;"",VLOOKUP($B108,CATLookup!$A$2:$E$271,4,FALSE),"")</f>
        <v/>
      </c>
      <c r="F108" s="311"/>
      <c r="G108" s="311"/>
      <c r="H108" s="311"/>
      <c r="I108" s="311"/>
      <c r="J108" s="48"/>
      <c r="L108" s="47">
        <f t="shared" si="3"/>
        <v>1</v>
      </c>
    </row>
    <row r="109" spans="1:12" s="47" customFormat="1" ht="130.5" customHeight="1" x14ac:dyDescent="0.25">
      <c r="A109" s="47">
        <v>99</v>
      </c>
      <c r="B109" s="47" t="str">
        <f t="shared" si="2"/>
        <v/>
      </c>
      <c r="C109" s="48" t="str">
        <f>IF($B109&lt;&gt;"",VLOOKUP($B109,CATLookup!$A$2:$E$271,2,FALSE),"")</f>
        <v/>
      </c>
      <c r="D109" s="48" t="str">
        <f>IF($B109&lt;&gt;"",VLOOKUP($B109,CATLookup!$A$2:$E$271,3,FALSE),"")</f>
        <v/>
      </c>
      <c r="E109" s="48" t="str">
        <f>IF($B109&lt;&gt;"",VLOOKUP($B109,CATLookup!$A$2:$E$271,4,FALSE),"")</f>
        <v/>
      </c>
      <c r="F109" s="311"/>
      <c r="G109" s="311"/>
      <c r="H109" s="311"/>
      <c r="I109" s="311"/>
      <c r="J109" s="48"/>
      <c r="L109" s="47">
        <f t="shared" si="3"/>
        <v>1</v>
      </c>
    </row>
    <row r="110" spans="1:12" s="47" customFormat="1" ht="130.5" customHeight="1" x14ac:dyDescent="0.25">
      <c r="A110" s="47">
        <v>100</v>
      </c>
      <c r="B110" s="47" t="str">
        <f t="shared" si="2"/>
        <v/>
      </c>
      <c r="C110" s="48" t="str">
        <f>IF($B110&lt;&gt;"",VLOOKUP($B110,CATLookup!$A$2:$E$271,2,FALSE),"")</f>
        <v/>
      </c>
      <c r="D110" s="48" t="str">
        <f>IF($B110&lt;&gt;"",VLOOKUP($B110,CATLookup!$A$2:$E$271,3,FALSE),"")</f>
        <v/>
      </c>
      <c r="E110" s="48" t="str">
        <f>IF($B110&lt;&gt;"",VLOOKUP($B110,CATLookup!$A$2:$E$271,4,FALSE),"")</f>
        <v/>
      </c>
      <c r="F110" s="311"/>
      <c r="G110" s="311"/>
      <c r="H110" s="311"/>
      <c r="I110" s="311"/>
      <c r="J110" s="48"/>
      <c r="L110" s="47">
        <f t="shared" si="3"/>
        <v>1</v>
      </c>
    </row>
    <row r="111" spans="1:12" s="47" customFormat="1" ht="130.5" customHeight="1" x14ac:dyDescent="0.25">
      <c r="A111" s="47">
        <v>101</v>
      </c>
      <c r="B111" s="47" t="str">
        <f t="shared" si="2"/>
        <v/>
      </c>
      <c r="C111" s="48" t="str">
        <f>IF($B111&lt;&gt;"",VLOOKUP($B111,CATLookup!$A$2:$E$271,2,FALSE),"")</f>
        <v/>
      </c>
      <c r="D111" s="48" t="str">
        <f>IF($B111&lt;&gt;"",VLOOKUP($B111,CATLookup!$A$2:$E$271,3,FALSE),"")</f>
        <v/>
      </c>
      <c r="E111" s="48" t="str">
        <f>IF($B111&lt;&gt;"",VLOOKUP($B111,CATLookup!$A$2:$E$271,4,FALSE),"")</f>
        <v/>
      </c>
      <c r="F111" s="311"/>
      <c r="G111" s="311"/>
      <c r="H111" s="311"/>
      <c r="I111" s="311"/>
      <c r="J111" s="48"/>
      <c r="L111" s="47">
        <f t="shared" si="3"/>
        <v>1</v>
      </c>
    </row>
    <row r="112" spans="1:12" s="47" customFormat="1" ht="130.5" customHeight="1" x14ac:dyDescent="0.25">
      <c r="A112" s="47">
        <v>102</v>
      </c>
      <c r="B112" s="47" t="str">
        <f t="shared" si="2"/>
        <v/>
      </c>
      <c r="C112" s="48" t="str">
        <f>IF($B112&lt;&gt;"",VLOOKUP($B112,CATLookup!$A$2:$E$271,2,FALSE),"")</f>
        <v/>
      </c>
      <c r="D112" s="48" t="str">
        <f>IF($B112&lt;&gt;"",VLOOKUP($B112,CATLookup!$A$2:$E$271,3,FALSE),"")</f>
        <v/>
      </c>
      <c r="E112" s="48" t="str">
        <f>IF($B112&lt;&gt;"",VLOOKUP($B112,CATLookup!$A$2:$E$271,4,FALSE),"")</f>
        <v/>
      </c>
      <c r="F112" s="311"/>
      <c r="G112" s="311"/>
      <c r="H112" s="311"/>
      <c r="I112" s="311"/>
      <c r="J112" s="48"/>
      <c r="L112" s="47">
        <f t="shared" si="3"/>
        <v>1</v>
      </c>
    </row>
    <row r="113" spans="1:12" s="47" customFormat="1" ht="130.5" customHeight="1" x14ac:dyDescent="0.25">
      <c r="A113" s="47">
        <v>103</v>
      </c>
      <c r="B113" s="47" t="str">
        <f t="shared" si="2"/>
        <v/>
      </c>
      <c r="C113" s="48" t="str">
        <f>IF($B113&lt;&gt;"",VLOOKUP($B113,CATLookup!$A$2:$E$271,2,FALSE),"")</f>
        <v/>
      </c>
      <c r="D113" s="48" t="str">
        <f>IF($B113&lt;&gt;"",VLOOKUP($B113,CATLookup!$A$2:$E$271,3,FALSE),"")</f>
        <v/>
      </c>
      <c r="E113" s="48" t="str">
        <f>IF($B113&lt;&gt;"",VLOOKUP($B113,CATLookup!$A$2:$E$271,4,FALSE),"")</f>
        <v/>
      </c>
      <c r="F113" s="311"/>
      <c r="G113" s="311"/>
      <c r="H113" s="311"/>
      <c r="I113" s="311"/>
      <c r="J113" s="48"/>
      <c r="L113" s="47">
        <f t="shared" si="3"/>
        <v>1</v>
      </c>
    </row>
    <row r="114" spans="1:12" s="47" customFormat="1" ht="130.5" customHeight="1" x14ac:dyDescent="0.25">
      <c r="A114" s="47">
        <v>104</v>
      </c>
      <c r="B114" s="47" t="str">
        <f t="shared" si="2"/>
        <v/>
      </c>
      <c r="C114" s="48" t="str">
        <f>IF($B114&lt;&gt;"",VLOOKUP($B114,CATLookup!$A$2:$E$271,2,FALSE),"")</f>
        <v/>
      </c>
      <c r="D114" s="48" t="str">
        <f>IF($B114&lt;&gt;"",VLOOKUP($B114,CATLookup!$A$2:$E$271,3,FALSE),"")</f>
        <v/>
      </c>
      <c r="E114" s="48" t="str">
        <f>IF($B114&lt;&gt;"",VLOOKUP($B114,CATLookup!$A$2:$E$271,4,FALSE),"")</f>
        <v/>
      </c>
      <c r="F114" s="311"/>
      <c r="G114" s="311"/>
      <c r="H114" s="311"/>
      <c r="I114" s="311"/>
      <c r="J114" s="48"/>
      <c r="L114" s="47">
        <f t="shared" si="3"/>
        <v>1</v>
      </c>
    </row>
    <row r="115" spans="1:12" s="47" customFormat="1" ht="130.5" customHeight="1" x14ac:dyDescent="0.25">
      <c r="A115" s="47">
        <v>105</v>
      </c>
      <c r="B115" s="47" t="str">
        <f t="shared" si="2"/>
        <v/>
      </c>
      <c r="C115" s="48" t="str">
        <f>IF($B115&lt;&gt;"",VLOOKUP($B115,CATLookup!$A$2:$E$271,2,FALSE),"")</f>
        <v/>
      </c>
      <c r="D115" s="48" t="str">
        <f>IF($B115&lt;&gt;"",VLOOKUP($B115,CATLookup!$A$2:$E$271,3,FALSE),"")</f>
        <v/>
      </c>
      <c r="E115" s="48" t="str">
        <f>IF($B115&lt;&gt;"",VLOOKUP($B115,CATLookup!$A$2:$E$271,4,FALSE),"")</f>
        <v/>
      </c>
      <c r="F115" s="311"/>
      <c r="G115" s="311"/>
      <c r="H115" s="311"/>
      <c r="I115" s="311"/>
      <c r="J115" s="48"/>
      <c r="L115" s="47">
        <f t="shared" si="3"/>
        <v>1</v>
      </c>
    </row>
    <row r="116" spans="1:12" s="47" customFormat="1" ht="130.5" customHeight="1" x14ac:dyDescent="0.25">
      <c r="A116" s="47">
        <v>106</v>
      </c>
      <c r="B116" s="47" t="str">
        <f t="shared" si="2"/>
        <v/>
      </c>
      <c r="C116" s="48" t="str">
        <f>IF($B116&lt;&gt;"",VLOOKUP($B116,CATLookup!$A$2:$E$271,2,FALSE),"")</f>
        <v/>
      </c>
      <c r="D116" s="48" t="str">
        <f>IF($B116&lt;&gt;"",VLOOKUP($B116,CATLookup!$A$2:$E$271,3,FALSE),"")</f>
        <v/>
      </c>
      <c r="E116" s="48" t="str">
        <f>IF($B116&lt;&gt;"",VLOOKUP($B116,CATLookup!$A$2:$E$271,4,FALSE),"")</f>
        <v/>
      </c>
      <c r="F116" s="311"/>
      <c r="G116" s="311"/>
      <c r="H116" s="311"/>
      <c r="I116" s="311"/>
      <c r="J116" s="48"/>
      <c r="L116" s="47">
        <f t="shared" si="3"/>
        <v>1</v>
      </c>
    </row>
    <row r="117" spans="1:12" s="47" customFormat="1" ht="130.5" customHeight="1" x14ac:dyDescent="0.25">
      <c r="A117" s="47">
        <v>107</v>
      </c>
      <c r="B117" s="47" t="str">
        <f t="shared" si="2"/>
        <v/>
      </c>
      <c r="C117" s="48" t="str">
        <f>IF($B117&lt;&gt;"",VLOOKUP($B117,CATLookup!$A$2:$E$271,2,FALSE),"")</f>
        <v/>
      </c>
      <c r="D117" s="48" t="str">
        <f>IF($B117&lt;&gt;"",VLOOKUP($B117,CATLookup!$A$2:$E$271,3,FALSE),"")</f>
        <v/>
      </c>
      <c r="E117" s="48" t="str">
        <f>IF($B117&lt;&gt;"",VLOOKUP($B117,CATLookup!$A$2:$E$271,4,FALSE),"")</f>
        <v/>
      </c>
      <c r="F117" s="311"/>
      <c r="G117" s="311"/>
      <c r="H117" s="311"/>
      <c r="I117" s="311"/>
      <c r="J117" s="48"/>
      <c r="L117" s="47">
        <f t="shared" si="3"/>
        <v>1</v>
      </c>
    </row>
    <row r="118" spans="1:12" s="47" customFormat="1" ht="130.5" customHeight="1" x14ac:dyDescent="0.25">
      <c r="A118" s="47">
        <v>108</v>
      </c>
      <c r="B118" s="47" t="str">
        <f t="shared" si="2"/>
        <v/>
      </c>
      <c r="C118" s="48" t="str">
        <f>IF($B118&lt;&gt;"",VLOOKUP($B118,CATLookup!$A$2:$E$271,2,FALSE),"")</f>
        <v/>
      </c>
      <c r="D118" s="48" t="str">
        <f>IF($B118&lt;&gt;"",VLOOKUP($B118,CATLookup!$A$2:$E$271,3,FALSE),"")</f>
        <v/>
      </c>
      <c r="E118" s="48" t="str">
        <f>IF($B118&lt;&gt;"",VLOOKUP($B118,CATLookup!$A$2:$E$271,4,FALSE),"")</f>
        <v/>
      </c>
      <c r="F118" s="311"/>
      <c r="G118" s="311"/>
      <c r="H118" s="311"/>
      <c r="I118" s="311"/>
      <c r="J118" s="48"/>
      <c r="L118" s="47">
        <f t="shared" si="3"/>
        <v>1</v>
      </c>
    </row>
    <row r="119" spans="1:12" s="47" customFormat="1" ht="130.5" customHeight="1" x14ac:dyDescent="0.25">
      <c r="A119" s="47">
        <v>109</v>
      </c>
      <c r="B119" s="47" t="str">
        <f t="shared" si="2"/>
        <v/>
      </c>
      <c r="C119" s="48" t="str">
        <f>IF($B119&lt;&gt;"",VLOOKUP($B119,CATLookup!$A$2:$E$271,2,FALSE),"")</f>
        <v/>
      </c>
      <c r="D119" s="48" t="str">
        <f>IF($B119&lt;&gt;"",VLOOKUP($B119,CATLookup!$A$2:$E$271,3,FALSE),"")</f>
        <v/>
      </c>
      <c r="E119" s="48" t="str">
        <f>IF($B119&lt;&gt;"",VLOOKUP($B119,CATLookup!$A$2:$E$271,4,FALSE),"")</f>
        <v/>
      </c>
      <c r="F119" s="311"/>
      <c r="G119" s="311"/>
      <c r="H119" s="311"/>
      <c r="I119" s="311"/>
      <c r="J119" s="48"/>
      <c r="L119" s="47">
        <f t="shared" si="3"/>
        <v>1</v>
      </c>
    </row>
    <row r="120" spans="1:12" s="47" customFormat="1" ht="130.5" customHeight="1" x14ac:dyDescent="0.25">
      <c r="A120" s="47">
        <v>110</v>
      </c>
      <c r="B120" s="47" t="str">
        <f t="shared" si="2"/>
        <v/>
      </c>
      <c r="C120" s="48" t="str">
        <f>IF($B120&lt;&gt;"",VLOOKUP($B120,CATLookup!$A$2:$E$271,2,FALSE),"")</f>
        <v/>
      </c>
      <c r="D120" s="48" t="str">
        <f>IF($B120&lt;&gt;"",VLOOKUP($B120,CATLookup!$A$2:$E$271,3,FALSE),"")</f>
        <v/>
      </c>
      <c r="E120" s="48" t="str">
        <f>IF($B120&lt;&gt;"",VLOOKUP($B120,CATLookup!$A$2:$E$271,4,FALSE),"")</f>
        <v/>
      </c>
      <c r="F120" s="311"/>
      <c r="G120" s="311"/>
      <c r="H120" s="311"/>
      <c r="I120" s="311"/>
      <c r="J120" s="48"/>
      <c r="L120" s="47">
        <f t="shared" si="3"/>
        <v>1</v>
      </c>
    </row>
    <row r="121" spans="1:12" s="47" customFormat="1" ht="130.5" customHeight="1" x14ac:dyDescent="0.25">
      <c r="A121" s="47">
        <v>111</v>
      </c>
      <c r="B121" s="47" t="str">
        <f t="shared" si="2"/>
        <v/>
      </c>
      <c r="C121" s="48" t="str">
        <f>IF($B121&lt;&gt;"",VLOOKUP($B121,CATLookup!$A$2:$E$271,2,FALSE),"")</f>
        <v/>
      </c>
      <c r="D121" s="48" t="str">
        <f>IF($B121&lt;&gt;"",VLOOKUP($B121,CATLookup!$A$2:$E$271,3,FALSE),"")</f>
        <v/>
      </c>
      <c r="E121" s="48" t="str">
        <f>IF($B121&lt;&gt;"",VLOOKUP($B121,CATLookup!$A$2:$E$271,4,FALSE),"")</f>
        <v/>
      </c>
      <c r="F121" s="311"/>
      <c r="G121" s="311"/>
      <c r="H121" s="311"/>
      <c r="I121" s="311"/>
      <c r="J121" s="48"/>
      <c r="L121" s="47">
        <f t="shared" si="3"/>
        <v>1</v>
      </c>
    </row>
    <row r="122" spans="1:12" s="47" customFormat="1" ht="130.5" customHeight="1" x14ac:dyDescent="0.25">
      <c r="A122" s="47">
        <v>112</v>
      </c>
      <c r="B122" s="47" t="str">
        <f t="shared" si="2"/>
        <v/>
      </c>
      <c r="C122" s="48" t="str">
        <f>IF($B122&lt;&gt;"",VLOOKUP($B122,CATLookup!$A$2:$E$271,2,FALSE),"")</f>
        <v/>
      </c>
      <c r="D122" s="48" t="str">
        <f>IF($B122&lt;&gt;"",VLOOKUP($B122,CATLookup!$A$2:$E$271,3,FALSE),"")</f>
        <v/>
      </c>
      <c r="E122" s="48" t="str">
        <f>IF($B122&lt;&gt;"",VLOOKUP($B122,CATLookup!$A$2:$E$271,4,FALSE),"")</f>
        <v/>
      </c>
      <c r="F122" s="311"/>
      <c r="G122" s="311"/>
      <c r="H122" s="311"/>
      <c r="I122" s="311"/>
      <c r="J122" s="48"/>
      <c r="L122" s="47">
        <f t="shared" si="3"/>
        <v>1</v>
      </c>
    </row>
    <row r="123" spans="1:12" s="47" customFormat="1" ht="130.5" customHeight="1" x14ac:dyDescent="0.25">
      <c r="A123" s="47">
        <v>113</v>
      </c>
      <c r="B123" s="47" t="str">
        <f t="shared" si="2"/>
        <v/>
      </c>
      <c r="C123" s="48" t="str">
        <f>IF($B123&lt;&gt;"",VLOOKUP($B123,CATLookup!$A$2:$E$271,2,FALSE),"")</f>
        <v/>
      </c>
      <c r="D123" s="48" t="str">
        <f>IF($B123&lt;&gt;"",VLOOKUP($B123,CATLookup!$A$2:$E$271,3,FALSE),"")</f>
        <v/>
      </c>
      <c r="E123" s="48" t="str">
        <f>IF($B123&lt;&gt;"",VLOOKUP($B123,CATLookup!$A$2:$E$271,4,FALSE),"")</f>
        <v/>
      </c>
      <c r="F123" s="311"/>
      <c r="G123" s="311"/>
      <c r="H123" s="311"/>
      <c r="I123" s="311"/>
      <c r="J123" s="48"/>
      <c r="L123" s="47">
        <f t="shared" si="3"/>
        <v>1</v>
      </c>
    </row>
    <row r="124" spans="1:12" s="47" customFormat="1" ht="130.5" customHeight="1" x14ac:dyDescent="0.25">
      <c r="A124" s="47">
        <v>114</v>
      </c>
      <c r="B124" s="47" t="str">
        <f t="shared" si="2"/>
        <v/>
      </c>
      <c r="C124" s="48" t="str">
        <f>IF($B124&lt;&gt;"",VLOOKUP($B124,CATLookup!$A$2:$E$271,2,FALSE),"")</f>
        <v/>
      </c>
      <c r="D124" s="48" t="str">
        <f>IF($B124&lt;&gt;"",VLOOKUP($B124,CATLookup!$A$2:$E$271,3,FALSE),"")</f>
        <v/>
      </c>
      <c r="E124" s="48" t="str">
        <f>IF($B124&lt;&gt;"",VLOOKUP($B124,CATLookup!$A$2:$E$271,4,FALSE),"")</f>
        <v/>
      </c>
      <c r="F124" s="311"/>
      <c r="G124" s="311"/>
      <c r="H124" s="311"/>
      <c r="I124" s="311"/>
      <c r="J124" s="48"/>
      <c r="L124" s="47">
        <f t="shared" si="3"/>
        <v>1</v>
      </c>
    </row>
    <row r="125" spans="1:12" s="47" customFormat="1" ht="130.5" customHeight="1" x14ac:dyDescent="0.25">
      <c r="A125" s="47">
        <v>115</v>
      </c>
      <c r="B125" s="47" t="str">
        <f t="shared" si="2"/>
        <v/>
      </c>
      <c r="C125" s="48" t="str">
        <f>IF($B125&lt;&gt;"",VLOOKUP($B125,CATLookup!$A$2:$E$271,2,FALSE),"")</f>
        <v/>
      </c>
      <c r="D125" s="48" t="str">
        <f>IF($B125&lt;&gt;"",VLOOKUP($B125,CATLookup!$A$2:$E$271,3,FALSE),"")</f>
        <v/>
      </c>
      <c r="E125" s="48" t="str">
        <f>IF($B125&lt;&gt;"",VLOOKUP($B125,CATLookup!$A$2:$E$271,4,FALSE),"")</f>
        <v/>
      </c>
      <c r="F125" s="311"/>
      <c r="G125" s="311"/>
      <c r="H125" s="311"/>
      <c r="I125" s="311"/>
      <c r="J125" s="48"/>
      <c r="L125" s="47">
        <f t="shared" si="3"/>
        <v>1</v>
      </c>
    </row>
    <row r="126" spans="1:12" s="47" customFormat="1" ht="130.5" customHeight="1" x14ac:dyDescent="0.25">
      <c r="A126" s="47">
        <v>116</v>
      </c>
      <c r="B126" s="47" t="str">
        <f t="shared" si="2"/>
        <v/>
      </c>
      <c r="C126" s="48" t="str">
        <f>IF($B126&lt;&gt;"",VLOOKUP($B126,CATLookup!$A$2:$E$271,2,FALSE),"")</f>
        <v/>
      </c>
      <c r="D126" s="48" t="str">
        <f>IF($B126&lt;&gt;"",VLOOKUP($B126,CATLookup!$A$2:$E$271,3,FALSE),"")</f>
        <v/>
      </c>
      <c r="E126" s="48" t="str">
        <f>IF($B126&lt;&gt;"",VLOOKUP($B126,CATLookup!$A$2:$E$271,4,FALSE),"")</f>
        <v/>
      </c>
      <c r="F126" s="311"/>
      <c r="G126" s="311"/>
      <c r="H126" s="311"/>
      <c r="I126" s="311"/>
      <c r="J126" s="48"/>
      <c r="L126" s="47">
        <f t="shared" si="3"/>
        <v>1</v>
      </c>
    </row>
    <row r="127" spans="1:12" s="47" customFormat="1" ht="130.5" customHeight="1" x14ac:dyDescent="0.25">
      <c r="A127" s="47">
        <v>117</v>
      </c>
      <c r="B127" s="47" t="str">
        <f t="shared" si="2"/>
        <v/>
      </c>
      <c r="C127" s="48" t="str">
        <f>IF($B127&lt;&gt;"",VLOOKUP($B127,CATLookup!$A$2:$E$271,2,FALSE),"")</f>
        <v/>
      </c>
      <c r="D127" s="48" t="str">
        <f>IF($B127&lt;&gt;"",VLOOKUP($B127,CATLookup!$A$2:$E$271,3,FALSE),"")</f>
        <v/>
      </c>
      <c r="E127" s="48" t="str">
        <f>IF($B127&lt;&gt;"",VLOOKUP($B127,CATLookup!$A$2:$E$271,4,FALSE),"")</f>
        <v/>
      </c>
      <c r="F127" s="311"/>
      <c r="G127" s="311"/>
      <c r="H127" s="311"/>
      <c r="I127" s="311"/>
      <c r="J127" s="48"/>
      <c r="L127" s="47">
        <f t="shared" si="3"/>
        <v>1</v>
      </c>
    </row>
    <row r="128" spans="1:12" s="47" customFormat="1" ht="130.5" customHeight="1" x14ac:dyDescent="0.25">
      <c r="A128" s="47">
        <v>118</v>
      </c>
      <c r="B128" s="47" t="str">
        <f t="shared" si="2"/>
        <v/>
      </c>
      <c r="C128" s="48" t="str">
        <f>IF($B128&lt;&gt;"",VLOOKUP($B128,CATLookup!$A$2:$E$271,2,FALSE),"")</f>
        <v/>
      </c>
      <c r="D128" s="48" t="str">
        <f>IF($B128&lt;&gt;"",VLOOKUP($B128,CATLookup!$A$2:$E$271,3,FALSE),"")</f>
        <v/>
      </c>
      <c r="E128" s="48" t="str">
        <f>IF($B128&lt;&gt;"",VLOOKUP($B128,CATLookup!$A$2:$E$271,4,FALSE),"")</f>
        <v/>
      </c>
      <c r="F128" s="311"/>
      <c r="G128" s="311"/>
      <c r="H128" s="311"/>
      <c r="I128" s="311"/>
      <c r="J128" s="48"/>
      <c r="L128" s="47">
        <f t="shared" si="3"/>
        <v>1</v>
      </c>
    </row>
    <row r="129" spans="1:12" s="47" customFormat="1" ht="130.5" customHeight="1" x14ac:dyDescent="0.25">
      <c r="A129" s="47">
        <v>119</v>
      </c>
      <c r="B129" s="47" t="str">
        <f t="shared" si="2"/>
        <v/>
      </c>
      <c r="C129" s="48" t="str">
        <f>IF($B129&lt;&gt;"",VLOOKUP($B129,CATLookup!$A$2:$E$271,2,FALSE),"")</f>
        <v/>
      </c>
      <c r="D129" s="48" t="str">
        <f>IF($B129&lt;&gt;"",VLOOKUP($B129,CATLookup!$A$2:$E$271,3,FALSE),"")</f>
        <v/>
      </c>
      <c r="E129" s="48" t="str">
        <f>IF($B129&lt;&gt;"",VLOOKUP($B129,CATLookup!$A$2:$E$271,4,FALSE),"")</f>
        <v/>
      </c>
      <c r="F129" s="311"/>
      <c r="G129" s="311"/>
      <c r="H129" s="311"/>
      <c r="I129" s="311"/>
      <c r="J129" s="48"/>
      <c r="L129" s="47">
        <f t="shared" si="3"/>
        <v>1</v>
      </c>
    </row>
    <row r="130" spans="1:12" s="47" customFormat="1" ht="130.5" customHeight="1" x14ac:dyDescent="0.25">
      <c r="A130" s="47">
        <v>120</v>
      </c>
      <c r="B130" s="47" t="str">
        <f t="shared" si="2"/>
        <v/>
      </c>
      <c r="C130" s="48" t="str">
        <f>IF($B130&lt;&gt;"",VLOOKUP($B130,CATLookup!$A$2:$E$271,2,FALSE),"")</f>
        <v/>
      </c>
      <c r="D130" s="48" t="str">
        <f>IF($B130&lt;&gt;"",VLOOKUP($B130,CATLookup!$A$2:$E$271,3,FALSE),"")</f>
        <v/>
      </c>
      <c r="E130" s="48" t="str">
        <f>IF($B130&lt;&gt;"",VLOOKUP($B130,CATLookup!$A$2:$E$271,4,FALSE),"")</f>
        <v/>
      </c>
      <c r="F130" s="311"/>
      <c r="G130" s="311"/>
      <c r="H130" s="311"/>
      <c r="I130" s="311"/>
      <c r="J130" s="48"/>
      <c r="L130" s="47">
        <f t="shared" si="3"/>
        <v>1</v>
      </c>
    </row>
    <row r="131" spans="1:12" s="47" customFormat="1" ht="130.5" customHeight="1" x14ac:dyDescent="0.25">
      <c r="A131" s="47">
        <v>121</v>
      </c>
      <c r="B131" s="47" t="str">
        <f t="shared" si="2"/>
        <v/>
      </c>
      <c r="C131" s="48" t="str">
        <f>IF($B131&lt;&gt;"",VLOOKUP($B131,CATLookup!$A$2:$E$271,2,FALSE),"")</f>
        <v/>
      </c>
      <c r="D131" s="48" t="str">
        <f>IF($B131&lt;&gt;"",VLOOKUP($B131,CATLookup!$A$2:$E$271,3,FALSE),"")</f>
        <v/>
      </c>
      <c r="E131" s="48" t="str">
        <f>IF($B131&lt;&gt;"",VLOOKUP($B131,CATLookup!$A$2:$E$271,4,FALSE),"")</f>
        <v/>
      </c>
      <c r="F131" s="311"/>
      <c r="G131" s="311"/>
      <c r="H131" s="311"/>
      <c r="I131" s="311"/>
      <c r="J131" s="48"/>
      <c r="L131" s="47">
        <f t="shared" si="3"/>
        <v>1</v>
      </c>
    </row>
    <row r="132" spans="1:12" s="47" customFormat="1" ht="130.5" customHeight="1" x14ac:dyDescent="0.25">
      <c r="A132" s="47">
        <v>122</v>
      </c>
      <c r="B132" s="47" t="str">
        <f t="shared" si="2"/>
        <v/>
      </c>
      <c r="C132" s="48" t="str">
        <f>IF($B132&lt;&gt;"",VLOOKUP($B132,CATLookup!$A$2:$E$271,2,FALSE),"")</f>
        <v/>
      </c>
      <c r="D132" s="48" t="str">
        <f>IF($B132&lt;&gt;"",VLOOKUP($B132,CATLookup!$A$2:$E$271,3,FALSE),"")</f>
        <v/>
      </c>
      <c r="E132" s="48" t="str">
        <f>IF($B132&lt;&gt;"",VLOOKUP($B132,CATLookup!$A$2:$E$271,4,FALSE),"")</f>
        <v/>
      </c>
      <c r="F132" s="311"/>
      <c r="G132" s="311"/>
      <c r="H132" s="311"/>
      <c r="I132" s="311"/>
      <c r="J132" s="48"/>
      <c r="L132" s="47">
        <f t="shared" si="3"/>
        <v>1</v>
      </c>
    </row>
    <row r="133" spans="1:12" s="47" customFormat="1" ht="130.5" customHeight="1" x14ac:dyDescent="0.25">
      <c r="A133" s="47">
        <v>123</v>
      </c>
      <c r="B133" s="47" t="str">
        <f t="shared" si="2"/>
        <v/>
      </c>
      <c r="C133" s="48" t="str">
        <f>IF($B133&lt;&gt;"",VLOOKUP($B133,CATLookup!$A$2:$E$271,2,FALSE),"")</f>
        <v/>
      </c>
      <c r="D133" s="48" t="str">
        <f>IF($B133&lt;&gt;"",VLOOKUP($B133,CATLookup!$A$2:$E$271,3,FALSE),"")</f>
        <v/>
      </c>
      <c r="E133" s="48" t="str">
        <f>IF($B133&lt;&gt;"",VLOOKUP($B133,CATLookup!$A$2:$E$271,4,FALSE),"")</f>
        <v/>
      </c>
      <c r="F133" s="311"/>
      <c r="G133" s="311"/>
      <c r="H133" s="311"/>
      <c r="I133" s="311"/>
      <c r="J133" s="48"/>
      <c r="L133" s="47">
        <f t="shared" si="3"/>
        <v>1</v>
      </c>
    </row>
    <row r="134" spans="1:12" s="47" customFormat="1" ht="130.5" customHeight="1" x14ac:dyDescent="0.25">
      <c r="A134" s="47">
        <v>124</v>
      </c>
      <c r="B134" s="47" t="str">
        <f t="shared" si="2"/>
        <v/>
      </c>
      <c r="C134" s="48" t="str">
        <f>IF($B134&lt;&gt;"",VLOOKUP($B134,CATLookup!$A$2:$E$271,2,FALSE),"")</f>
        <v/>
      </c>
      <c r="D134" s="48" t="str">
        <f>IF($B134&lt;&gt;"",VLOOKUP($B134,CATLookup!$A$2:$E$271,3,FALSE),"")</f>
        <v/>
      </c>
      <c r="E134" s="48" t="str">
        <f>IF($B134&lt;&gt;"",VLOOKUP($B134,CATLookup!$A$2:$E$271,4,FALSE),"")</f>
        <v/>
      </c>
      <c r="F134" s="311"/>
      <c r="G134" s="311"/>
      <c r="H134" s="311"/>
      <c r="I134" s="311"/>
      <c r="J134" s="48"/>
      <c r="L134" s="47">
        <f t="shared" si="3"/>
        <v>1</v>
      </c>
    </row>
    <row r="135" spans="1:12" s="47" customFormat="1" ht="130.5" customHeight="1" x14ac:dyDescent="0.25">
      <c r="A135" s="47">
        <v>125</v>
      </c>
      <c r="B135" s="47" t="str">
        <f t="shared" si="2"/>
        <v/>
      </c>
      <c r="C135" s="48" t="str">
        <f>IF($B135&lt;&gt;"",VLOOKUP($B135,CATLookup!$A$2:$E$271,2,FALSE),"")</f>
        <v/>
      </c>
      <c r="D135" s="48" t="str">
        <f>IF($B135&lt;&gt;"",VLOOKUP($B135,CATLookup!$A$2:$E$271,3,FALSE),"")</f>
        <v/>
      </c>
      <c r="E135" s="48" t="str">
        <f>IF($B135&lt;&gt;"",VLOOKUP($B135,CATLookup!$A$2:$E$271,4,FALSE),"")</f>
        <v/>
      </c>
      <c r="F135" s="311"/>
      <c r="G135" s="311"/>
      <c r="H135" s="311"/>
      <c r="I135" s="311"/>
      <c r="J135" s="48"/>
      <c r="L135" s="47">
        <f t="shared" si="3"/>
        <v>1</v>
      </c>
    </row>
    <row r="136" spans="1:12" s="47" customFormat="1" ht="130.5" customHeight="1" x14ac:dyDescent="0.25">
      <c r="A136" s="47">
        <v>126</v>
      </c>
      <c r="B136" s="47" t="str">
        <f t="shared" si="2"/>
        <v/>
      </c>
      <c r="C136" s="48" t="str">
        <f>IF($B136&lt;&gt;"",VLOOKUP($B136,CATLookup!$A$2:$E$271,2,FALSE),"")</f>
        <v/>
      </c>
      <c r="D136" s="48" t="str">
        <f>IF($B136&lt;&gt;"",VLOOKUP($B136,CATLookup!$A$2:$E$271,3,FALSE),"")</f>
        <v/>
      </c>
      <c r="E136" s="48" t="str">
        <f>IF($B136&lt;&gt;"",VLOOKUP($B136,CATLookup!$A$2:$E$271,4,FALSE),"")</f>
        <v/>
      </c>
      <c r="F136" s="311"/>
      <c r="G136" s="311"/>
      <c r="H136" s="311"/>
      <c r="I136" s="311"/>
      <c r="J136" s="48"/>
      <c r="L136" s="47">
        <f t="shared" si="3"/>
        <v>1</v>
      </c>
    </row>
    <row r="137" spans="1:12" s="47" customFormat="1" ht="130.5" customHeight="1" x14ac:dyDescent="0.25">
      <c r="A137" s="47">
        <v>127</v>
      </c>
      <c r="B137" s="47" t="str">
        <f t="shared" si="2"/>
        <v/>
      </c>
      <c r="C137" s="48" t="str">
        <f>IF($B137&lt;&gt;"",VLOOKUP($B137,CATLookup!$A$2:$E$271,2,FALSE),"")</f>
        <v/>
      </c>
      <c r="D137" s="48" t="str">
        <f>IF($B137&lt;&gt;"",VLOOKUP($B137,CATLookup!$A$2:$E$271,3,FALSE),"")</f>
        <v/>
      </c>
      <c r="E137" s="48" t="str">
        <f>IF($B137&lt;&gt;"",VLOOKUP($B137,CATLookup!$A$2:$E$271,4,FALSE),"")</f>
        <v/>
      </c>
      <c r="F137" s="311"/>
      <c r="G137" s="311"/>
      <c r="H137" s="311"/>
      <c r="I137" s="311"/>
      <c r="J137" s="48"/>
      <c r="L137" s="47">
        <f t="shared" si="3"/>
        <v>1</v>
      </c>
    </row>
    <row r="138" spans="1:12" s="47" customFormat="1" ht="130.5" customHeight="1" x14ac:dyDescent="0.25">
      <c r="A138" s="47">
        <v>128</v>
      </c>
      <c r="B138" s="47" t="str">
        <f t="shared" si="2"/>
        <v/>
      </c>
      <c r="C138" s="48" t="str">
        <f>IF($B138&lt;&gt;"",VLOOKUP($B138,CATLookup!$A$2:$E$271,2,FALSE),"")</f>
        <v/>
      </c>
      <c r="D138" s="48" t="str">
        <f>IF($B138&lt;&gt;"",VLOOKUP($B138,CATLookup!$A$2:$E$271,3,FALSE),"")</f>
        <v/>
      </c>
      <c r="E138" s="48" t="str">
        <f>IF($B138&lt;&gt;"",VLOOKUP($B138,CATLookup!$A$2:$E$271,4,FALSE),"")</f>
        <v/>
      </c>
      <c r="F138" s="311"/>
      <c r="G138" s="311"/>
      <c r="H138" s="311"/>
      <c r="I138" s="311"/>
      <c r="J138" s="48"/>
      <c r="L138" s="47">
        <f t="shared" si="3"/>
        <v>1</v>
      </c>
    </row>
    <row r="139" spans="1:12" s="47" customFormat="1" ht="130.5" customHeight="1" x14ac:dyDescent="0.25">
      <c r="A139" s="47">
        <v>129</v>
      </c>
      <c r="B139" s="47" t="str">
        <f t="shared" si="2"/>
        <v/>
      </c>
      <c r="C139" s="48" t="str">
        <f>IF($B139&lt;&gt;"",VLOOKUP($B139,CATLookup!$A$2:$E$271,2,FALSE),"")</f>
        <v/>
      </c>
      <c r="D139" s="48" t="str">
        <f>IF($B139&lt;&gt;"",VLOOKUP($B139,CATLookup!$A$2:$E$271,3,FALSE),"")</f>
        <v/>
      </c>
      <c r="E139" s="48" t="str">
        <f>IF($B139&lt;&gt;"",VLOOKUP($B139,CATLookup!$A$2:$E$271,4,FALSE),"")</f>
        <v/>
      </c>
      <c r="F139" s="311"/>
      <c r="G139" s="311"/>
      <c r="H139" s="311"/>
      <c r="I139" s="311"/>
      <c r="J139" s="48"/>
      <c r="L139" s="47">
        <f t="shared" si="3"/>
        <v>1</v>
      </c>
    </row>
    <row r="140" spans="1:12" s="47" customFormat="1" ht="130.5" customHeight="1" x14ac:dyDescent="0.25">
      <c r="A140" s="47">
        <v>130</v>
      </c>
      <c r="B140" s="47" t="str">
        <f t="shared" ref="B140:B203" si="4">IF(A$9=0,"No items for this report",IF(A140&lt;=A$9,A140,""))</f>
        <v/>
      </c>
      <c r="C140" s="48" t="str">
        <f>IF($B140&lt;&gt;"",VLOOKUP($B140,CATLookup!$A$2:$E$271,2,FALSE),"")</f>
        <v/>
      </c>
      <c r="D140" s="48" t="str">
        <f>IF($B140&lt;&gt;"",VLOOKUP($B140,CATLookup!$A$2:$E$271,3,FALSE),"")</f>
        <v/>
      </c>
      <c r="E140" s="48" t="str">
        <f>IF($B140&lt;&gt;"",VLOOKUP($B140,CATLookup!$A$2:$E$271,4,FALSE),"")</f>
        <v/>
      </c>
      <c r="F140" s="311"/>
      <c r="G140" s="311"/>
      <c r="H140" s="311"/>
      <c r="I140" s="311"/>
      <c r="J140" s="48"/>
      <c r="L140" s="47">
        <f t="shared" ref="L140:L203" si="5">IF(B140&lt;&gt;"",L139+1,1)</f>
        <v>1</v>
      </c>
    </row>
    <row r="141" spans="1:12" s="47" customFormat="1" ht="130.5" customHeight="1" x14ac:dyDescent="0.25">
      <c r="A141" s="47">
        <v>131</v>
      </c>
      <c r="B141" s="47" t="str">
        <f t="shared" si="4"/>
        <v/>
      </c>
      <c r="C141" s="48" t="str">
        <f>IF($B141&lt;&gt;"",VLOOKUP($B141,CATLookup!$A$2:$E$271,2,FALSE),"")</f>
        <v/>
      </c>
      <c r="D141" s="48" t="str">
        <f>IF($B141&lt;&gt;"",VLOOKUP($B141,CATLookup!$A$2:$E$271,3,FALSE),"")</f>
        <v/>
      </c>
      <c r="E141" s="48" t="str">
        <f>IF($B141&lt;&gt;"",VLOOKUP($B141,CATLookup!$A$2:$E$271,4,FALSE),"")</f>
        <v/>
      </c>
      <c r="F141" s="311"/>
      <c r="G141" s="311"/>
      <c r="H141" s="311"/>
      <c r="I141" s="311"/>
      <c r="J141" s="48"/>
      <c r="L141" s="47">
        <f t="shared" si="5"/>
        <v>1</v>
      </c>
    </row>
    <row r="142" spans="1:12" s="47" customFormat="1" ht="130.5" customHeight="1" x14ac:dyDescent="0.25">
      <c r="A142" s="47">
        <v>132</v>
      </c>
      <c r="B142" s="47" t="str">
        <f t="shared" si="4"/>
        <v/>
      </c>
      <c r="C142" s="48" t="str">
        <f>IF($B142&lt;&gt;"",VLOOKUP($B142,CATLookup!$A$2:$E$271,2,FALSE),"")</f>
        <v/>
      </c>
      <c r="D142" s="48" t="str">
        <f>IF($B142&lt;&gt;"",VLOOKUP($B142,CATLookup!$A$2:$E$271,3,FALSE),"")</f>
        <v/>
      </c>
      <c r="E142" s="48" t="str">
        <f>IF($B142&lt;&gt;"",VLOOKUP($B142,CATLookup!$A$2:$E$271,4,FALSE),"")</f>
        <v/>
      </c>
      <c r="F142" s="311"/>
      <c r="G142" s="311"/>
      <c r="H142" s="311"/>
      <c r="I142" s="311"/>
      <c r="J142" s="48"/>
      <c r="L142" s="47">
        <f t="shared" si="5"/>
        <v>1</v>
      </c>
    </row>
    <row r="143" spans="1:12" s="47" customFormat="1" ht="130.5" customHeight="1" x14ac:dyDescent="0.25">
      <c r="A143" s="47">
        <v>133</v>
      </c>
      <c r="B143" s="47" t="str">
        <f t="shared" si="4"/>
        <v/>
      </c>
      <c r="C143" s="48" t="str">
        <f>IF($B143&lt;&gt;"",VLOOKUP($B143,CATLookup!$A$2:$E$271,2,FALSE),"")</f>
        <v/>
      </c>
      <c r="D143" s="48" t="str">
        <f>IF($B143&lt;&gt;"",VLOOKUP($B143,CATLookup!$A$2:$E$271,3,FALSE),"")</f>
        <v/>
      </c>
      <c r="E143" s="48" t="str">
        <f>IF($B143&lt;&gt;"",VLOOKUP($B143,CATLookup!$A$2:$E$271,4,FALSE),"")</f>
        <v/>
      </c>
      <c r="F143" s="311"/>
      <c r="G143" s="311"/>
      <c r="H143" s="311"/>
      <c r="I143" s="311"/>
      <c r="J143" s="48"/>
      <c r="L143" s="47">
        <f t="shared" si="5"/>
        <v>1</v>
      </c>
    </row>
    <row r="144" spans="1:12" s="47" customFormat="1" ht="130.5" customHeight="1" x14ac:dyDescent="0.25">
      <c r="A144" s="47">
        <v>134</v>
      </c>
      <c r="B144" s="47" t="str">
        <f t="shared" si="4"/>
        <v/>
      </c>
      <c r="C144" s="48" t="str">
        <f>IF($B144&lt;&gt;"",VLOOKUP($B144,CATLookup!$A$2:$E$271,2,FALSE),"")</f>
        <v/>
      </c>
      <c r="D144" s="48" t="str">
        <f>IF($B144&lt;&gt;"",VLOOKUP($B144,CATLookup!$A$2:$E$271,3,FALSE),"")</f>
        <v/>
      </c>
      <c r="E144" s="48" t="str">
        <f>IF($B144&lt;&gt;"",VLOOKUP($B144,CATLookup!$A$2:$E$271,4,FALSE),"")</f>
        <v/>
      </c>
      <c r="F144" s="311"/>
      <c r="G144" s="311"/>
      <c r="H144" s="311"/>
      <c r="I144" s="311"/>
      <c r="J144" s="48"/>
      <c r="L144" s="47">
        <f t="shared" si="5"/>
        <v>1</v>
      </c>
    </row>
    <row r="145" spans="1:12" s="47" customFormat="1" ht="130.5" customHeight="1" x14ac:dyDescent="0.25">
      <c r="A145" s="47">
        <v>135</v>
      </c>
      <c r="B145" s="47" t="str">
        <f t="shared" si="4"/>
        <v/>
      </c>
      <c r="C145" s="48" t="str">
        <f>IF($B145&lt;&gt;"",VLOOKUP($B145,CATLookup!$A$2:$E$271,2,FALSE),"")</f>
        <v/>
      </c>
      <c r="D145" s="48" t="str">
        <f>IF($B145&lt;&gt;"",VLOOKUP($B145,CATLookup!$A$2:$E$271,3,FALSE),"")</f>
        <v/>
      </c>
      <c r="E145" s="48" t="str">
        <f>IF($B145&lt;&gt;"",VLOOKUP($B145,CATLookup!$A$2:$E$271,4,FALSE),"")</f>
        <v/>
      </c>
      <c r="F145" s="311"/>
      <c r="G145" s="311"/>
      <c r="H145" s="311"/>
      <c r="I145" s="311"/>
      <c r="J145" s="48"/>
      <c r="L145" s="47">
        <f t="shared" si="5"/>
        <v>1</v>
      </c>
    </row>
    <row r="146" spans="1:12" s="47" customFormat="1" ht="130.5" customHeight="1" x14ac:dyDescent="0.25">
      <c r="A146" s="47">
        <v>136</v>
      </c>
      <c r="B146" s="47" t="str">
        <f t="shared" si="4"/>
        <v/>
      </c>
      <c r="C146" s="48" t="str">
        <f>IF($B146&lt;&gt;"",VLOOKUP($B146,CATLookup!$A$2:$E$271,2,FALSE),"")</f>
        <v/>
      </c>
      <c r="D146" s="48" t="str">
        <f>IF($B146&lt;&gt;"",VLOOKUP($B146,CATLookup!$A$2:$E$271,3,FALSE),"")</f>
        <v/>
      </c>
      <c r="E146" s="48" t="str">
        <f>IF($B146&lt;&gt;"",VLOOKUP($B146,CATLookup!$A$2:$E$271,4,FALSE),"")</f>
        <v/>
      </c>
      <c r="F146" s="311"/>
      <c r="G146" s="311"/>
      <c r="H146" s="311"/>
      <c r="I146" s="311"/>
      <c r="J146" s="48"/>
      <c r="L146" s="47">
        <f t="shared" si="5"/>
        <v>1</v>
      </c>
    </row>
    <row r="147" spans="1:12" s="47" customFormat="1" ht="130.5" customHeight="1" x14ac:dyDescent="0.25">
      <c r="A147" s="47">
        <v>137</v>
      </c>
      <c r="B147" s="47" t="str">
        <f t="shared" si="4"/>
        <v/>
      </c>
      <c r="C147" s="48" t="str">
        <f>IF($B147&lt;&gt;"",VLOOKUP($B147,CATLookup!$A$2:$E$271,2,FALSE),"")</f>
        <v/>
      </c>
      <c r="D147" s="48" t="str">
        <f>IF($B147&lt;&gt;"",VLOOKUP($B147,CATLookup!$A$2:$E$271,3,FALSE),"")</f>
        <v/>
      </c>
      <c r="E147" s="48" t="str">
        <f>IF($B147&lt;&gt;"",VLOOKUP($B147,CATLookup!$A$2:$E$271,4,FALSE),"")</f>
        <v/>
      </c>
      <c r="F147" s="311"/>
      <c r="G147" s="311"/>
      <c r="H147" s="311"/>
      <c r="I147" s="311"/>
      <c r="J147" s="48"/>
      <c r="L147" s="47">
        <f t="shared" si="5"/>
        <v>1</v>
      </c>
    </row>
    <row r="148" spans="1:12" s="47" customFormat="1" ht="130.5" customHeight="1" x14ac:dyDescent="0.25">
      <c r="A148" s="47">
        <v>138</v>
      </c>
      <c r="B148" s="47" t="str">
        <f t="shared" si="4"/>
        <v/>
      </c>
      <c r="C148" s="48" t="str">
        <f>IF($B148&lt;&gt;"",VLOOKUP($B148,CATLookup!$A$2:$E$271,2,FALSE),"")</f>
        <v/>
      </c>
      <c r="D148" s="48" t="str">
        <f>IF($B148&lt;&gt;"",VLOOKUP($B148,CATLookup!$A$2:$E$271,3,FALSE),"")</f>
        <v/>
      </c>
      <c r="E148" s="48" t="str">
        <f>IF($B148&lt;&gt;"",VLOOKUP($B148,CATLookup!$A$2:$E$271,4,FALSE),"")</f>
        <v/>
      </c>
      <c r="F148" s="311"/>
      <c r="G148" s="311"/>
      <c r="H148" s="311"/>
      <c r="I148" s="311"/>
      <c r="J148" s="48"/>
      <c r="L148" s="47">
        <f t="shared" si="5"/>
        <v>1</v>
      </c>
    </row>
    <row r="149" spans="1:12" s="47" customFormat="1" ht="130.5" customHeight="1" x14ac:dyDescent="0.25">
      <c r="A149" s="47">
        <v>139</v>
      </c>
      <c r="B149" s="47" t="str">
        <f t="shared" si="4"/>
        <v/>
      </c>
      <c r="C149" s="48" t="str">
        <f>IF($B149&lt;&gt;"",VLOOKUP($B149,CATLookup!$A$2:$E$271,2,FALSE),"")</f>
        <v/>
      </c>
      <c r="D149" s="48" t="str">
        <f>IF($B149&lt;&gt;"",VLOOKUP($B149,CATLookup!$A$2:$E$271,3,FALSE),"")</f>
        <v/>
      </c>
      <c r="E149" s="48" t="str">
        <f>IF($B149&lt;&gt;"",VLOOKUP($B149,CATLookup!$A$2:$E$271,4,FALSE),"")</f>
        <v/>
      </c>
      <c r="F149" s="311"/>
      <c r="G149" s="311"/>
      <c r="H149" s="311"/>
      <c r="I149" s="311"/>
      <c r="J149" s="48"/>
      <c r="L149" s="47">
        <f t="shared" si="5"/>
        <v>1</v>
      </c>
    </row>
    <row r="150" spans="1:12" s="47" customFormat="1" ht="130.5" customHeight="1" x14ac:dyDescent="0.25">
      <c r="A150" s="47">
        <v>140</v>
      </c>
      <c r="B150" s="47" t="str">
        <f t="shared" si="4"/>
        <v/>
      </c>
      <c r="C150" s="48" t="str">
        <f>IF($B150&lt;&gt;"",VLOOKUP($B150,CATLookup!$A$2:$E$271,2,FALSE),"")</f>
        <v/>
      </c>
      <c r="D150" s="48" t="str">
        <f>IF($B150&lt;&gt;"",VLOOKUP($B150,CATLookup!$A$2:$E$271,3,FALSE),"")</f>
        <v/>
      </c>
      <c r="E150" s="48" t="str">
        <f>IF($B150&lt;&gt;"",VLOOKUP($B150,CATLookup!$A$2:$E$271,4,FALSE),"")</f>
        <v/>
      </c>
      <c r="F150" s="311"/>
      <c r="G150" s="311"/>
      <c r="H150" s="311"/>
      <c r="I150" s="311"/>
      <c r="J150" s="48"/>
      <c r="L150" s="47">
        <f t="shared" si="5"/>
        <v>1</v>
      </c>
    </row>
    <row r="151" spans="1:12" s="47" customFormat="1" ht="130.5" customHeight="1" x14ac:dyDescent="0.25">
      <c r="A151" s="47">
        <v>141</v>
      </c>
      <c r="B151" s="47" t="str">
        <f t="shared" si="4"/>
        <v/>
      </c>
      <c r="C151" s="48" t="str">
        <f>IF($B151&lt;&gt;"",VLOOKUP($B151,CATLookup!$A$2:$E$271,2,FALSE),"")</f>
        <v/>
      </c>
      <c r="D151" s="48" t="str">
        <f>IF($B151&lt;&gt;"",VLOOKUP($B151,CATLookup!$A$2:$E$271,3,FALSE),"")</f>
        <v/>
      </c>
      <c r="E151" s="48" t="str">
        <f>IF($B151&lt;&gt;"",VLOOKUP($B151,CATLookup!$A$2:$E$271,4,FALSE),"")</f>
        <v/>
      </c>
      <c r="F151" s="311"/>
      <c r="G151" s="311"/>
      <c r="H151" s="311"/>
      <c r="I151" s="311"/>
      <c r="J151" s="48"/>
      <c r="L151" s="47">
        <f t="shared" si="5"/>
        <v>1</v>
      </c>
    </row>
    <row r="152" spans="1:12" s="47" customFormat="1" ht="130.5" customHeight="1" x14ac:dyDescent="0.25">
      <c r="A152" s="47">
        <v>142</v>
      </c>
      <c r="B152" s="47" t="str">
        <f t="shared" si="4"/>
        <v/>
      </c>
      <c r="C152" s="48" t="str">
        <f>IF($B152&lt;&gt;"",VLOOKUP($B152,CATLookup!$A$2:$E$271,2,FALSE),"")</f>
        <v/>
      </c>
      <c r="D152" s="48" t="str">
        <f>IF($B152&lt;&gt;"",VLOOKUP($B152,CATLookup!$A$2:$E$271,3,FALSE),"")</f>
        <v/>
      </c>
      <c r="E152" s="48" t="str">
        <f>IF($B152&lt;&gt;"",VLOOKUP($B152,CATLookup!$A$2:$E$271,4,FALSE),"")</f>
        <v/>
      </c>
      <c r="F152" s="311"/>
      <c r="G152" s="311"/>
      <c r="H152" s="311"/>
      <c r="I152" s="311"/>
      <c r="J152" s="48"/>
      <c r="L152" s="47">
        <f t="shared" si="5"/>
        <v>1</v>
      </c>
    </row>
    <row r="153" spans="1:12" s="47" customFormat="1" ht="130.5" customHeight="1" x14ac:dyDescent="0.25">
      <c r="A153" s="47">
        <v>143</v>
      </c>
      <c r="B153" s="47" t="str">
        <f t="shared" si="4"/>
        <v/>
      </c>
      <c r="C153" s="48" t="str">
        <f>IF($B153&lt;&gt;"",VLOOKUP($B153,CATLookup!$A$2:$E$271,2,FALSE),"")</f>
        <v/>
      </c>
      <c r="D153" s="48" t="str">
        <f>IF($B153&lt;&gt;"",VLOOKUP($B153,CATLookup!$A$2:$E$271,3,FALSE),"")</f>
        <v/>
      </c>
      <c r="E153" s="48" t="str">
        <f>IF($B153&lt;&gt;"",VLOOKUP($B153,CATLookup!$A$2:$E$271,4,FALSE),"")</f>
        <v/>
      </c>
      <c r="F153" s="311"/>
      <c r="G153" s="311"/>
      <c r="H153" s="311"/>
      <c r="I153" s="311"/>
      <c r="J153" s="48"/>
      <c r="L153" s="47">
        <f t="shared" si="5"/>
        <v>1</v>
      </c>
    </row>
    <row r="154" spans="1:12" s="47" customFormat="1" ht="130.5" customHeight="1" x14ac:dyDescent="0.25">
      <c r="A154" s="47">
        <v>144</v>
      </c>
      <c r="B154" s="47" t="str">
        <f t="shared" si="4"/>
        <v/>
      </c>
      <c r="C154" s="48" t="str">
        <f>IF($B154&lt;&gt;"",VLOOKUP($B154,CATLookup!$A$2:$E$271,2,FALSE),"")</f>
        <v/>
      </c>
      <c r="D154" s="48" t="str">
        <f>IF($B154&lt;&gt;"",VLOOKUP($B154,CATLookup!$A$2:$E$271,3,FALSE),"")</f>
        <v/>
      </c>
      <c r="E154" s="48" t="str">
        <f>IF($B154&lt;&gt;"",VLOOKUP($B154,CATLookup!$A$2:$E$271,4,FALSE),"")</f>
        <v/>
      </c>
      <c r="F154" s="311"/>
      <c r="G154" s="311"/>
      <c r="H154" s="311"/>
      <c r="I154" s="311"/>
      <c r="J154" s="48"/>
      <c r="L154" s="47">
        <f t="shared" si="5"/>
        <v>1</v>
      </c>
    </row>
    <row r="155" spans="1:12" s="47" customFormat="1" ht="130.5" customHeight="1" x14ac:dyDescent="0.25">
      <c r="A155" s="47">
        <v>145</v>
      </c>
      <c r="B155" s="47" t="str">
        <f t="shared" si="4"/>
        <v/>
      </c>
      <c r="C155" s="48" t="str">
        <f>IF($B155&lt;&gt;"",VLOOKUP($B155,CATLookup!$A$2:$E$271,2,FALSE),"")</f>
        <v/>
      </c>
      <c r="D155" s="48" t="str">
        <f>IF($B155&lt;&gt;"",VLOOKUP($B155,CATLookup!$A$2:$E$271,3,FALSE),"")</f>
        <v/>
      </c>
      <c r="E155" s="48" t="str">
        <f>IF($B155&lt;&gt;"",VLOOKUP($B155,CATLookup!$A$2:$E$271,4,FALSE),"")</f>
        <v/>
      </c>
      <c r="F155" s="311"/>
      <c r="G155" s="311"/>
      <c r="H155" s="311"/>
      <c r="I155" s="311"/>
      <c r="J155" s="48"/>
      <c r="L155" s="47">
        <f t="shared" si="5"/>
        <v>1</v>
      </c>
    </row>
    <row r="156" spans="1:12" s="47" customFormat="1" ht="130.5" customHeight="1" x14ac:dyDescent="0.25">
      <c r="A156" s="47">
        <v>146</v>
      </c>
      <c r="B156" s="47" t="str">
        <f t="shared" si="4"/>
        <v/>
      </c>
      <c r="C156" s="48" t="str">
        <f>IF($B156&lt;&gt;"",VLOOKUP($B156,CATLookup!$A$2:$E$271,2,FALSE),"")</f>
        <v/>
      </c>
      <c r="D156" s="48" t="str">
        <f>IF($B156&lt;&gt;"",VLOOKUP($B156,CATLookup!$A$2:$E$271,3,FALSE),"")</f>
        <v/>
      </c>
      <c r="E156" s="48" t="str">
        <f>IF($B156&lt;&gt;"",VLOOKUP($B156,CATLookup!$A$2:$E$271,4,FALSE),"")</f>
        <v/>
      </c>
      <c r="F156" s="311"/>
      <c r="G156" s="311"/>
      <c r="H156" s="311"/>
      <c r="I156" s="311"/>
      <c r="J156" s="48"/>
      <c r="L156" s="47">
        <f t="shared" si="5"/>
        <v>1</v>
      </c>
    </row>
    <row r="157" spans="1:12" s="47" customFormat="1" ht="130.5" customHeight="1" x14ac:dyDescent="0.25">
      <c r="A157" s="47">
        <v>147</v>
      </c>
      <c r="B157" s="47" t="str">
        <f t="shared" si="4"/>
        <v/>
      </c>
      <c r="C157" s="48" t="str">
        <f>IF($B157&lt;&gt;"",VLOOKUP($B157,CATLookup!$A$2:$E$271,2,FALSE),"")</f>
        <v/>
      </c>
      <c r="D157" s="48" t="str">
        <f>IF($B157&lt;&gt;"",VLOOKUP($B157,CATLookup!$A$2:$E$271,3,FALSE),"")</f>
        <v/>
      </c>
      <c r="E157" s="48" t="str">
        <f>IF($B157&lt;&gt;"",VLOOKUP($B157,CATLookup!$A$2:$E$271,4,FALSE),"")</f>
        <v/>
      </c>
      <c r="F157" s="311"/>
      <c r="G157" s="311"/>
      <c r="H157" s="311"/>
      <c r="I157" s="311"/>
      <c r="J157" s="48"/>
      <c r="L157" s="47">
        <f t="shared" si="5"/>
        <v>1</v>
      </c>
    </row>
    <row r="158" spans="1:12" s="47" customFormat="1" ht="130.5" customHeight="1" x14ac:dyDescent="0.25">
      <c r="A158" s="47">
        <v>148</v>
      </c>
      <c r="B158" s="47" t="str">
        <f t="shared" si="4"/>
        <v/>
      </c>
      <c r="C158" s="48" t="str">
        <f>IF($B158&lt;&gt;"",VLOOKUP($B158,CATLookup!$A$2:$E$271,2,FALSE),"")</f>
        <v/>
      </c>
      <c r="D158" s="48" t="str">
        <f>IF($B158&lt;&gt;"",VLOOKUP($B158,CATLookup!$A$2:$E$271,3,FALSE),"")</f>
        <v/>
      </c>
      <c r="E158" s="48" t="str">
        <f>IF($B158&lt;&gt;"",VLOOKUP($B158,CATLookup!$A$2:$E$271,4,FALSE),"")</f>
        <v/>
      </c>
      <c r="F158" s="311"/>
      <c r="G158" s="311"/>
      <c r="H158" s="311"/>
      <c r="I158" s="311"/>
      <c r="J158" s="48"/>
      <c r="L158" s="47">
        <f t="shared" si="5"/>
        <v>1</v>
      </c>
    </row>
    <row r="159" spans="1:12" s="47" customFormat="1" ht="130.5" customHeight="1" x14ac:dyDescent="0.25">
      <c r="A159" s="47">
        <v>149</v>
      </c>
      <c r="B159" s="47" t="str">
        <f t="shared" si="4"/>
        <v/>
      </c>
      <c r="C159" s="48" t="str">
        <f>IF($B159&lt;&gt;"",VLOOKUP($B159,CATLookup!$A$2:$E$271,2,FALSE),"")</f>
        <v/>
      </c>
      <c r="D159" s="48" t="str">
        <f>IF($B159&lt;&gt;"",VLOOKUP($B159,CATLookup!$A$2:$E$271,3,FALSE),"")</f>
        <v/>
      </c>
      <c r="E159" s="48" t="str">
        <f>IF($B159&lt;&gt;"",VLOOKUP($B159,CATLookup!$A$2:$E$271,4,FALSE),"")</f>
        <v/>
      </c>
      <c r="F159" s="311"/>
      <c r="G159" s="311"/>
      <c r="H159" s="311"/>
      <c r="I159" s="311"/>
      <c r="J159" s="48"/>
      <c r="L159" s="47">
        <f t="shared" si="5"/>
        <v>1</v>
      </c>
    </row>
    <row r="160" spans="1:12" s="47" customFormat="1" ht="130.5" customHeight="1" x14ac:dyDescent="0.25">
      <c r="A160" s="47">
        <v>150</v>
      </c>
      <c r="B160" s="47" t="str">
        <f t="shared" si="4"/>
        <v/>
      </c>
      <c r="C160" s="48" t="str">
        <f>IF($B160&lt;&gt;"",VLOOKUP($B160,CATLookup!$A$2:$E$271,2,FALSE),"")</f>
        <v/>
      </c>
      <c r="D160" s="48" t="str">
        <f>IF($B160&lt;&gt;"",VLOOKUP($B160,CATLookup!$A$2:$E$271,3,FALSE),"")</f>
        <v/>
      </c>
      <c r="E160" s="48" t="str">
        <f>IF($B160&lt;&gt;"",VLOOKUP($B160,CATLookup!$A$2:$E$271,4,FALSE),"")</f>
        <v/>
      </c>
      <c r="F160" s="311"/>
      <c r="G160" s="311"/>
      <c r="H160" s="311"/>
      <c r="I160" s="311"/>
      <c r="J160" s="48"/>
      <c r="L160" s="47">
        <f t="shared" si="5"/>
        <v>1</v>
      </c>
    </row>
    <row r="161" spans="1:12" s="47" customFormat="1" ht="130.5" customHeight="1" x14ac:dyDescent="0.25">
      <c r="A161" s="47">
        <v>151</v>
      </c>
      <c r="B161" s="47" t="str">
        <f t="shared" si="4"/>
        <v/>
      </c>
      <c r="C161" s="48" t="str">
        <f>IF($B161&lt;&gt;"",VLOOKUP($B161,CATLookup!$A$2:$E$271,2,FALSE),"")</f>
        <v/>
      </c>
      <c r="D161" s="48" t="str">
        <f>IF($B161&lt;&gt;"",VLOOKUP($B161,CATLookup!$A$2:$E$271,3,FALSE),"")</f>
        <v/>
      </c>
      <c r="E161" s="48" t="str">
        <f>IF($B161&lt;&gt;"",VLOOKUP($B161,CATLookup!$A$2:$E$271,4,FALSE),"")</f>
        <v/>
      </c>
      <c r="F161" s="311"/>
      <c r="G161" s="311"/>
      <c r="H161" s="311"/>
      <c r="I161" s="311"/>
      <c r="J161" s="48"/>
      <c r="L161" s="47">
        <f t="shared" si="5"/>
        <v>1</v>
      </c>
    </row>
    <row r="162" spans="1:12" s="47" customFormat="1" ht="130.5" customHeight="1" x14ac:dyDescent="0.25">
      <c r="A162" s="47">
        <v>152</v>
      </c>
      <c r="B162" s="47" t="str">
        <f t="shared" si="4"/>
        <v/>
      </c>
      <c r="C162" s="48" t="str">
        <f>IF($B162&lt;&gt;"",VLOOKUP($B162,CATLookup!$A$2:$E$271,2,FALSE),"")</f>
        <v/>
      </c>
      <c r="D162" s="48" t="str">
        <f>IF($B162&lt;&gt;"",VLOOKUP($B162,CATLookup!$A$2:$E$271,3,FALSE),"")</f>
        <v/>
      </c>
      <c r="E162" s="48" t="str">
        <f>IF($B162&lt;&gt;"",VLOOKUP($B162,CATLookup!$A$2:$E$271,4,FALSE),"")</f>
        <v/>
      </c>
      <c r="F162" s="311"/>
      <c r="G162" s="311"/>
      <c r="H162" s="311"/>
      <c r="I162" s="311"/>
      <c r="J162" s="48"/>
      <c r="L162" s="47">
        <f t="shared" si="5"/>
        <v>1</v>
      </c>
    </row>
    <row r="163" spans="1:12" s="47" customFormat="1" ht="130.5" customHeight="1" x14ac:dyDescent="0.25">
      <c r="A163" s="47">
        <v>153</v>
      </c>
      <c r="B163" s="47" t="str">
        <f t="shared" si="4"/>
        <v/>
      </c>
      <c r="C163" s="48" t="str">
        <f>IF($B163&lt;&gt;"",VLOOKUP($B163,CATLookup!$A$2:$E$271,2,FALSE),"")</f>
        <v/>
      </c>
      <c r="D163" s="48" t="str">
        <f>IF($B163&lt;&gt;"",VLOOKUP($B163,CATLookup!$A$2:$E$271,3,FALSE),"")</f>
        <v/>
      </c>
      <c r="E163" s="48" t="str">
        <f>IF($B163&lt;&gt;"",VLOOKUP($B163,CATLookup!$A$2:$E$271,4,FALSE),"")</f>
        <v/>
      </c>
      <c r="F163" s="311"/>
      <c r="G163" s="311"/>
      <c r="H163" s="311"/>
      <c r="I163" s="311"/>
      <c r="J163" s="48"/>
      <c r="L163" s="47">
        <f t="shared" si="5"/>
        <v>1</v>
      </c>
    </row>
    <row r="164" spans="1:12" s="47" customFormat="1" ht="130.5" customHeight="1" x14ac:dyDescent="0.25">
      <c r="A164" s="47">
        <v>154</v>
      </c>
      <c r="B164" s="47" t="str">
        <f t="shared" si="4"/>
        <v/>
      </c>
      <c r="C164" s="48" t="str">
        <f>IF($B164&lt;&gt;"",VLOOKUP($B164,CATLookup!$A$2:$E$271,2,FALSE),"")</f>
        <v/>
      </c>
      <c r="D164" s="48" t="str">
        <f>IF($B164&lt;&gt;"",VLOOKUP($B164,CATLookup!$A$2:$E$271,3,FALSE),"")</f>
        <v/>
      </c>
      <c r="E164" s="48" t="str">
        <f>IF($B164&lt;&gt;"",VLOOKUP($B164,CATLookup!$A$2:$E$271,4,FALSE),"")</f>
        <v/>
      </c>
      <c r="F164" s="311"/>
      <c r="G164" s="311"/>
      <c r="H164" s="311"/>
      <c r="I164" s="311"/>
      <c r="J164" s="48"/>
      <c r="L164" s="47">
        <f t="shared" si="5"/>
        <v>1</v>
      </c>
    </row>
    <row r="165" spans="1:12" s="47" customFormat="1" ht="130.5" customHeight="1" x14ac:dyDescent="0.25">
      <c r="A165" s="47">
        <v>155</v>
      </c>
      <c r="B165" s="47" t="str">
        <f t="shared" si="4"/>
        <v/>
      </c>
      <c r="C165" s="48" t="str">
        <f>IF($B165&lt;&gt;"",VLOOKUP($B165,CATLookup!$A$2:$E$271,2,FALSE),"")</f>
        <v/>
      </c>
      <c r="D165" s="48" t="str">
        <f>IF($B165&lt;&gt;"",VLOOKUP($B165,CATLookup!$A$2:$E$271,3,FALSE),"")</f>
        <v/>
      </c>
      <c r="E165" s="48" t="str">
        <f>IF($B165&lt;&gt;"",VLOOKUP($B165,CATLookup!$A$2:$E$271,4,FALSE),"")</f>
        <v/>
      </c>
      <c r="F165" s="311"/>
      <c r="G165" s="311"/>
      <c r="H165" s="311"/>
      <c r="I165" s="311"/>
      <c r="J165" s="48"/>
      <c r="L165" s="47">
        <f t="shared" si="5"/>
        <v>1</v>
      </c>
    </row>
    <row r="166" spans="1:12" s="47" customFormat="1" ht="130.5" customHeight="1" x14ac:dyDescent="0.25">
      <c r="A166" s="47">
        <v>156</v>
      </c>
      <c r="B166" s="47" t="str">
        <f t="shared" si="4"/>
        <v/>
      </c>
      <c r="C166" s="48" t="str">
        <f>IF($B166&lt;&gt;"",VLOOKUP($B166,CATLookup!$A$2:$E$271,2,FALSE),"")</f>
        <v/>
      </c>
      <c r="D166" s="48" t="str">
        <f>IF($B166&lt;&gt;"",VLOOKUP($B166,CATLookup!$A$2:$E$271,3,FALSE),"")</f>
        <v/>
      </c>
      <c r="E166" s="48" t="str">
        <f>IF($B166&lt;&gt;"",VLOOKUP($B166,CATLookup!$A$2:$E$271,4,FALSE),"")</f>
        <v/>
      </c>
      <c r="F166" s="311"/>
      <c r="G166" s="311"/>
      <c r="H166" s="311"/>
      <c r="I166" s="311"/>
      <c r="J166" s="48"/>
      <c r="L166" s="47">
        <f t="shared" si="5"/>
        <v>1</v>
      </c>
    </row>
    <row r="167" spans="1:12" s="47" customFormat="1" ht="130.5" customHeight="1" x14ac:dyDescent="0.25">
      <c r="A167" s="47">
        <v>157</v>
      </c>
      <c r="B167" s="47" t="str">
        <f t="shared" si="4"/>
        <v/>
      </c>
      <c r="C167" s="48" t="str">
        <f>IF($B167&lt;&gt;"",VLOOKUP($B167,CATLookup!$A$2:$E$271,2,FALSE),"")</f>
        <v/>
      </c>
      <c r="D167" s="48" t="str">
        <f>IF($B167&lt;&gt;"",VLOOKUP($B167,CATLookup!$A$2:$E$271,3,FALSE),"")</f>
        <v/>
      </c>
      <c r="E167" s="48" t="str">
        <f>IF($B167&lt;&gt;"",VLOOKUP($B167,CATLookup!$A$2:$E$271,4,FALSE),"")</f>
        <v/>
      </c>
      <c r="F167" s="311"/>
      <c r="G167" s="311"/>
      <c r="H167" s="311"/>
      <c r="I167" s="311"/>
      <c r="J167" s="48"/>
      <c r="L167" s="47">
        <f t="shared" si="5"/>
        <v>1</v>
      </c>
    </row>
    <row r="168" spans="1:12" s="47" customFormat="1" ht="130.5" customHeight="1" x14ac:dyDescent="0.25">
      <c r="A168" s="47">
        <v>158</v>
      </c>
      <c r="B168" s="47" t="str">
        <f t="shared" si="4"/>
        <v/>
      </c>
      <c r="C168" s="48" t="str">
        <f>IF($B168&lt;&gt;"",VLOOKUP($B168,CATLookup!$A$2:$E$271,2,FALSE),"")</f>
        <v/>
      </c>
      <c r="D168" s="48" t="str">
        <f>IF($B168&lt;&gt;"",VLOOKUP($B168,CATLookup!$A$2:$E$271,3,FALSE),"")</f>
        <v/>
      </c>
      <c r="E168" s="48" t="str">
        <f>IF($B168&lt;&gt;"",VLOOKUP($B168,CATLookup!$A$2:$E$271,4,FALSE),"")</f>
        <v/>
      </c>
      <c r="F168" s="311"/>
      <c r="G168" s="311"/>
      <c r="H168" s="311"/>
      <c r="I168" s="311"/>
      <c r="J168" s="48"/>
      <c r="L168" s="47">
        <f t="shared" si="5"/>
        <v>1</v>
      </c>
    </row>
    <row r="169" spans="1:12" s="47" customFormat="1" ht="130.5" customHeight="1" x14ac:dyDescent="0.25">
      <c r="A169" s="47">
        <v>159</v>
      </c>
      <c r="B169" s="47" t="str">
        <f t="shared" si="4"/>
        <v/>
      </c>
      <c r="C169" s="48" t="str">
        <f>IF($B169&lt;&gt;"",VLOOKUP($B169,CATLookup!$A$2:$E$271,2,FALSE),"")</f>
        <v/>
      </c>
      <c r="D169" s="48" t="str">
        <f>IF($B169&lt;&gt;"",VLOOKUP($B169,CATLookup!$A$2:$E$271,3,FALSE),"")</f>
        <v/>
      </c>
      <c r="E169" s="48" t="str">
        <f>IF($B169&lt;&gt;"",VLOOKUP($B169,CATLookup!$A$2:$E$271,4,FALSE),"")</f>
        <v/>
      </c>
      <c r="F169" s="311"/>
      <c r="G169" s="311"/>
      <c r="H169" s="311"/>
      <c r="I169" s="311"/>
      <c r="J169" s="48"/>
      <c r="L169" s="47">
        <f t="shared" si="5"/>
        <v>1</v>
      </c>
    </row>
    <row r="170" spans="1:12" s="47" customFormat="1" ht="130.5" customHeight="1" x14ac:dyDescent="0.25">
      <c r="A170" s="47">
        <v>160</v>
      </c>
      <c r="B170" s="47" t="str">
        <f t="shared" si="4"/>
        <v/>
      </c>
      <c r="C170" s="48" t="str">
        <f>IF($B170&lt;&gt;"",VLOOKUP($B170,CATLookup!$A$2:$E$271,2,FALSE),"")</f>
        <v/>
      </c>
      <c r="D170" s="48" t="str">
        <f>IF($B170&lt;&gt;"",VLOOKUP($B170,CATLookup!$A$2:$E$271,3,FALSE),"")</f>
        <v/>
      </c>
      <c r="E170" s="48" t="str">
        <f>IF($B170&lt;&gt;"",VLOOKUP($B170,CATLookup!$A$2:$E$271,4,FALSE),"")</f>
        <v/>
      </c>
      <c r="F170" s="311"/>
      <c r="G170" s="311"/>
      <c r="H170" s="311"/>
      <c r="I170" s="311"/>
      <c r="J170" s="48"/>
      <c r="L170" s="47">
        <f t="shared" si="5"/>
        <v>1</v>
      </c>
    </row>
    <row r="171" spans="1:12" s="47" customFormat="1" ht="130.5" customHeight="1" x14ac:dyDescent="0.25">
      <c r="A171" s="47">
        <v>161</v>
      </c>
      <c r="B171" s="47" t="str">
        <f t="shared" si="4"/>
        <v/>
      </c>
      <c r="C171" s="48" t="str">
        <f>IF($B171&lt;&gt;"",VLOOKUP($B171,CATLookup!$A$2:$E$271,2,FALSE),"")</f>
        <v/>
      </c>
      <c r="D171" s="48" t="str">
        <f>IF($B171&lt;&gt;"",VLOOKUP($B171,CATLookup!$A$2:$E$271,3,FALSE),"")</f>
        <v/>
      </c>
      <c r="E171" s="48" t="str">
        <f>IF($B171&lt;&gt;"",VLOOKUP($B171,CATLookup!$A$2:$E$271,4,FALSE),"")</f>
        <v/>
      </c>
      <c r="F171" s="311"/>
      <c r="G171" s="311"/>
      <c r="H171" s="311"/>
      <c r="I171" s="311"/>
      <c r="J171" s="48"/>
      <c r="L171" s="47">
        <f t="shared" si="5"/>
        <v>1</v>
      </c>
    </row>
    <row r="172" spans="1:12" s="47" customFormat="1" ht="130.5" customHeight="1" x14ac:dyDescent="0.25">
      <c r="A172" s="47">
        <v>162</v>
      </c>
      <c r="B172" s="47" t="str">
        <f t="shared" si="4"/>
        <v/>
      </c>
      <c r="C172" s="48" t="str">
        <f>IF($B172&lt;&gt;"",VLOOKUP($B172,CATLookup!$A$2:$E$271,2,FALSE),"")</f>
        <v/>
      </c>
      <c r="D172" s="48" t="str">
        <f>IF($B172&lt;&gt;"",VLOOKUP($B172,CATLookup!$A$2:$E$271,3,FALSE),"")</f>
        <v/>
      </c>
      <c r="E172" s="48" t="str">
        <f>IF($B172&lt;&gt;"",VLOOKUP($B172,CATLookup!$A$2:$E$271,4,FALSE),"")</f>
        <v/>
      </c>
      <c r="F172" s="311"/>
      <c r="G172" s="311"/>
      <c r="H172" s="311"/>
      <c r="I172" s="311"/>
      <c r="J172" s="48"/>
      <c r="L172" s="47">
        <f t="shared" si="5"/>
        <v>1</v>
      </c>
    </row>
    <row r="173" spans="1:12" s="47" customFormat="1" ht="130.5" customHeight="1" x14ac:dyDescent="0.25">
      <c r="A173" s="47">
        <v>163</v>
      </c>
      <c r="B173" s="47" t="str">
        <f t="shared" si="4"/>
        <v/>
      </c>
      <c r="C173" s="48" t="str">
        <f>IF($B173&lt;&gt;"",VLOOKUP($B173,CATLookup!$A$2:$E$271,2,FALSE),"")</f>
        <v/>
      </c>
      <c r="D173" s="48" t="str">
        <f>IF($B173&lt;&gt;"",VLOOKUP($B173,CATLookup!$A$2:$E$271,3,FALSE),"")</f>
        <v/>
      </c>
      <c r="E173" s="48" t="str">
        <f>IF($B173&lt;&gt;"",VLOOKUP($B173,CATLookup!$A$2:$E$271,4,FALSE),"")</f>
        <v/>
      </c>
      <c r="F173" s="311"/>
      <c r="G173" s="311"/>
      <c r="H173" s="311"/>
      <c r="I173" s="311"/>
      <c r="J173" s="48"/>
      <c r="L173" s="47">
        <f t="shared" si="5"/>
        <v>1</v>
      </c>
    </row>
    <row r="174" spans="1:12" s="47" customFormat="1" ht="130.5" customHeight="1" x14ac:dyDescent="0.25">
      <c r="A174" s="47">
        <v>164</v>
      </c>
      <c r="B174" s="47" t="str">
        <f t="shared" si="4"/>
        <v/>
      </c>
      <c r="C174" s="48" t="str">
        <f>IF($B174&lt;&gt;"",VLOOKUP($B174,CATLookup!$A$2:$E$271,2,FALSE),"")</f>
        <v/>
      </c>
      <c r="D174" s="48" t="str">
        <f>IF($B174&lt;&gt;"",VLOOKUP($B174,CATLookup!$A$2:$E$271,3,FALSE),"")</f>
        <v/>
      </c>
      <c r="E174" s="48" t="str">
        <f>IF($B174&lt;&gt;"",VLOOKUP($B174,CATLookup!$A$2:$E$271,4,FALSE),"")</f>
        <v/>
      </c>
      <c r="F174" s="311"/>
      <c r="G174" s="311"/>
      <c r="H174" s="311"/>
      <c r="I174" s="311"/>
      <c r="J174" s="48"/>
      <c r="L174" s="47">
        <f t="shared" si="5"/>
        <v>1</v>
      </c>
    </row>
    <row r="175" spans="1:12" s="47" customFormat="1" ht="130.5" customHeight="1" x14ac:dyDescent="0.25">
      <c r="A175" s="47">
        <v>165</v>
      </c>
      <c r="B175" s="47" t="str">
        <f t="shared" si="4"/>
        <v/>
      </c>
      <c r="C175" s="48" t="str">
        <f>IF($B175&lt;&gt;"",VLOOKUP($B175,CATLookup!$A$2:$E$271,2,FALSE),"")</f>
        <v/>
      </c>
      <c r="D175" s="48" t="str">
        <f>IF($B175&lt;&gt;"",VLOOKUP($B175,CATLookup!$A$2:$E$271,3,FALSE),"")</f>
        <v/>
      </c>
      <c r="E175" s="48" t="str">
        <f>IF($B175&lt;&gt;"",VLOOKUP($B175,CATLookup!$A$2:$E$271,4,FALSE),"")</f>
        <v/>
      </c>
      <c r="F175" s="311"/>
      <c r="G175" s="311"/>
      <c r="H175" s="311"/>
      <c r="I175" s="311"/>
      <c r="J175" s="48"/>
      <c r="L175" s="47">
        <f t="shared" si="5"/>
        <v>1</v>
      </c>
    </row>
    <row r="176" spans="1:12" s="47" customFormat="1" ht="130.5" customHeight="1" x14ac:dyDescent="0.25">
      <c r="A176" s="47">
        <v>166</v>
      </c>
      <c r="B176" s="47" t="str">
        <f t="shared" si="4"/>
        <v/>
      </c>
      <c r="C176" s="48" t="str">
        <f>IF($B176&lt;&gt;"",VLOOKUP($B176,CATLookup!$A$2:$E$271,2,FALSE),"")</f>
        <v/>
      </c>
      <c r="D176" s="48" t="str">
        <f>IF($B176&lt;&gt;"",VLOOKUP($B176,CATLookup!$A$2:$E$271,3,FALSE),"")</f>
        <v/>
      </c>
      <c r="E176" s="48" t="str">
        <f>IF($B176&lt;&gt;"",VLOOKUP($B176,CATLookup!$A$2:$E$271,4,FALSE),"")</f>
        <v/>
      </c>
      <c r="F176" s="311"/>
      <c r="G176" s="311"/>
      <c r="H176" s="311"/>
      <c r="I176" s="311"/>
      <c r="J176" s="48"/>
      <c r="L176" s="47">
        <f t="shared" si="5"/>
        <v>1</v>
      </c>
    </row>
    <row r="177" spans="1:12" s="47" customFormat="1" ht="130.5" customHeight="1" x14ac:dyDescent="0.25">
      <c r="A177" s="47">
        <v>167</v>
      </c>
      <c r="B177" s="47" t="str">
        <f t="shared" si="4"/>
        <v/>
      </c>
      <c r="C177" s="48" t="str">
        <f>IF($B177&lt;&gt;"",VLOOKUP($B177,CATLookup!$A$2:$E$271,2,FALSE),"")</f>
        <v/>
      </c>
      <c r="D177" s="48" t="str">
        <f>IF($B177&lt;&gt;"",VLOOKUP($B177,CATLookup!$A$2:$E$271,3,FALSE),"")</f>
        <v/>
      </c>
      <c r="E177" s="48" t="str">
        <f>IF($B177&lt;&gt;"",VLOOKUP($B177,CATLookup!$A$2:$E$271,4,FALSE),"")</f>
        <v/>
      </c>
      <c r="F177" s="311"/>
      <c r="G177" s="311"/>
      <c r="H177" s="311"/>
      <c r="I177" s="311"/>
      <c r="J177" s="48"/>
      <c r="L177" s="47">
        <f t="shared" si="5"/>
        <v>1</v>
      </c>
    </row>
    <row r="178" spans="1:12" s="47" customFormat="1" ht="130.5" customHeight="1" x14ac:dyDescent="0.25">
      <c r="A178" s="47">
        <v>168</v>
      </c>
      <c r="B178" s="47" t="str">
        <f t="shared" si="4"/>
        <v/>
      </c>
      <c r="C178" s="48" t="str">
        <f>IF($B178&lt;&gt;"",VLOOKUP($B178,CATLookup!$A$2:$E$271,2,FALSE),"")</f>
        <v/>
      </c>
      <c r="D178" s="48" t="str">
        <f>IF($B178&lt;&gt;"",VLOOKUP($B178,CATLookup!$A$2:$E$271,3,FALSE),"")</f>
        <v/>
      </c>
      <c r="E178" s="48" t="str">
        <f>IF($B178&lt;&gt;"",VLOOKUP($B178,CATLookup!$A$2:$E$271,4,FALSE),"")</f>
        <v/>
      </c>
      <c r="F178" s="311"/>
      <c r="G178" s="311"/>
      <c r="H178" s="311"/>
      <c r="I178" s="311"/>
      <c r="J178" s="48"/>
      <c r="L178" s="47">
        <f t="shared" si="5"/>
        <v>1</v>
      </c>
    </row>
    <row r="179" spans="1:12" s="47" customFormat="1" ht="130.5" customHeight="1" x14ac:dyDescent="0.25">
      <c r="A179" s="47">
        <v>169</v>
      </c>
      <c r="B179" s="47" t="str">
        <f t="shared" si="4"/>
        <v/>
      </c>
      <c r="C179" s="48" t="str">
        <f>IF($B179&lt;&gt;"",VLOOKUP($B179,CATLookup!$A$2:$E$271,2,FALSE),"")</f>
        <v/>
      </c>
      <c r="D179" s="48" t="str">
        <f>IF($B179&lt;&gt;"",VLOOKUP($B179,CATLookup!$A$2:$E$271,3,FALSE),"")</f>
        <v/>
      </c>
      <c r="E179" s="48" t="str">
        <f>IF($B179&lt;&gt;"",VLOOKUP($B179,CATLookup!$A$2:$E$271,4,FALSE),"")</f>
        <v/>
      </c>
      <c r="F179" s="311"/>
      <c r="G179" s="311"/>
      <c r="H179" s="311"/>
      <c r="I179" s="311"/>
      <c r="J179" s="48"/>
      <c r="L179" s="47">
        <f t="shared" si="5"/>
        <v>1</v>
      </c>
    </row>
    <row r="180" spans="1:12" s="47" customFormat="1" ht="130.5" customHeight="1" x14ac:dyDescent="0.25">
      <c r="A180" s="47">
        <v>170</v>
      </c>
      <c r="B180" s="47" t="str">
        <f t="shared" si="4"/>
        <v/>
      </c>
      <c r="C180" s="48" t="str">
        <f>IF($B180&lt;&gt;"",VLOOKUP($B180,CATLookup!$A$2:$E$271,2,FALSE),"")</f>
        <v/>
      </c>
      <c r="D180" s="48" t="str">
        <f>IF($B180&lt;&gt;"",VLOOKUP($B180,CATLookup!$A$2:$E$271,3,FALSE),"")</f>
        <v/>
      </c>
      <c r="E180" s="48" t="str">
        <f>IF($B180&lt;&gt;"",VLOOKUP($B180,CATLookup!$A$2:$E$271,4,FALSE),"")</f>
        <v/>
      </c>
      <c r="F180" s="311"/>
      <c r="G180" s="311"/>
      <c r="H180" s="311"/>
      <c r="I180" s="311"/>
      <c r="J180" s="48"/>
      <c r="L180" s="47">
        <f t="shared" si="5"/>
        <v>1</v>
      </c>
    </row>
    <row r="181" spans="1:12" s="47" customFormat="1" ht="130.5" customHeight="1" x14ac:dyDescent="0.25">
      <c r="A181" s="47">
        <v>171</v>
      </c>
      <c r="B181" s="47" t="str">
        <f t="shared" si="4"/>
        <v/>
      </c>
      <c r="C181" s="48" t="str">
        <f>IF($B181&lt;&gt;"",VLOOKUP($B181,CATLookup!$A$2:$E$271,2,FALSE),"")</f>
        <v/>
      </c>
      <c r="D181" s="48" t="str">
        <f>IF($B181&lt;&gt;"",VLOOKUP($B181,CATLookup!$A$2:$E$271,3,FALSE),"")</f>
        <v/>
      </c>
      <c r="E181" s="48" t="str">
        <f>IF($B181&lt;&gt;"",VLOOKUP($B181,CATLookup!$A$2:$E$271,4,FALSE),"")</f>
        <v/>
      </c>
      <c r="F181" s="311"/>
      <c r="G181" s="311"/>
      <c r="H181" s="311"/>
      <c r="I181" s="311"/>
      <c r="J181" s="48"/>
      <c r="L181" s="47">
        <f t="shared" si="5"/>
        <v>1</v>
      </c>
    </row>
    <row r="182" spans="1:12" s="47" customFormat="1" ht="130.5" customHeight="1" x14ac:dyDescent="0.25">
      <c r="A182" s="47">
        <v>172</v>
      </c>
      <c r="B182" s="47" t="str">
        <f t="shared" si="4"/>
        <v/>
      </c>
      <c r="C182" s="48" t="str">
        <f>IF($B182&lt;&gt;"",VLOOKUP($B182,CATLookup!$A$2:$E$271,2,FALSE),"")</f>
        <v/>
      </c>
      <c r="D182" s="48" t="str">
        <f>IF($B182&lt;&gt;"",VLOOKUP($B182,CATLookup!$A$2:$E$271,3,FALSE),"")</f>
        <v/>
      </c>
      <c r="E182" s="48" t="str">
        <f>IF($B182&lt;&gt;"",VLOOKUP($B182,CATLookup!$A$2:$E$271,4,FALSE),"")</f>
        <v/>
      </c>
      <c r="F182" s="311"/>
      <c r="G182" s="311"/>
      <c r="H182" s="311"/>
      <c r="I182" s="311"/>
      <c r="J182" s="48"/>
      <c r="L182" s="47">
        <f t="shared" si="5"/>
        <v>1</v>
      </c>
    </row>
    <row r="183" spans="1:12" s="47" customFormat="1" ht="130.5" customHeight="1" x14ac:dyDescent="0.25">
      <c r="A183" s="47">
        <v>173</v>
      </c>
      <c r="B183" s="47" t="str">
        <f t="shared" si="4"/>
        <v/>
      </c>
      <c r="C183" s="48" t="str">
        <f>IF($B183&lt;&gt;"",VLOOKUP($B183,CATLookup!$A$2:$E$271,2,FALSE),"")</f>
        <v/>
      </c>
      <c r="D183" s="48" t="str">
        <f>IF($B183&lt;&gt;"",VLOOKUP($B183,CATLookup!$A$2:$E$271,3,FALSE),"")</f>
        <v/>
      </c>
      <c r="E183" s="48" t="str">
        <f>IF($B183&lt;&gt;"",VLOOKUP($B183,CATLookup!$A$2:$E$271,4,FALSE),"")</f>
        <v/>
      </c>
      <c r="F183" s="311"/>
      <c r="G183" s="311"/>
      <c r="H183" s="311"/>
      <c r="I183" s="311"/>
      <c r="J183" s="48"/>
      <c r="L183" s="47">
        <f t="shared" si="5"/>
        <v>1</v>
      </c>
    </row>
    <row r="184" spans="1:12" s="47" customFormat="1" ht="130.5" customHeight="1" x14ac:dyDescent="0.25">
      <c r="A184" s="47">
        <v>174</v>
      </c>
      <c r="B184" s="47" t="str">
        <f t="shared" si="4"/>
        <v/>
      </c>
      <c r="C184" s="48" t="str">
        <f>IF($B184&lt;&gt;"",VLOOKUP($B184,CATLookup!$A$2:$E$271,2,FALSE),"")</f>
        <v/>
      </c>
      <c r="D184" s="48" t="str">
        <f>IF($B184&lt;&gt;"",VLOOKUP($B184,CATLookup!$A$2:$E$271,3,FALSE),"")</f>
        <v/>
      </c>
      <c r="E184" s="48" t="str">
        <f>IF($B184&lt;&gt;"",VLOOKUP($B184,CATLookup!$A$2:$E$271,4,FALSE),"")</f>
        <v/>
      </c>
      <c r="F184" s="311"/>
      <c r="G184" s="311"/>
      <c r="H184" s="311"/>
      <c r="I184" s="311"/>
      <c r="J184" s="48"/>
      <c r="L184" s="47">
        <f t="shared" si="5"/>
        <v>1</v>
      </c>
    </row>
    <row r="185" spans="1:12" s="47" customFormat="1" ht="130.5" customHeight="1" x14ac:dyDescent="0.25">
      <c r="A185" s="47">
        <v>175</v>
      </c>
      <c r="B185" s="47" t="str">
        <f t="shared" si="4"/>
        <v/>
      </c>
      <c r="C185" s="48" t="str">
        <f>IF($B185&lt;&gt;"",VLOOKUP($B185,CATLookup!$A$2:$E$271,2,FALSE),"")</f>
        <v/>
      </c>
      <c r="D185" s="48" t="str">
        <f>IF($B185&lt;&gt;"",VLOOKUP($B185,CATLookup!$A$2:$E$271,3,FALSE),"")</f>
        <v/>
      </c>
      <c r="E185" s="48" t="str">
        <f>IF($B185&lt;&gt;"",VLOOKUP($B185,CATLookup!$A$2:$E$271,4,FALSE),"")</f>
        <v/>
      </c>
      <c r="F185" s="311"/>
      <c r="G185" s="311"/>
      <c r="H185" s="311"/>
      <c r="I185" s="311"/>
      <c r="J185" s="48"/>
      <c r="L185" s="47">
        <f t="shared" si="5"/>
        <v>1</v>
      </c>
    </row>
    <row r="186" spans="1:12" s="47" customFormat="1" ht="130.5" customHeight="1" x14ac:dyDescent="0.25">
      <c r="A186" s="47">
        <v>176</v>
      </c>
      <c r="B186" s="47" t="str">
        <f t="shared" si="4"/>
        <v/>
      </c>
      <c r="C186" s="48" t="str">
        <f>IF($B186&lt;&gt;"",VLOOKUP($B186,CATLookup!$A$2:$E$271,2,FALSE),"")</f>
        <v/>
      </c>
      <c r="D186" s="48" t="str">
        <f>IF($B186&lt;&gt;"",VLOOKUP($B186,CATLookup!$A$2:$E$271,3,FALSE),"")</f>
        <v/>
      </c>
      <c r="E186" s="48" t="str">
        <f>IF($B186&lt;&gt;"",VLOOKUP($B186,CATLookup!$A$2:$E$271,4,FALSE),"")</f>
        <v/>
      </c>
      <c r="F186" s="311"/>
      <c r="G186" s="311"/>
      <c r="H186" s="311"/>
      <c r="I186" s="311"/>
      <c r="J186" s="48"/>
      <c r="L186" s="47">
        <f t="shared" si="5"/>
        <v>1</v>
      </c>
    </row>
    <row r="187" spans="1:12" s="47" customFormat="1" ht="130.5" customHeight="1" x14ac:dyDescent="0.25">
      <c r="A187" s="47">
        <v>177</v>
      </c>
      <c r="B187" s="47" t="str">
        <f t="shared" si="4"/>
        <v/>
      </c>
      <c r="C187" s="48" t="str">
        <f>IF($B187&lt;&gt;"",VLOOKUP($B187,CATLookup!$A$2:$E$271,2,FALSE),"")</f>
        <v/>
      </c>
      <c r="D187" s="48" t="str">
        <f>IF($B187&lt;&gt;"",VLOOKUP($B187,CATLookup!$A$2:$E$271,3,FALSE),"")</f>
        <v/>
      </c>
      <c r="E187" s="48" t="str">
        <f>IF($B187&lt;&gt;"",VLOOKUP($B187,CATLookup!$A$2:$E$271,4,FALSE),"")</f>
        <v/>
      </c>
      <c r="F187" s="311"/>
      <c r="G187" s="311"/>
      <c r="H187" s="311"/>
      <c r="I187" s="311"/>
      <c r="J187" s="48"/>
      <c r="L187" s="47">
        <f t="shared" si="5"/>
        <v>1</v>
      </c>
    </row>
    <row r="188" spans="1:12" s="47" customFormat="1" ht="130.5" customHeight="1" x14ac:dyDescent="0.25">
      <c r="A188" s="47">
        <v>178</v>
      </c>
      <c r="B188" s="47" t="str">
        <f t="shared" si="4"/>
        <v/>
      </c>
      <c r="C188" s="48" t="str">
        <f>IF($B188&lt;&gt;"",VLOOKUP($B188,CATLookup!$A$2:$E$271,2,FALSE),"")</f>
        <v/>
      </c>
      <c r="D188" s="48" t="str">
        <f>IF($B188&lt;&gt;"",VLOOKUP($B188,CATLookup!$A$2:$E$271,3,FALSE),"")</f>
        <v/>
      </c>
      <c r="E188" s="48" t="str">
        <f>IF($B188&lt;&gt;"",VLOOKUP($B188,CATLookup!$A$2:$E$271,4,FALSE),"")</f>
        <v/>
      </c>
      <c r="F188" s="311"/>
      <c r="G188" s="311"/>
      <c r="H188" s="311"/>
      <c r="I188" s="311"/>
      <c r="J188" s="48"/>
      <c r="L188" s="47">
        <f t="shared" si="5"/>
        <v>1</v>
      </c>
    </row>
    <row r="189" spans="1:12" s="47" customFormat="1" ht="130.5" customHeight="1" x14ac:dyDescent="0.25">
      <c r="A189" s="47">
        <v>179</v>
      </c>
      <c r="B189" s="47" t="str">
        <f t="shared" si="4"/>
        <v/>
      </c>
      <c r="C189" s="48" t="str">
        <f>IF($B189&lt;&gt;"",VLOOKUP($B189,CATLookup!$A$2:$E$271,2,FALSE),"")</f>
        <v/>
      </c>
      <c r="D189" s="48" t="str">
        <f>IF($B189&lt;&gt;"",VLOOKUP($B189,CATLookup!$A$2:$E$271,3,FALSE),"")</f>
        <v/>
      </c>
      <c r="E189" s="48" t="str">
        <f>IF($B189&lt;&gt;"",VLOOKUP($B189,CATLookup!$A$2:$E$271,4,FALSE),"")</f>
        <v/>
      </c>
      <c r="F189" s="311"/>
      <c r="G189" s="311"/>
      <c r="H189" s="311"/>
      <c r="I189" s="311"/>
      <c r="J189" s="48"/>
      <c r="L189" s="47">
        <f t="shared" si="5"/>
        <v>1</v>
      </c>
    </row>
    <row r="190" spans="1:12" s="47" customFormat="1" ht="130.5" customHeight="1" x14ac:dyDescent="0.25">
      <c r="A190" s="47">
        <v>180</v>
      </c>
      <c r="B190" s="47" t="str">
        <f t="shared" si="4"/>
        <v/>
      </c>
      <c r="C190" s="48" t="str">
        <f>IF($B190&lt;&gt;"",VLOOKUP($B190,CATLookup!$A$2:$E$271,2,FALSE),"")</f>
        <v/>
      </c>
      <c r="D190" s="48" t="str">
        <f>IF($B190&lt;&gt;"",VLOOKUP($B190,CATLookup!$A$2:$E$271,3,FALSE),"")</f>
        <v/>
      </c>
      <c r="E190" s="48" t="str">
        <f>IF($B190&lt;&gt;"",VLOOKUP($B190,CATLookup!$A$2:$E$271,4,FALSE),"")</f>
        <v/>
      </c>
      <c r="F190" s="311"/>
      <c r="G190" s="311"/>
      <c r="H190" s="311"/>
      <c r="I190" s="311"/>
      <c r="J190" s="48"/>
      <c r="L190" s="47">
        <f t="shared" si="5"/>
        <v>1</v>
      </c>
    </row>
    <row r="191" spans="1:12" s="47" customFormat="1" ht="130.5" customHeight="1" x14ac:dyDescent="0.25">
      <c r="A191" s="47">
        <v>181</v>
      </c>
      <c r="B191" s="47" t="str">
        <f t="shared" si="4"/>
        <v/>
      </c>
      <c r="C191" s="48" t="str">
        <f>IF($B191&lt;&gt;"",VLOOKUP($B191,CATLookup!$A$2:$E$271,2,FALSE),"")</f>
        <v/>
      </c>
      <c r="D191" s="48" t="str">
        <f>IF($B191&lt;&gt;"",VLOOKUP($B191,CATLookup!$A$2:$E$271,3,FALSE),"")</f>
        <v/>
      </c>
      <c r="E191" s="48" t="str">
        <f>IF($B191&lt;&gt;"",VLOOKUP($B191,CATLookup!$A$2:$E$271,4,FALSE),"")</f>
        <v/>
      </c>
      <c r="F191" s="311"/>
      <c r="G191" s="311"/>
      <c r="H191" s="311"/>
      <c r="I191" s="311"/>
      <c r="J191" s="48"/>
      <c r="L191" s="47">
        <f t="shared" si="5"/>
        <v>1</v>
      </c>
    </row>
    <row r="192" spans="1:12" s="47" customFormat="1" ht="130.5" customHeight="1" x14ac:dyDescent="0.25">
      <c r="A192" s="47">
        <v>182</v>
      </c>
      <c r="B192" s="47" t="str">
        <f t="shared" si="4"/>
        <v/>
      </c>
      <c r="C192" s="48" t="str">
        <f>IF($B192&lt;&gt;"",VLOOKUP($B192,CATLookup!$A$2:$E$271,2,FALSE),"")</f>
        <v/>
      </c>
      <c r="D192" s="48" t="str">
        <f>IF($B192&lt;&gt;"",VLOOKUP($B192,CATLookup!$A$2:$E$271,3,FALSE),"")</f>
        <v/>
      </c>
      <c r="E192" s="48" t="str">
        <f>IF($B192&lt;&gt;"",VLOOKUP($B192,CATLookup!$A$2:$E$271,4,FALSE),"")</f>
        <v/>
      </c>
      <c r="F192" s="311"/>
      <c r="G192" s="311"/>
      <c r="H192" s="311"/>
      <c r="I192" s="311"/>
      <c r="J192" s="48"/>
      <c r="L192" s="47">
        <f t="shared" si="5"/>
        <v>1</v>
      </c>
    </row>
    <row r="193" spans="1:12" s="47" customFormat="1" ht="130.5" customHeight="1" x14ac:dyDescent="0.25">
      <c r="A193" s="47">
        <v>183</v>
      </c>
      <c r="B193" s="47" t="str">
        <f t="shared" si="4"/>
        <v/>
      </c>
      <c r="C193" s="48" t="str">
        <f>IF($B193&lt;&gt;"",VLOOKUP($B193,CATLookup!$A$2:$E$271,2,FALSE),"")</f>
        <v/>
      </c>
      <c r="D193" s="48" t="str">
        <f>IF($B193&lt;&gt;"",VLOOKUP($B193,CATLookup!$A$2:$E$271,3,FALSE),"")</f>
        <v/>
      </c>
      <c r="E193" s="48" t="str">
        <f>IF($B193&lt;&gt;"",VLOOKUP($B193,CATLookup!$A$2:$E$271,4,FALSE),"")</f>
        <v/>
      </c>
      <c r="F193" s="311"/>
      <c r="G193" s="311"/>
      <c r="H193" s="311"/>
      <c r="I193" s="311"/>
      <c r="J193" s="48"/>
      <c r="L193" s="47">
        <f t="shared" si="5"/>
        <v>1</v>
      </c>
    </row>
    <row r="194" spans="1:12" s="47" customFormat="1" ht="130.5" customHeight="1" x14ac:dyDescent="0.25">
      <c r="A194" s="47">
        <v>184</v>
      </c>
      <c r="B194" s="47" t="str">
        <f t="shared" si="4"/>
        <v/>
      </c>
      <c r="C194" s="48" t="str">
        <f>IF($B194&lt;&gt;"",VLOOKUP($B194,CATLookup!$A$2:$E$271,2,FALSE),"")</f>
        <v/>
      </c>
      <c r="D194" s="48" t="str">
        <f>IF($B194&lt;&gt;"",VLOOKUP($B194,CATLookup!$A$2:$E$271,3,FALSE),"")</f>
        <v/>
      </c>
      <c r="E194" s="48" t="str">
        <f>IF($B194&lt;&gt;"",VLOOKUP($B194,CATLookup!$A$2:$E$271,4,FALSE),"")</f>
        <v/>
      </c>
      <c r="F194" s="311"/>
      <c r="G194" s="311"/>
      <c r="H194" s="311"/>
      <c r="I194" s="311"/>
      <c r="J194" s="48"/>
      <c r="L194" s="47">
        <f t="shared" si="5"/>
        <v>1</v>
      </c>
    </row>
    <row r="195" spans="1:12" s="47" customFormat="1" ht="130.5" customHeight="1" x14ac:dyDescent="0.25">
      <c r="A195" s="47">
        <v>185</v>
      </c>
      <c r="B195" s="47" t="str">
        <f t="shared" si="4"/>
        <v/>
      </c>
      <c r="C195" s="48" t="str">
        <f>IF($B195&lt;&gt;"",VLOOKUP($B195,CATLookup!$A$2:$E$271,2,FALSE),"")</f>
        <v/>
      </c>
      <c r="D195" s="48" t="str">
        <f>IF($B195&lt;&gt;"",VLOOKUP($B195,CATLookup!$A$2:$E$271,3,FALSE),"")</f>
        <v/>
      </c>
      <c r="E195" s="48" t="str">
        <f>IF($B195&lt;&gt;"",VLOOKUP($B195,CATLookup!$A$2:$E$271,4,FALSE),"")</f>
        <v/>
      </c>
      <c r="F195" s="311"/>
      <c r="G195" s="311"/>
      <c r="H195" s="311"/>
      <c r="I195" s="311"/>
      <c r="J195" s="48"/>
      <c r="L195" s="47">
        <f t="shared" si="5"/>
        <v>1</v>
      </c>
    </row>
    <row r="196" spans="1:12" s="47" customFormat="1" ht="130.5" customHeight="1" x14ac:dyDescent="0.25">
      <c r="A196" s="47">
        <v>186</v>
      </c>
      <c r="B196" s="47" t="str">
        <f t="shared" si="4"/>
        <v/>
      </c>
      <c r="C196" s="48" t="str">
        <f>IF($B196&lt;&gt;"",VLOOKUP($B196,CATLookup!$A$2:$E$271,2,FALSE),"")</f>
        <v/>
      </c>
      <c r="D196" s="48" t="str">
        <f>IF($B196&lt;&gt;"",VLOOKUP($B196,CATLookup!$A$2:$E$271,3,FALSE),"")</f>
        <v/>
      </c>
      <c r="E196" s="48" t="str">
        <f>IF($B196&lt;&gt;"",VLOOKUP($B196,CATLookup!$A$2:$E$271,4,FALSE),"")</f>
        <v/>
      </c>
      <c r="F196" s="311"/>
      <c r="G196" s="311"/>
      <c r="H196" s="311"/>
      <c r="I196" s="311"/>
      <c r="J196" s="48"/>
      <c r="L196" s="47">
        <f t="shared" si="5"/>
        <v>1</v>
      </c>
    </row>
    <row r="197" spans="1:12" s="47" customFormat="1" ht="130.5" customHeight="1" x14ac:dyDescent="0.25">
      <c r="A197" s="47">
        <v>187</v>
      </c>
      <c r="B197" s="47" t="str">
        <f t="shared" si="4"/>
        <v/>
      </c>
      <c r="C197" s="48" t="str">
        <f>IF($B197&lt;&gt;"",VLOOKUP($B197,CATLookup!$A$2:$E$271,2,FALSE),"")</f>
        <v/>
      </c>
      <c r="D197" s="48" t="str">
        <f>IF($B197&lt;&gt;"",VLOOKUP($B197,CATLookup!$A$2:$E$271,3,FALSE),"")</f>
        <v/>
      </c>
      <c r="E197" s="48" t="str">
        <f>IF($B197&lt;&gt;"",VLOOKUP($B197,CATLookup!$A$2:$E$271,4,FALSE),"")</f>
        <v/>
      </c>
      <c r="F197" s="311"/>
      <c r="G197" s="311"/>
      <c r="H197" s="311"/>
      <c r="I197" s="311"/>
      <c r="J197" s="48"/>
      <c r="L197" s="47">
        <f t="shared" si="5"/>
        <v>1</v>
      </c>
    </row>
    <row r="198" spans="1:12" s="47" customFormat="1" ht="130.5" customHeight="1" x14ac:dyDescent="0.25">
      <c r="A198" s="47">
        <v>188</v>
      </c>
      <c r="B198" s="47" t="str">
        <f t="shared" si="4"/>
        <v/>
      </c>
      <c r="C198" s="48" t="str">
        <f>IF($B198&lt;&gt;"",VLOOKUP($B198,CATLookup!$A$2:$E$271,2,FALSE),"")</f>
        <v/>
      </c>
      <c r="D198" s="48" t="str">
        <f>IF($B198&lt;&gt;"",VLOOKUP($B198,CATLookup!$A$2:$E$271,3,FALSE),"")</f>
        <v/>
      </c>
      <c r="E198" s="48" t="str">
        <f>IF($B198&lt;&gt;"",VLOOKUP($B198,CATLookup!$A$2:$E$271,4,FALSE),"")</f>
        <v/>
      </c>
      <c r="F198" s="311"/>
      <c r="G198" s="311"/>
      <c r="H198" s="311"/>
      <c r="I198" s="311"/>
      <c r="J198" s="48"/>
      <c r="L198" s="47">
        <f t="shared" si="5"/>
        <v>1</v>
      </c>
    </row>
    <row r="199" spans="1:12" s="47" customFormat="1" ht="130.5" customHeight="1" x14ac:dyDescent="0.25">
      <c r="A199" s="47">
        <v>189</v>
      </c>
      <c r="B199" s="47" t="str">
        <f t="shared" si="4"/>
        <v/>
      </c>
      <c r="C199" s="48" t="str">
        <f>IF($B199&lt;&gt;"",VLOOKUP($B199,CATLookup!$A$2:$E$271,2,FALSE),"")</f>
        <v/>
      </c>
      <c r="D199" s="48" t="str">
        <f>IF($B199&lt;&gt;"",VLOOKUP($B199,CATLookup!$A$2:$E$271,3,FALSE),"")</f>
        <v/>
      </c>
      <c r="E199" s="48" t="str">
        <f>IF($B199&lt;&gt;"",VLOOKUP($B199,CATLookup!$A$2:$E$271,4,FALSE),"")</f>
        <v/>
      </c>
      <c r="F199" s="311"/>
      <c r="G199" s="311"/>
      <c r="H199" s="311"/>
      <c r="I199" s="311"/>
      <c r="J199" s="48"/>
      <c r="L199" s="47">
        <f t="shared" si="5"/>
        <v>1</v>
      </c>
    </row>
    <row r="200" spans="1:12" s="47" customFormat="1" ht="130.5" customHeight="1" x14ac:dyDescent="0.25">
      <c r="A200" s="47">
        <v>190</v>
      </c>
      <c r="B200" s="47" t="str">
        <f t="shared" si="4"/>
        <v/>
      </c>
      <c r="C200" s="48" t="str">
        <f>IF($B200&lt;&gt;"",VLOOKUP($B200,CATLookup!$A$2:$E$271,2,FALSE),"")</f>
        <v/>
      </c>
      <c r="D200" s="48" t="str">
        <f>IF($B200&lt;&gt;"",VLOOKUP($B200,CATLookup!$A$2:$E$271,3,FALSE),"")</f>
        <v/>
      </c>
      <c r="E200" s="48" t="str">
        <f>IF($B200&lt;&gt;"",VLOOKUP($B200,CATLookup!$A$2:$E$271,4,FALSE),"")</f>
        <v/>
      </c>
      <c r="F200" s="311"/>
      <c r="G200" s="311"/>
      <c r="H200" s="311"/>
      <c r="I200" s="311"/>
      <c r="J200" s="48"/>
      <c r="L200" s="47">
        <f t="shared" si="5"/>
        <v>1</v>
      </c>
    </row>
    <row r="201" spans="1:12" s="47" customFormat="1" ht="130.5" customHeight="1" x14ac:dyDescent="0.25">
      <c r="A201" s="47">
        <v>191</v>
      </c>
      <c r="B201" s="47" t="str">
        <f t="shared" si="4"/>
        <v/>
      </c>
      <c r="C201" s="48" t="str">
        <f>IF($B201&lt;&gt;"",VLOOKUP($B201,CATLookup!$A$2:$E$271,2,FALSE),"")</f>
        <v/>
      </c>
      <c r="D201" s="48" t="str">
        <f>IF($B201&lt;&gt;"",VLOOKUP($B201,CATLookup!$A$2:$E$271,3,FALSE),"")</f>
        <v/>
      </c>
      <c r="E201" s="48" t="str">
        <f>IF($B201&lt;&gt;"",VLOOKUP($B201,CATLookup!$A$2:$E$271,4,FALSE),"")</f>
        <v/>
      </c>
      <c r="F201" s="311"/>
      <c r="G201" s="311"/>
      <c r="H201" s="311"/>
      <c r="I201" s="311"/>
      <c r="J201" s="48"/>
      <c r="L201" s="47">
        <f t="shared" si="5"/>
        <v>1</v>
      </c>
    </row>
    <row r="202" spans="1:12" s="47" customFormat="1" ht="130.5" customHeight="1" x14ac:dyDescent="0.25">
      <c r="A202" s="47">
        <v>192</v>
      </c>
      <c r="B202" s="47" t="str">
        <f t="shared" si="4"/>
        <v/>
      </c>
      <c r="C202" s="48" t="str">
        <f>IF($B202&lt;&gt;"",VLOOKUP($B202,CATLookup!$A$2:$E$271,2,FALSE),"")</f>
        <v/>
      </c>
      <c r="D202" s="48" t="str">
        <f>IF($B202&lt;&gt;"",VLOOKUP($B202,CATLookup!$A$2:$E$271,3,FALSE),"")</f>
        <v/>
      </c>
      <c r="E202" s="48" t="str">
        <f>IF($B202&lt;&gt;"",VLOOKUP($B202,CATLookup!$A$2:$E$271,4,FALSE),"")</f>
        <v/>
      </c>
      <c r="F202" s="311"/>
      <c r="G202" s="311"/>
      <c r="H202" s="311"/>
      <c r="I202" s="311"/>
      <c r="J202" s="48"/>
      <c r="L202" s="47">
        <f t="shared" si="5"/>
        <v>1</v>
      </c>
    </row>
    <row r="203" spans="1:12" s="47" customFormat="1" ht="130.5" customHeight="1" x14ac:dyDescent="0.25">
      <c r="A203" s="47">
        <v>193</v>
      </c>
      <c r="B203" s="47" t="str">
        <f t="shared" si="4"/>
        <v/>
      </c>
      <c r="C203" s="48" t="str">
        <f>IF($B203&lt;&gt;"",VLOOKUP($B203,CATLookup!$A$2:$E$271,2,FALSE),"")</f>
        <v/>
      </c>
      <c r="D203" s="48" t="str">
        <f>IF($B203&lt;&gt;"",VLOOKUP($B203,CATLookup!$A$2:$E$271,3,FALSE),"")</f>
        <v/>
      </c>
      <c r="E203" s="48" t="str">
        <f>IF($B203&lt;&gt;"",VLOOKUP($B203,CATLookup!$A$2:$E$271,4,FALSE),"")</f>
        <v/>
      </c>
      <c r="F203" s="311"/>
      <c r="G203" s="311"/>
      <c r="H203" s="311"/>
      <c r="I203" s="311"/>
      <c r="J203" s="48"/>
      <c r="L203" s="47">
        <f t="shared" si="5"/>
        <v>1</v>
      </c>
    </row>
    <row r="204" spans="1:12" s="47" customFormat="1" ht="130.5" customHeight="1" x14ac:dyDescent="0.25">
      <c r="A204" s="47">
        <v>194</v>
      </c>
      <c r="B204" s="47" t="str">
        <f t="shared" ref="B204:B267" si="6">IF(A$9=0,"No items for this report",IF(A204&lt;=A$9,A204,""))</f>
        <v/>
      </c>
      <c r="C204" s="48" t="str">
        <f>IF($B204&lt;&gt;"",VLOOKUP($B204,CATLookup!$A$2:$E$271,2,FALSE),"")</f>
        <v/>
      </c>
      <c r="D204" s="48" t="str">
        <f>IF($B204&lt;&gt;"",VLOOKUP($B204,CATLookup!$A$2:$E$271,3,FALSE),"")</f>
        <v/>
      </c>
      <c r="E204" s="48" t="str">
        <f>IF($B204&lt;&gt;"",VLOOKUP($B204,CATLookup!$A$2:$E$271,4,FALSE),"")</f>
        <v/>
      </c>
      <c r="F204" s="311"/>
      <c r="G204" s="311"/>
      <c r="H204" s="311"/>
      <c r="I204" s="311"/>
      <c r="J204" s="48"/>
      <c r="L204" s="47">
        <f t="shared" ref="L204:L267" si="7">IF(B204&lt;&gt;"",L203+1,1)</f>
        <v>1</v>
      </c>
    </row>
    <row r="205" spans="1:12" s="47" customFormat="1" ht="130.5" customHeight="1" x14ac:dyDescent="0.25">
      <c r="A205" s="47">
        <v>195</v>
      </c>
      <c r="B205" s="47" t="str">
        <f t="shared" si="6"/>
        <v/>
      </c>
      <c r="C205" s="48" t="str">
        <f>IF($B205&lt;&gt;"",VLOOKUP($B205,CATLookup!$A$2:$E$271,2,FALSE),"")</f>
        <v/>
      </c>
      <c r="D205" s="48" t="str">
        <f>IF($B205&lt;&gt;"",VLOOKUP($B205,CATLookup!$A$2:$E$271,3,FALSE),"")</f>
        <v/>
      </c>
      <c r="E205" s="48" t="str">
        <f>IF($B205&lt;&gt;"",VLOOKUP($B205,CATLookup!$A$2:$E$271,4,FALSE),"")</f>
        <v/>
      </c>
      <c r="F205" s="311"/>
      <c r="G205" s="311"/>
      <c r="H205" s="311"/>
      <c r="I205" s="311"/>
      <c r="J205" s="48"/>
      <c r="L205" s="47">
        <f t="shared" si="7"/>
        <v>1</v>
      </c>
    </row>
    <row r="206" spans="1:12" s="47" customFormat="1" ht="130.5" customHeight="1" x14ac:dyDescent="0.25">
      <c r="A206" s="47">
        <v>196</v>
      </c>
      <c r="B206" s="47" t="str">
        <f t="shared" si="6"/>
        <v/>
      </c>
      <c r="C206" s="48" t="str">
        <f>IF($B206&lt;&gt;"",VLOOKUP($B206,CATLookup!$A$2:$E$271,2,FALSE),"")</f>
        <v/>
      </c>
      <c r="D206" s="48" t="str">
        <f>IF($B206&lt;&gt;"",VLOOKUP($B206,CATLookup!$A$2:$E$271,3,FALSE),"")</f>
        <v/>
      </c>
      <c r="E206" s="48" t="str">
        <f>IF($B206&lt;&gt;"",VLOOKUP($B206,CATLookup!$A$2:$E$271,4,FALSE),"")</f>
        <v/>
      </c>
      <c r="F206" s="311"/>
      <c r="G206" s="311"/>
      <c r="H206" s="311"/>
      <c r="I206" s="311"/>
      <c r="J206" s="48"/>
      <c r="L206" s="47">
        <f t="shared" si="7"/>
        <v>1</v>
      </c>
    </row>
    <row r="207" spans="1:12" s="47" customFormat="1" ht="130.5" customHeight="1" x14ac:dyDescent="0.25">
      <c r="A207" s="47">
        <v>197</v>
      </c>
      <c r="B207" s="47" t="str">
        <f t="shared" si="6"/>
        <v/>
      </c>
      <c r="C207" s="48" t="str">
        <f>IF($B207&lt;&gt;"",VLOOKUP($B207,CATLookup!$A$2:$E$271,2,FALSE),"")</f>
        <v/>
      </c>
      <c r="D207" s="48" t="str">
        <f>IF($B207&lt;&gt;"",VLOOKUP($B207,CATLookup!$A$2:$E$271,3,FALSE),"")</f>
        <v/>
      </c>
      <c r="E207" s="48" t="str">
        <f>IF($B207&lt;&gt;"",VLOOKUP($B207,CATLookup!$A$2:$E$271,4,FALSE),"")</f>
        <v/>
      </c>
      <c r="F207" s="311"/>
      <c r="G207" s="311"/>
      <c r="H207" s="311"/>
      <c r="I207" s="311"/>
      <c r="J207" s="48"/>
      <c r="L207" s="47">
        <f t="shared" si="7"/>
        <v>1</v>
      </c>
    </row>
    <row r="208" spans="1:12" s="47" customFormat="1" ht="130.5" customHeight="1" x14ac:dyDescent="0.25">
      <c r="A208" s="47">
        <v>198</v>
      </c>
      <c r="B208" s="47" t="str">
        <f t="shared" si="6"/>
        <v/>
      </c>
      <c r="C208" s="48" t="str">
        <f>IF($B208&lt;&gt;"",VLOOKUP($B208,CATLookup!$A$2:$E$271,2,FALSE),"")</f>
        <v/>
      </c>
      <c r="D208" s="48" t="str">
        <f>IF($B208&lt;&gt;"",VLOOKUP($B208,CATLookup!$A$2:$E$271,3,FALSE),"")</f>
        <v/>
      </c>
      <c r="E208" s="48" t="str">
        <f>IF($B208&lt;&gt;"",VLOOKUP($B208,CATLookup!$A$2:$E$271,4,FALSE),"")</f>
        <v/>
      </c>
      <c r="F208" s="311"/>
      <c r="G208" s="311"/>
      <c r="H208" s="311"/>
      <c r="I208" s="311"/>
      <c r="J208" s="48"/>
      <c r="L208" s="47">
        <f t="shared" si="7"/>
        <v>1</v>
      </c>
    </row>
    <row r="209" spans="1:12" s="47" customFormat="1" ht="130.5" customHeight="1" x14ac:dyDescent="0.25">
      <c r="A209" s="47">
        <v>199</v>
      </c>
      <c r="B209" s="47" t="str">
        <f t="shared" si="6"/>
        <v/>
      </c>
      <c r="C209" s="48" t="str">
        <f>IF($B209&lt;&gt;"",VLOOKUP($B209,CATLookup!$A$2:$E$271,2,FALSE),"")</f>
        <v/>
      </c>
      <c r="D209" s="48" t="str">
        <f>IF($B209&lt;&gt;"",VLOOKUP($B209,CATLookup!$A$2:$E$271,3,FALSE),"")</f>
        <v/>
      </c>
      <c r="E209" s="48" t="str">
        <f>IF($B209&lt;&gt;"",VLOOKUP($B209,CATLookup!$A$2:$E$271,4,FALSE),"")</f>
        <v/>
      </c>
      <c r="F209" s="311"/>
      <c r="G209" s="311"/>
      <c r="H209" s="311"/>
      <c r="I209" s="311"/>
      <c r="J209" s="48"/>
      <c r="L209" s="47">
        <f t="shared" si="7"/>
        <v>1</v>
      </c>
    </row>
    <row r="210" spans="1:12" s="47" customFormat="1" ht="130.5" customHeight="1" x14ac:dyDescent="0.25">
      <c r="A210" s="47">
        <v>200</v>
      </c>
      <c r="B210" s="47" t="str">
        <f t="shared" si="6"/>
        <v/>
      </c>
      <c r="C210" s="48" t="str">
        <f>IF($B210&lt;&gt;"",VLOOKUP($B210,CATLookup!$A$2:$E$271,2,FALSE),"")</f>
        <v/>
      </c>
      <c r="D210" s="48" t="str">
        <f>IF($B210&lt;&gt;"",VLOOKUP($B210,CATLookup!$A$2:$E$271,3,FALSE),"")</f>
        <v/>
      </c>
      <c r="E210" s="48" t="str">
        <f>IF($B210&lt;&gt;"",VLOOKUP($B210,CATLookup!$A$2:$E$271,4,FALSE),"")</f>
        <v/>
      </c>
      <c r="F210" s="311"/>
      <c r="G210" s="311"/>
      <c r="H210" s="311"/>
      <c r="I210" s="311"/>
      <c r="J210" s="48"/>
      <c r="L210" s="47">
        <f t="shared" si="7"/>
        <v>1</v>
      </c>
    </row>
    <row r="211" spans="1:12" s="47" customFormat="1" ht="130.5" customHeight="1" x14ac:dyDescent="0.25">
      <c r="A211" s="47">
        <v>201</v>
      </c>
      <c r="B211" s="47" t="str">
        <f t="shared" si="6"/>
        <v/>
      </c>
      <c r="C211" s="48" t="str">
        <f>IF($B211&lt;&gt;"",VLOOKUP($B211,CATLookup!$A$2:$E$271,2,FALSE),"")</f>
        <v/>
      </c>
      <c r="D211" s="48" t="str">
        <f>IF($B211&lt;&gt;"",VLOOKUP($B211,CATLookup!$A$2:$E$271,3,FALSE),"")</f>
        <v/>
      </c>
      <c r="E211" s="48" t="str">
        <f>IF($B211&lt;&gt;"",VLOOKUP($B211,CATLookup!$A$2:$E$271,4,FALSE),"")</f>
        <v/>
      </c>
      <c r="F211" s="311"/>
      <c r="G211" s="311"/>
      <c r="H211" s="311"/>
      <c r="I211" s="311"/>
      <c r="J211" s="48"/>
      <c r="L211" s="47">
        <f t="shared" si="7"/>
        <v>1</v>
      </c>
    </row>
    <row r="212" spans="1:12" s="47" customFormat="1" ht="130.5" customHeight="1" x14ac:dyDescent="0.25">
      <c r="A212" s="47">
        <v>202</v>
      </c>
      <c r="B212" s="47" t="str">
        <f t="shared" si="6"/>
        <v/>
      </c>
      <c r="C212" s="48" t="str">
        <f>IF($B212&lt;&gt;"",VLOOKUP($B212,CATLookup!$A$2:$E$271,2,FALSE),"")</f>
        <v/>
      </c>
      <c r="D212" s="48" t="str">
        <f>IF($B212&lt;&gt;"",VLOOKUP($B212,CATLookup!$A$2:$E$271,3,FALSE),"")</f>
        <v/>
      </c>
      <c r="E212" s="48" t="str">
        <f>IF($B212&lt;&gt;"",VLOOKUP($B212,CATLookup!$A$2:$E$271,4,FALSE),"")</f>
        <v/>
      </c>
      <c r="F212" s="311"/>
      <c r="G212" s="311"/>
      <c r="H212" s="311"/>
      <c r="I212" s="311"/>
      <c r="J212" s="48"/>
      <c r="L212" s="47">
        <f t="shared" si="7"/>
        <v>1</v>
      </c>
    </row>
    <row r="213" spans="1:12" s="47" customFormat="1" ht="130.5" customHeight="1" x14ac:dyDescent="0.25">
      <c r="A213" s="47">
        <v>203</v>
      </c>
      <c r="B213" s="47" t="str">
        <f t="shared" si="6"/>
        <v/>
      </c>
      <c r="C213" s="48" t="str">
        <f>IF($B213&lt;&gt;"",VLOOKUP($B213,CATLookup!$A$2:$E$271,2,FALSE),"")</f>
        <v/>
      </c>
      <c r="D213" s="48" t="str">
        <f>IF($B213&lt;&gt;"",VLOOKUP($B213,CATLookup!$A$2:$E$271,3,FALSE),"")</f>
        <v/>
      </c>
      <c r="E213" s="48" t="str">
        <f>IF($B213&lt;&gt;"",VLOOKUP($B213,CATLookup!$A$2:$E$271,4,FALSE),"")</f>
        <v/>
      </c>
      <c r="F213" s="311"/>
      <c r="G213" s="311"/>
      <c r="H213" s="311"/>
      <c r="I213" s="311"/>
      <c r="J213" s="48"/>
      <c r="L213" s="47">
        <f t="shared" si="7"/>
        <v>1</v>
      </c>
    </row>
    <row r="214" spans="1:12" s="47" customFormat="1" ht="130.5" customHeight="1" x14ac:dyDescent="0.25">
      <c r="A214" s="47">
        <v>204</v>
      </c>
      <c r="B214" s="47" t="str">
        <f t="shared" si="6"/>
        <v/>
      </c>
      <c r="C214" s="48" t="str">
        <f>IF($B214&lt;&gt;"",VLOOKUP($B214,CATLookup!$A$2:$E$271,2,FALSE),"")</f>
        <v/>
      </c>
      <c r="D214" s="48" t="str">
        <f>IF($B214&lt;&gt;"",VLOOKUP($B214,CATLookup!$A$2:$E$271,3,FALSE),"")</f>
        <v/>
      </c>
      <c r="E214" s="48" t="str">
        <f>IF($B214&lt;&gt;"",VLOOKUP($B214,CATLookup!$A$2:$E$271,4,FALSE),"")</f>
        <v/>
      </c>
      <c r="F214" s="311"/>
      <c r="G214" s="311"/>
      <c r="H214" s="311"/>
      <c r="I214" s="311"/>
      <c r="J214" s="48"/>
      <c r="L214" s="47">
        <f t="shared" si="7"/>
        <v>1</v>
      </c>
    </row>
    <row r="215" spans="1:12" s="47" customFormat="1" ht="130.5" customHeight="1" x14ac:dyDescent="0.25">
      <c r="A215" s="47">
        <v>205</v>
      </c>
      <c r="B215" s="47" t="str">
        <f t="shared" si="6"/>
        <v/>
      </c>
      <c r="C215" s="48" t="str">
        <f>IF($B215&lt;&gt;"",VLOOKUP($B215,CATLookup!$A$2:$E$271,2,FALSE),"")</f>
        <v/>
      </c>
      <c r="D215" s="48" t="str">
        <f>IF($B215&lt;&gt;"",VLOOKUP($B215,CATLookup!$A$2:$E$271,3,FALSE),"")</f>
        <v/>
      </c>
      <c r="E215" s="48" t="str">
        <f>IF($B215&lt;&gt;"",VLOOKUP($B215,CATLookup!$A$2:$E$271,4,FALSE),"")</f>
        <v/>
      </c>
      <c r="F215" s="311"/>
      <c r="G215" s="311"/>
      <c r="H215" s="311"/>
      <c r="I215" s="311"/>
      <c r="J215" s="48"/>
      <c r="L215" s="47">
        <f t="shared" si="7"/>
        <v>1</v>
      </c>
    </row>
    <row r="216" spans="1:12" s="47" customFormat="1" ht="130.5" customHeight="1" x14ac:dyDescent="0.25">
      <c r="A216" s="47">
        <v>206</v>
      </c>
      <c r="B216" s="47" t="str">
        <f t="shared" si="6"/>
        <v/>
      </c>
      <c r="C216" s="48" t="str">
        <f>IF($B216&lt;&gt;"",VLOOKUP($B216,CATLookup!$A$2:$E$271,2,FALSE),"")</f>
        <v/>
      </c>
      <c r="D216" s="48" t="str">
        <f>IF($B216&lt;&gt;"",VLOOKUP($B216,CATLookup!$A$2:$E$271,3,FALSE),"")</f>
        <v/>
      </c>
      <c r="E216" s="48" t="str">
        <f>IF($B216&lt;&gt;"",VLOOKUP($B216,CATLookup!$A$2:$E$271,4,FALSE),"")</f>
        <v/>
      </c>
      <c r="F216" s="311"/>
      <c r="G216" s="311"/>
      <c r="H216" s="311"/>
      <c r="I216" s="311"/>
      <c r="J216" s="48"/>
      <c r="L216" s="47">
        <f t="shared" si="7"/>
        <v>1</v>
      </c>
    </row>
    <row r="217" spans="1:12" s="47" customFormat="1" ht="130.5" customHeight="1" x14ac:dyDescent="0.25">
      <c r="A217" s="47">
        <v>207</v>
      </c>
      <c r="B217" s="47" t="str">
        <f t="shared" si="6"/>
        <v/>
      </c>
      <c r="C217" s="48" t="str">
        <f>IF($B217&lt;&gt;"",VLOOKUP($B217,CATLookup!$A$2:$E$271,2,FALSE),"")</f>
        <v/>
      </c>
      <c r="D217" s="48" t="str">
        <f>IF($B217&lt;&gt;"",VLOOKUP($B217,CATLookup!$A$2:$E$271,3,FALSE),"")</f>
        <v/>
      </c>
      <c r="E217" s="48" t="str">
        <f>IF($B217&lt;&gt;"",VLOOKUP($B217,CATLookup!$A$2:$E$271,4,FALSE),"")</f>
        <v/>
      </c>
      <c r="F217" s="311"/>
      <c r="G217" s="311"/>
      <c r="H217" s="311"/>
      <c r="I217" s="311"/>
      <c r="J217" s="48"/>
      <c r="L217" s="47">
        <f t="shared" si="7"/>
        <v>1</v>
      </c>
    </row>
    <row r="218" spans="1:12" s="47" customFormat="1" ht="130.5" customHeight="1" x14ac:dyDescent="0.25">
      <c r="A218" s="47">
        <v>208</v>
      </c>
      <c r="B218" s="47" t="str">
        <f t="shared" si="6"/>
        <v/>
      </c>
      <c r="C218" s="48" t="str">
        <f>IF($B218&lt;&gt;"",VLOOKUP($B218,CATLookup!$A$2:$E$271,2,FALSE),"")</f>
        <v/>
      </c>
      <c r="D218" s="48" t="str">
        <f>IF($B218&lt;&gt;"",VLOOKUP($B218,CATLookup!$A$2:$E$271,3,FALSE),"")</f>
        <v/>
      </c>
      <c r="E218" s="48" t="str">
        <f>IF($B218&lt;&gt;"",VLOOKUP($B218,CATLookup!$A$2:$E$271,4,FALSE),"")</f>
        <v/>
      </c>
      <c r="F218" s="311"/>
      <c r="G218" s="311"/>
      <c r="H218" s="311"/>
      <c r="I218" s="311"/>
      <c r="J218" s="48"/>
      <c r="L218" s="47">
        <f t="shared" si="7"/>
        <v>1</v>
      </c>
    </row>
    <row r="219" spans="1:12" s="47" customFormat="1" ht="130.5" customHeight="1" x14ac:dyDescent="0.25">
      <c r="A219" s="47">
        <v>209</v>
      </c>
      <c r="B219" s="47" t="str">
        <f t="shared" si="6"/>
        <v/>
      </c>
      <c r="C219" s="48" t="str">
        <f>IF($B219&lt;&gt;"",VLOOKUP($B219,CATLookup!$A$2:$E$271,2,FALSE),"")</f>
        <v/>
      </c>
      <c r="D219" s="48" t="str">
        <f>IF($B219&lt;&gt;"",VLOOKUP($B219,CATLookup!$A$2:$E$271,3,FALSE),"")</f>
        <v/>
      </c>
      <c r="E219" s="48" t="str">
        <f>IF($B219&lt;&gt;"",VLOOKUP($B219,CATLookup!$A$2:$E$271,4,FALSE),"")</f>
        <v/>
      </c>
      <c r="F219" s="311"/>
      <c r="G219" s="311"/>
      <c r="H219" s="311"/>
      <c r="I219" s="311"/>
      <c r="J219" s="48"/>
      <c r="L219" s="47">
        <f t="shared" si="7"/>
        <v>1</v>
      </c>
    </row>
    <row r="220" spans="1:12" s="47" customFormat="1" ht="130.5" customHeight="1" x14ac:dyDescent="0.25">
      <c r="A220" s="47">
        <v>210</v>
      </c>
      <c r="B220" s="47" t="str">
        <f t="shared" si="6"/>
        <v/>
      </c>
      <c r="C220" s="48" t="str">
        <f>IF($B220&lt;&gt;"",VLOOKUP($B220,CATLookup!$A$2:$E$271,2,FALSE),"")</f>
        <v/>
      </c>
      <c r="D220" s="48" t="str">
        <f>IF($B220&lt;&gt;"",VLOOKUP($B220,CATLookup!$A$2:$E$271,3,FALSE),"")</f>
        <v/>
      </c>
      <c r="E220" s="48" t="str">
        <f>IF($B220&lt;&gt;"",VLOOKUP($B220,CATLookup!$A$2:$E$271,4,FALSE),"")</f>
        <v/>
      </c>
      <c r="F220" s="311"/>
      <c r="G220" s="311"/>
      <c r="H220" s="311"/>
      <c r="I220" s="311"/>
      <c r="J220" s="48"/>
      <c r="L220" s="47">
        <f t="shared" si="7"/>
        <v>1</v>
      </c>
    </row>
    <row r="221" spans="1:12" s="47" customFormat="1" ht="130.5" customHeight="1" x14ac:dyDescent="0.25">
      <c r="A221" s="47">
        <v>211</v>
      </c>
      <c r="B221" s="47" t="str">
        <f t="shared" si="6"/>
        <v/>
      </c>
      <c r="C221" s="48" t="str">
        <f>IF($B221&lt;&gt;"",VLOOKUP($B221,CATLookup!$A$2:$E$271,2,FALSE),"")</f>
        <v/>
      </c>
      <c r="D221" s="48" t="str">
        <f>IF($B221&lt;&gt;"",VLOOKUP($B221,CATLookup!$A$2:$E$271,3,FALSE),"")</f>
        <v/>
      </c>
      <c r="E221" s="48" t="str">
        <f>IF($B221&lt;&gt;"",VLOOKUP($B221,CATLookup!$A$2:$E$271,4,FALSE),"")</f>
        <v/>
      </c>
      <c r="F221" s="311"/>
      <c r="G221" s="311"/>
      <c r="H221" s="311"/>
      <c r="I221" s="311"/>
      <c r="J221" s="48"/>
      <c r="L221" s="47">
        <f t="shared" si="7"/>
        <v>1</v>
      </c>
    </row>
    <row r="222" spans="1:12" s="47" customFormat="1" ht="130.5" customHeight="1" x14ac:dyDescent="0.25">
      <c r="A222" s="47">
        <v>212</v>
      </c>
      <c r="B222" s="47" t="str">
        <f t="shared" si="6"/>
        <v/>
      </c>
      <c r="C222" s="48" t="str">
        <f>IF($B222&lt;&gt;"",VLOOKUP($B222,CATLookup!$A$2:$E$271,2,FALSE),"")</f>
        <v/>
      </c>
      <c r="D222" s="48" t="str">
        <f>IF($B222&lt;&gt;"",VLOOKUP($B222,CATLookup!$A$2:$E$271,3,FALSE),"")</f>
        <v/>
      </c>
      <c r="E222" s="48" t="str">
        <f>IF($B222&lt;&gt;"",VLOOKUP($B222,CATLookup!$A$2:$E$271,4,FALSE),"")</f>
        <v/>
      </c>
      <c r="F222" s="311"/>
      <c r="G222" s="311"/>
      <c r="H222" s="311"/>
      <c r="I222" s="311"/>
      <c r="J222" s="48"/>
      <c r="L222" s="47">
        <f t="shared" si="7"/>
        <v>1</v>
      </c>
    </row>
    <row r="223" spans="1:12" s="47" customFormat="1" ht="130.5" customHeight="1" x14ac:dyDescent="0.25">
      <c r="A223" s="47">
        <v>213</v>
      </c>
      <c r="B223" s="47" t="str">
        <f t="shared" si="6"/>
        <v/>
      </c>
      <c r="C223" s="48" t="str">
        <f>IF($B223&lt;&gt;"",VLOOKUP($B223,CATLookup!$A$2:$E$271,2,FALSE),"")</f>
        <v/>
      </c>
      <c r="D223" s="48" t="str">
        <f>IF($B223&lt;&gt;"",VLOOKUP($B223,CATLookup!$A$2:$E$271,3,FALSE),"")</f>
        <v/>
      </c>
      <c r="E223" s="48" t="str">
        <f>IF($B223&lt;&gt;"",VLOOKUP($B223,CATLookup!$A$2:$E$271,4,FALSE),"")</f>
        <v/>
      </c>
      <c r="F223" s="311"/>
      <c r="G223" s="311"/>
      <c r="H223" s="311"/>
      <c r="I223" s="311"/>
      <c r="J223" s="48"/>
      <c r="L223" s="47">
        <f t="shared" si="7"/>
        <v>1</v>
      </c>
    </row>
    <row r="224" spans="1:12" s="47" customFormat="1" ht="130.5" customHeight="1" x14ac:dyDescent="0.25">
      <c r="A224" s="47">
        <v>214</v>
      </c>
      <c r="B224" s="47" t="str">
        <f t="shared" si="6"/>
        <v/>
      </c>
      <c r="C224" s="48" t="str">
        <f>IF($B224&lt;&gt;"",VLOOKUP($B224,CATLookup!$A$2:$E$271,2,FALSE),"")</f>
        <v/>
      </c>
      <c r="D224" s="48" t="str">
        <f>IF($B224&lt;&gt;"",VLOOKUP($B224,CATLookup!$A$2:$E$271,3,FALSE),"")</f>
        <v/>
      </c>
      <c r="E224" s="48" t="str">
        <f>IF($B224&lt;&gt;"",VLOOKUP($B224,CATLookup!$A$2:$E$271,4,FALSE),"")</f>
        <v/>
      </c>
      <c r="F224" s="311"/>
      <c r="G224" s="311"/>
      <c r="H224" s="311"/>
      <c r="I224" s="311"/>
      <c r="J224" s="48"/>
      <c r="L224" s="47">
        <f t="shared" si="7"/>
        <v>1</v>
      </c>
    </row>
    <row r="225" spans="1:12" s="47" customFormat="1" ht="130.5" customHeight="1" x14ac:dyDescent="0.25">
      <c r="A225" s="47">
        <v>215</v>
      </c>
      <c r="B225" s="47" t="str">
        <f t="shared" si="6"/>
        <v/>
      </c>
      <c r="C225" s="48" t="str">
        <f>IF($B225&lt;&gt;"",VLOOKUP($B225,CATLookup!$A$2:$E$271,2,FALSE),"")</f>
        <v/>
      </c>
      <c r="D225" s="48" t="str">
        <f>IF($B225&lt;&gt;"",VLOOKUP($B225,CATLookup!$A$2:$E$271,3,FALSE),"")</f>
        <v/>
      </c>
      <c r="E225" s="48" t="str">
        <f>IF($B225&lt;&gt;"",VLOOKUP($B225,CATLookup!$A$2:$E$271,4,FALSE),"")</f>
        <v/>
      </c>
      <c r="F225" s="311"/>
      <c r="G225" s="311"/>
      <c r="H225" s="311"/>
      <c r="I225" s="311"/>
      <c r="J225" s="48"/>
      <c r="L225" s="47">
        <f t="shared" si="7"/>
        <v>1</v>
      </c>
    </row>
    <row r="226" spans="1:12" s="47" customFormat="1" ht="130.5" customHeight="1" x14ac:dyDescent="0.25">
      <c r="A226" s="47">
        <v>216</v>
      </c>
      <c r="B226" s="47" t="str">
        <f t="shared" si="6"/>
        <v/>
      </c>
      <c r="C226" s="48" t="str">
        <f>IF($B226&lt;&gt;"",VLOOKUP($B226,CATLookup!$A$2:$E$271,2,FALSE),"")</f>
        <v/>
      </c>
      <c r="D226" s="48" t="str">
        <f>IF($B226&lt;&gt;"",VLOOKUP($B226,CATLookup!$A$2:$E$271,3,FALSE),"")</f>
        <v/>
      </c>
      <c r="E226" s="48" t="str">
        <f>IF($B226&lt;&gt;"",VLOOKUP($B226,CATLookup!$A$2:$E$271,4,FALSE),"")</f>
        <v/>
      </c>
      <c r="F226" s="311"/>
      <c r="G226" s="311"/>
      <c r="H226" s="311"/>
      <c r="I226" s="311"/>
      <c r="J226" s="48"/>
      <c r="L226" s="47">
        <f t="shared" si="7"/>
        <v>1</v>
      </c>
    </row>
    <row r="227" spans="1:12" s="47" customFormat="1" ht="130.5" customHeight="1" x14ac:dyDescent="0.25">
      <c r="A227" s="47">
        <v>217</v>
      </c>
      <c r="B227" s="47" t="str">
        <f t="shared" si="6"/>
        <v/>
      </c>
      <c r="C227" s="48" t="str">
        <f>IF($B227&lt;&gt;"",VLOOKUP($B227,CATLookup!$A$2:$E$271,2,FALSE),"")</f>
        <v/>
      </c>
      <c r="D227" s="48" t="str">
        <f>IF($B227&lt;&gt;"",VLOOKUP($B227,CATLookup!$A$2:$E$271,3,FALSE),"")</f>
        <v/>
      </c>
      <c r="E227" s="48" t="str">
        <f>IF($B227&lt;&gt;"",VLOOKUP($B227,CATLookup!$A$2:$E$271,4,FALSE),"")</f>
        <v/>
      </c>
      <c r="F227" s="311"/>
      <c r="G227" s="311"/>
      <c r="H227" s="311"/>
      <c r="I227" s="311"/>
      <c r="J227" s="48"/>
      <c r="L227" s="47">
        <f t="shared" si="7"/>
        <v>1</v>
      </c>
    </row>
    <row r="228" spans="1:12" s="47" customFormat="1" ht="130.5" customHeight="1" x14ac:dyDescent="0.25">
      <c r="A228" s="47">
        <v>218</v>
      </c>
      <c r="B228" s="47" t="str">
        <f t="shared" si="6"/>
        <v/>
      </c>
      <c r="C228" s="48" t="str">
        <f>IF($B228&lt;&gt;"",VLOOKUP($B228,CATLookup!$A$2:$E$271,2,FALSE),"")</f>
        <v/>
      </c>
      <c r="D228" s="48" t="str">
        <f>IF($B228&lt;&gt;"",VLOOKUP($B228,CATLookup!$A$2:$E$271,3,FALSE),"")</f>
        <v/>
      </c>
      <c r="E228" s="48" t="str">
        <f>IF($B228&lt;&gt;"",VLOOKUP($B228,CATLookup!$A$2:$E$271,4,FALSE),"")</f>
        <v/>
      </c>
      <c r="F228" s="311"/>
      <c r="G228" s="311"/>
      <c r="H228" s="311"/>
      <c r="I228" s="311"/>
      <c r="J228" s="48"/>
      <c r="L228" s="47">
        <f t="shared" si="7"/>
        <v>1</v>
      </c>
    </row>
    <row r="229" spans="1:12" s="47" customFormat="1" ht="130.5" customHeight="1" x14ac:dyDescent="0.25">
      <c r="A229" s="47">
        <v>219</v>
      </c>
      <c r="B229" s="47" t="str">
        <f t="shared" si="6"/>
        <v/>
      </c>
      <c r="C229" s="48" t="str">
        <f>IF($B229&lt;&gt;"",VLOOKUP($B229,CATLookup!$A$2:$E$271,2,FALSE),"")</f>
        <v/>
      </c>
      <c r="D229" s="48" t="str">
        <f>IF($B229&lt;&gt;"",VLOOKUP($B229,CATLookup!$A$2:$E$271,3,FALSE),"")</f>
        <v/>
      </c>
      <c r="E229" s="48" t="str">
        <f>IF($B229&lt;&gt;"",VLOOKUP($B229,CATLookup!$A$2:$E$271,4,FALSE),"")</f>
        <v/>
      </c>
      <c r="F229" s="311"/>
      <c r="G229" s="311"/>
      <c r="H229" s="311"/>
      <c r="I229" s="311"/>
      <c r="J229" s="48"/>
      <c r="L229" s="47">
        <f t="shared" si="7"/>
        <v>1</v>
      </c>
    </row>
    <row r="230" spans="1:12" s="47" customFormat="1" ht="130.5" customHeight="1" x14ac:dyDescent="0.25">
      <c r="A230" s="47">
        <v>220</v>
      </c>
      <c r="B230" s="47" t="str">
        <f t="shared" si="6"/>
        <v/>
      </c>
      <c r="C230" s="48" t="str">
        <f>IF($B230&lt;&gt;"",VLOOKUP($B230,CATLookup!$A$2:$E$271,2,FALSE),"")</f>
        <v/>
      </c>
      <c r="D230" s="48" t="str">
        <f>IF($B230&lt;&gt;"",VLOOKUP($B230,CATLookup!$A$2:$E$271,3,FALSE),"")</f>
        <v/>
      </c>
      <c r="E230" s="48" t="str">
        <f>IF($B230&lt;&gt;"",VLOOKUP($B230,CATLookup!$A$2:$E$271,4,FALSE),"")</f>
        <v/>
      </c>
      <c r="F230" s="311"/>
      <c r="G230" s="311"/>
      <c r="H230" s="311"/>
      <c r="I230" s="311"/>
      <c r="J230" s="48"/>
      <c r="L230" s="47">
        <f t="shared" si="7"/>
        <v>1</v>
      </c>
    </row>
    <row r="231" spans="1:12" s="47" customFormat="1" ht="130.5" customHeight="1" x14ac:dyDescent="0.25">
      <c r="A231" s="47">
        <v>221</v>
      </c>
      <c r="B231" s="47" t="str">
        <f t="shared" si="6"/>
        <v/>
      </c>
      <c r="C231" s="48" t="str">
        <f>IF($B231&lt;&gt;"",VLOOKUP($B231,CATLookup!$A$2:$E$271,2,FALSE),"")</f>
        <v/>
      </c>
      <c r="D231" s="48" t="str">
        <f>IF($B231&lt;&gt;"",VLOOKUP($B231,CATLookup!$A$2:$E$271,3,FALSE),"")</f>
        <v/>
      </c>
      <c r="E231" s="48" t="str">
        <f>IF($B231&lt;&gt;"",VLOOKUP($B231,CATLookup!$A$2:$E$271,4,FALSE),"")</f>
        <v/>
      </c>
      <c r="F231" s="311"/>
      <c r="G231" s="311"/>
      <c r="H231" s="311"/>
      <c r="I231" s="311"/>
      <c r="J231" s="48"/>
      <c r="L231" s="47">
        <f t="shared" si="7"/>
        <v>1</v>
      </c>
    </row>
    <row r="232" spans="1:12" s="47" customFormat="1" ht="130.5" customHeight="1" x14ac:dyDescent="0.25">
      <c r="A232" s="47">
        <v>222</v>
      </c>
      <c r="B232" s="47" t="str">
        <f t="shared" si="6"/>
        <v/>
      </c>
      <c r="C232" s="48" t="str">
        <f>IF($B232&lt;&gt;"",VLOOKUP($B232,CATLookup!$A$2:$E$271,2,FALSE),"")</f>
        <v/>
      </c>
      <c r="D232" s="48" t="str">
        <f>IF($B232&lt;&gt;"",VLOOKUP($B232,CATLookup!$A$2:$E$271,3,FALSE),"")</f>
        <v/>
      </c>
      <c r="E232" s="48" t="str">
        <f>IF($B232&lt;&gt;"",VLOOKUP($B232,CATLookup!$A$2:$E$271,4,FALSE),"")</f>
        <v/>
      </c>
      <c r="F232" s="311"/>
      <c r="G232" s="311"/>
      <c r="H232" s="311"/>
      <c r="I232" s="311"/>
      <c r="J232" s="48"/>
      <c r="L232" s="47">
        <f t="shared" si="7"/>
        <v>1</v>
      </c>
    </row>
    <row r="233" spans="1:12" s="47" customFormat="1" ht="130.5" customHeight="1" x14ac:dyDescent="0.25">
      <c r="A233" s="47">
        <v>223</v>
      </c>
      <c r="B233" s="47" t="str">
        <f t="shared" si="6"/>
        <v/>
      </c>
      <c r="C233" s="48" t="str">
        <f>IF($B233&lt;&gt;"",VLOOKUP($B233,CATLookup!$A$2:$E$271,2,FALSE),"")</f>
        <v/>
      </c>
      <c r="D233" s="48" t="str">
        <f>IF($B233&lt;&gt;"",VLOOKUP($B233,CATLookup!$A$2:$E$271,3,FALSE),"")</f>
        <v/>
      </c>
      <c r="E233" s="48" t="str">
        <f>IF($B233&lt;&gt;"",VLOOKUP($B233,CATLookup!$A$2:$E$271,4,FALSE),"")</f>
        <v/>
      </c>
      <c r="F233" s="311"/>
      <c r="G233" s="311"/>
      <c r="H233" s="311"/>
      <c r="I233" s="311"/>
      <c r="J233" s="48"/>
      <c r="L233" s="47">
        <f t="shared" si="7"/>
        <v>1</v>
      </c>
    </row>
    <row r="234" spans="1:12" s="47" customFormat="1" ht="130.5" customHeight="1" x14ac:dyDescent="0.25">
      <c r="A234" s="47">
        <v>224</v>
      </c>
      <c r="B234" s="47" t="str">
        <f t="shared" si="6"/>
        <v/>
      </c>
      <c r="C234" s="48" t="str">
        <f>IF($B234&lt;&gt;"",VLOOKUP($B234,CATLookup!$A$2:$E$271,2,FALSE),"")</f>
        <v/>
      </c>
      <c r="D234" s="48" t="str">
        <f>IF($B234&lt;&gt;"",VLOOKUP($B234,CATLookup!$A$2:$E$271,3,FALSE),"")</f>
        <v/>
      </c>
      <c r="E234" s="48" t="str">
        <f>IF($B234&lt;&gt;"",VLOOKUP($B234,CATLookup!$A$2:$E$271,4,FALSE),"")</f>
        <v/>
      </c>
      <c r="F234" s="311"/>
      <c r="G234" s="311"/>
      <c r="H234" s="311"/>
      <c r="I234" s="311"/>
      <c r="J234" s="48"/>
      <c r="L234" s="47">
        <f t="shared" si="7"/>
        <v>1</v>
      </c>
    </row>
    <row r="235" spans="1:12" s="47" customFormat="1" ht="130.5" customHeight="1" x14ac:dyDescent="0.25">
      <c r="A235" s="47">
        <v>225</v>
      </c>
      <c r="B235" s="47" t="str">
        <f t="shared" si="6"/>
        <v/>
      </c>
      <c r="C235" s="48" t="str">
        <f>IF($B235&lt;&gt;"",VLOOKUP($B235,CATLookup!$A$2:$E$271,2,FALSE),"")</f>
        <v/>
      </c>
      <c r="D235" s="48" t="str">
        <f>IF($B235&lt;&gt;"",VLOOKUP($B235,CATLookup!$A$2:$E$271,3,FALSE),"")</f>
        <v/>
      </c>
      <c r="E235" s="48" t="str">
        <f>IF($B235&lt;&gt;"",VLOOKUP($B235,CATLookup!$A$2:$E$271,4,FALSE),"")</f>
        <v/>
      </c>
      <c r="F235" s="311"/>
      <c r="G235" s="311"/>
      <c r="H235" s="311"/>
      <c r="I235" s="311"/>
      <c r="J235" s="48"/>
      <c r="L235" s="47">
        <f t="shared" si="7"/>
        <v>1</v>
      </c>
    </row>
    <row r="236" spans="1:12" s="47" customFormat="1" ht="130.5" customHeight="1" x14ac:dyDescent="0.25">
      <c r="A236" s="47">
        <v>226</v>
      </c>
      <c r="B236" s="47" t="str">
        <f t="shared" si="6"/>
        <v/>
      </c>
      <c r="C236" s="48" t="str">
        <f>IF($B236&lt;&gt;"",VLOOKUP($B236,CATLookup!$A$2:$E$271,2,FALSE),"")</f>
        <v/>
      </c>
      <c r="D236" s="48" t="str">
        <f>IF($B236&lt;&gt;"",VLOOKUP($B236,CATLookup!$A$2:$E$271,3,FALSE),"")</f>
        <v/>
      </c>
      <c r="E236" s="48" t="str">
        <f>IF($B236&lt;&gt;"",VLOOKUP($B236,CATLookup!$A$2:$E$271,4,FALSE),"")</f>
        <v/>
      </c>
      <c r="F236" s="311"/>
      <c r="G236" s="311"/>
      <c r="H236" s="311"/>
      <c r="I236" s="311"/>
      <c r="J236" s="48"/>
      <c r="L236" s="47">
        <f t="shared" si="7"/>
        <v>1</v>
      </c>
    </row>
    <row r="237" spans="1:12" s="47" customFormat="1" ht="130.5" customHeight="1" x14ac:dyDescent="0.25">
      <c r="A237" s="47">
        <v>227</v>
      </c>
      <c r="B237" s="47" t="str">
        <f t="shared" si="6"/>
        <v/>
      </c>
      <c r="C237" s="48" t="str">
        <f>IF($B237&lt;&gt;"",VLOOKUP($B237,CATLookup!$A$2:$E$271,2,FALSE),"")</f>
        <v/>
      </c>
      <c r="D237" s="48" t="str">
        <f>IF($B237&lt;&gt;"",VLOOKUP($B237,CATLookup!$A$2:$E$271,3,FALSE),"")</f>
        <v/>
      </c>
      <c r="E237" s="48" t="str">
        <f>IF($B237&lt;&gt;"",VLOOKUP($B237,CATLookup!$A$2:$E$271,4,FALSE),"")</f>
        <v/>
      </c>
      <c r="F237" s="311"/>
      <c r="G237" s="311"/>
      <c r="H237" s="311"/>
      <c r="I237" s="311"/>
      <c r="J237" s="48"/>
      <c r="L237" s="47">
        <f t="shared" si="7"/>
        <v>1</v>
      </c>
    </row>
    <row r="238" spans="1:12" s="47" customFormat="1" ht="130.5" customHeight="1" x14ac:dyDescent="0.25">
      <c r="A238" s="47">
        <v>228</v>
      </c>
      <c r="B238" s="47" t="str">
        <f t="shared" si="6"/>
        <v/>
      </c>
      <c r="C238" s="48" t="str">
        <f>IF($B238&lt;&gt;"",VLOOKUP($B238,CATLookup!$A$2:$E$271,2,FALSE),"")</f>
        <v/>
      </c>
      <c r="D238" s="48" t="str">
        <f>IF($B238&lt;&gt;"",VLOOKUP($B238,CATLookup!$A$2:$E$271,3,FALSE),"")</f>
        <v/>
      </c>
      <c r="E238" s="48" t="str">
        <f>IF($B238&lt;&gt;"",VLOOKUP($B238,CATLookup!$A$2:$E$271,4,FALSE),"")</f>
        <v/>
      </c>
      <c r="F238" s="311"/>
      <c r="G238" s="311"/>
      <c r="H238" s="311"/>
      <c r="I238" s="311"/>
      <c r="J238" s="48"/>
      <c r="L238" s="47">
        <f t="shared" si="7"/>
        <v>1</v>
      </c>
    </row>
    <row r="239" spans="1:12" s="47" customFormat="1" ht="130.5" customHeight="1" x14ac:dyDescent="0.25">
      <c r="A239" s="47">
        <v>229</v>
      </c>
      <c r="B239" s="47" t="str">
        <f t="shared" si="6"/>
        <v/>
      </c>
      <c r="C239" s="48" t="str">
        <f>IF($B239&lt;&gt;"",VLOOKUP($B239,CATLookup!$A$2:$E$271,2,FALSE),"")</f>
        <v/>
      </c>
      <c r="D239" s="48" t="str">
        <f>IF($B239&lt;&gt;"",VLOOKUP($B239,CATLookup!$A$2:$E$271,3,FALSE),"")</f>
        <v/>
      </c>
      <c r="E239" s="48" t="str">
        <f>IF($B239&lt;&gt;"",VLOOKUP($B239,CATLookup!$A$2:$E$271,4,FALSE),"")</f>
        <v/>
      </c>
      <c r="F239" s="311"/>
      <c r="G239" s="311"/>
      <c r="H239" s="311"/>
      <c r="I239" s="311"/>
      <c r="J239" s="48"/>
      <c r="L239" s="47">
        <f t="shared" si="7"/>
        <v>1</v>
      </c>
    </row>
    <row r="240" spans="1:12" s="47" customFormat="1" ht="130.5" customHeight="1" x14ac:dyDescent="0.25">
      <c r="A240" s="47">
        <v>230</v>
      </c>
      <c r="B240" s="47" t="str">
        <f t="shared" si="6"/>
        <v/>
      </c>
      <c r="C240" s="48" t="str">
        <f>IF($B240&lt;&gt;"",VLOOKUP($B240,CATLookup!$A$2:$E$271,2,FALSE),"")</f>
        <v/>
      </c>
      <c r="D240" s="48" t="str">
        <f>IF($B240&lt;&gt;"",VLOOKUP($B240,CATLookup!$A$2:$E$271,3,FALSE),"")</f>
        <v/>
      </c>
      <c r="E240" s="48" t="str">
        <f>IF($B240&lt;&gt;"",VLOOKUP($B240,CATLookup!$A$2:$E$271,4,FALSE),"")</f>
        <v/>
      </c>
      <c r="F240" s="311"/>
      <c r="G240" s="311"/>
      <c r="H240" s="311"/>
      <c r="I240" s="311"/>
      <c r="J240" s="48"/>
      <c r="L240" s="47">
        <f t="shared" si="7"/>
        <v>1</v>
      </c>
    </row>
    <row r="241" spans="1:12" s="47" customFormat="1" ht="130.5" customHeight="1" x14ac:dyDescent="0.25">
      <c r="A241" s="47">
        <v>231</v>
      </c>
      <c r="B241" s="47" t="str">
        <f t="shared" si="6"/>
        <v/>
      </c>
      <c r="C241" s="48" t="str">
        <f>IF($B241&lt;&gt;"",VLOOKUP($B241,CATLookup!$A$2:$E$271,2,FALSE),"")</f>
        <v/>
      </c>
      <c r="D241" s="48" t="str">
        <f>IF($B241&lt;&gt;"",VLOOKUP($B241,CATLookup!$A$2:$E$271,3,FALSE),"")</f>
        <v/>
      </c>
      <c r="E241" s="48" t="str">
        <f>IF($B241&lt;&gt;"",VLOOKUP($B241,CATLookup!$A$2:$E$271,4,FALSE),"")</f>
        <v/>
      </c>
      <c r="F241" s="311"/>
      <c r="G241" s="311"/>
      <c r="H241" s="311"/>
      <c r="I241" s="311"/>
      <c r="J241" s="48"/>
      <c r="L241" s="47">
        <f t="shared" si="7"/>
        <v>1</v>
      </c>
    </row>
    <row r="242" spans="1:12" s="47" customFormat="1" ht="130.5" customHeight="1" x14ac:dyDescent="0.25">
      <c r="A242" s="47">
        <v>232</v>
      </c>
      <c r="B242" s="47" t="str">
        <f t="shared" si="6"/>
        <v/>
      </c>
      <c r="C242" s="48" t="str">
        <f>IF($B242&lt;&gt;"",VLOOKUP($B242,CATLookup!$A$2:$E$271,2,FALSE),"")</f>
        <v/>
      </c>
      <c r="D242" s="48" t="str">
        <f>IF($B242&lt;&gt;"",VLOOKUP($B242,CATLookup!$A$2:$E$271,3,FALSE),"")</f>
        <v/>
      </c>
      <c r="E242" s="48" t="str">
        <f>IF($B242&lt;&gt;"",VLOOKUP($B242,CATLookup!$A$2:$E$271,4,FALSE),"")</f>
        <v/>
      </c>
      <c r="F242" s="311"/>
      <c r="G242" s="311"/>
      <c r="H242" s="311"/>
      <c r="I242" s="311"/>
      <c r="J242" s="48"/>
      <c r="L242" s="47">
        <f t="shared" si="7"/>
        <v>1</v>
      </c>
    </row>
    <row r="243" spans="1:12" s="47" customFormat="1" ht="130.5" customHeight="1" x14ac:dyDescent="0.25">
      <c r="A243" s="47">
        <v>233</v>
      </c>
      <c r="B243" s="47" t="str">
        <f t="shared" si="6"/>
        <v/>
      </c>
      <c r="C243" s="48" t="str">
        <f>IF($B243&lt;&gt;"",VLOOKUP($B243,CATLookup!$A$2:$E$271,2,FALSE),"")</f>
        <v/>
      </c>
      <c r="D243" s="48" t="str">
        <f>IF($B243&lt;&gt;"",VLOOKUP($B243,CATLookup!$A$2:$E$271,3,FALSE),"")</f>
        <v/>
      </c>
      <c r="E243" s="48" t="str">
        <f>IF($B243&lt;&gt;"",VLOOKUP($B243,CATLookup!$A$2:$E$271,4,FALSE),"")</f>
        <v/>
      </c>
      <c r="F243" s="311"/>
      <c r="G243" s="311"/>
      <c r="H243" s="311"/>
      <c r="I243" s="311"/>
      <c r="J243" s="48"/>
      <c r="L243" s="47">
        <f t="shared" si="7"/>
        <v>1</v>
      </c>
    </row>
    <row r="244" spans="1:12" s="47" customFormat="1" ht="130.5" customHeight="1" x14ac:dyDescent="0.25">
      <c r="A244" s="47">
        <v>234</v>
      </c>
      <c r="B244" s="47" t="str">
        <f t="shared" si="6"/>
        <v/>
      </c>
      <c r="C244" s="48" t="str">
        <f>IF($B244&lt;&gt;"",VLOOKUP($B244,CATLookup!$A$2:$E$271,2,FALSE),"")</f>
        <v/>
      </c>
      <c r="D244" s="48" t="str">
        <f>IF($B244&lt;&gt;"",VLOOKUP($B244,CATLookup!$A$2:$E$271,3,FALSE),"")</f>
        <v/>
      </c>
      <c r="E244" s="48" t="str">
        <f>IF($B244&lt;&gt;"",VLOOKUP($B244,CATLookup!$A$2:$E$271,4,FALSE),"")</f>
        <v/>
      </c>
      <c r="F244" s="311"/>
      <c r="G244" s="311"/>
      <c r="H244" s="311"/>
      <c r="I244" s="311"/>
      <c r="J244" s="48"/>
      <c r="L244" s="47">
        <f t="shared" si="7"/>
        <v>1</v>
      </c>
    </row>
    <row r="245" spans="1:12" s="47" customFormat="1" ht="130.5" customHeight="1" x14ac:dyDescent="0.25">
      <c r="A245" s="47">
        <v>235</v>
      </c>
      <c r="B245" s="47" t="str">
        <f t="shared" si="6"/>
        <v/>
      </c>
      <c r="C245" s="48" t="str">
        <f>IF($B245&lt;&gt;"",VLOOKUP($B245,CATLookup!$A$2:$E$271,2,FALSE),"")</f>
        <v/>
      </c>
      <c r="D245" s="48" t="str">
        <f>IF($B245&lt;&gt;"",VLOOKUP($B245,CATLookup!$A$2:$E$271,3,FALSE),"")</f>
        <v/>
      </c>
      <c r="E245" s="48" t="str">
        <f>IF($B245&lt;&gt;"",VLOOKUP($B245,CATLookup!$A$2:$E$271,4,FALSE),"")</f>
        <v/>
      </c>
      <c r="F245" s="311"/>
      <c r="G245" s="311"/>
      <c r="H245" s="311"/>
      <c r="I245" s="311"/>
      <c r="J245" s="48"/>
      <c r="L245" s="47">
        <f t="shared" si="7"/>
        <v>1</v>
      </c>
    </row>
    <row r="246" spans="1:12" s="47" customFormat="1" ht="130.5" customHeight="1" x14ac:dyDescent="0.25">
      <c r="A246" s="47">
        <v>236</v>
      </c>
      <c r="B246" s="47" t="str">
        <f t="shared" si="6"/>
        <v/>
      </c>
      <c r="C246" s="48" t="str">
        <f>IF($B246&lt;&gt;"",VLOOKUP($B246,CATLookup!$A$2:$E$271,2,FALSE),"")</f>
        <v/>
      </c>
      <c r="D246" s="48" t="str">
        <f>IF($B246&lt;&gt;"",VLOOKUP($B246,CATLookup!$A$2:$E$271,3,FALSE),"")</f>
        <v/>
      </c>
      <c r="E246" s="48" t="str">
        <f>IF($B246&lt;&gt;"",VLOOKUP($B246,CATLookup!$A$2:$E$271,4,FALSE),"")</f>
        <v/>
      </c>
      <c r="F246" s="311"/>
      <c r="G246" s="311"/>
      <c r="H246" s="311"/>
      <c r="I246" s="311"/>
      <c r="J246" s="48"/>
      <c r="L246" s="47">
        <f t="shared" si="7"/>
        <v>1</v>
      </c>
    </row>
    <row r="247" spans="1:12" s="47" customFormat="1" ht="130.5" customHeight="1" x14ac:dyDescent="0.25">
      <c r="A247" s="47">
        <v>237</v>
      </c>
      <c r="B247" s="47" t="str">
        <f t="shared" si="6"/>
        <v/>
      </c>
      <c r="C247" s="48" t="str">
        <f>IF($B247&lt;&gt;"",VLOOKUP($B247,CATLookup!$A$2:$E$271,2,FALSE),"")</f>
        <v/>
      </c>
      <c r="D247" s="48" t="str">
        <f>IF($B247&lt;&gt;"",VLOOKUP($B247,CATLookup!$A$2:$E$271,3,FALSE),"")</f>
        <v/>
      </c>
      <c r="E247" s="48" t="str">
        <f>IF($B247&lt;&gt;"",VLOOKUP($B247,CATLookup!$A$2:$E$271,4,FALSE),"")</f>
        <v/>
      </c>
      <c r="F247" s="311"/>
      <c r="G247" s="311"/>
      <c r="H247" s="311"/>
      <c r="I247" s="311"/>
      <c r="J247" s="48"/>
      <c r="L247" s="47">
        <f t="shared" si="7"/>
        <v>1</v>
      </c>
    </row>
    <row r="248" spans="1:12" s="47" customFormat="1" ht="130.5" customHeight="1" x14ac:dyDescent="0.25">
      <c r="A248" s="47">
        <v>238</v>
      </c>
      <c r="B248" s="47" t="str">
        <f t="shared" si="6"/>
        <v/>
      </c>
      <c r="C248" s="48" t="str">
        <f>IF($B248&lt;&gt;"",VLOOKUP($B248,CATLookup!$A$2:$E$271,2,FALSE),"")</f>
        <v/>
      </c>
      <c r="D248" s="48" t="str">
        <f>IF($B248&lt;&gt;"",VLOOKUP($B248,CATLookup!$A$2:$E$271,3,FALSE),"")</f>
        <v/>
      </c>
      <c r="E248" s="48" t="str">
        <f>IF($B248&lt;&gt;"",VLOOKUP($B248,CATLookup!$A$2:$E$271,4,FALSE),"")</f>
        <v/>
      </c>
      <c r="F248" s="311"/>
      <c r="G248" s="311"/>
      <c r="H248" s="311"/>
      <c r="I248" s="311"/>
      <c r="J248" s="48"/>
      <c r="L248" s="47">
        <f t="shared" si="7"/>
        <v>1</v>
      </c>
    </row>
    <row r="249" spans="1:12" s="47" customFormat="1" ht="130.5" customHeight="1" x14ac:dyDescent="0.25">
      <c r="A249" s="47">
        <v>239</v>
      </c>
      <c r="B249" s="47" t="str">
        <f t="shared" si="6"/>
        <v/>
      </c>
      <c r="C249" s="48" t="str">
        <f>IF($B249&lt;&gt;"",VLOOKUP($B249,CATLookup!$A$2:$E$271,2,FALSE),"")</f>
        <v/>
      </c>
      <c r="D249" s="48" t="str">
        <f>IF($B249&lt;&gt;"",VLOOKUP($B249,CATLookup!$A$2:$E$271,3,FALSE),"")</f>
        <v/>
      </c>
      <c r="E249" s="48" t="str">
        <f>IF($B249&lt;&gt;"",VLOOKUP($B249,CATLookup!$A$2:$E$271,4,FALSE),"")</f>
        <v/>
      </c>
      <c r="F249" s="311"/>
      <c r="G249" s="311"/>
      <c r="H249" s="311"/>
      <c r="I249" s="311"/>
      <c r="J249" s="48"/>
      <c r="L249" s="47">
        <f t="shared" si="7"/>
        <v>1</v>
      </c>
    </row>
    <row r="250" spans="1:12" s="47" customFormat="1" ht="130.5" customHeight="1" x14ac:dyDescent="0.25">
      <c r="A250" s="47">
        <v>240</v>
      </c>
      <c r="B250" s="47" t="str">
        <f t="shared" si="6"/>
        <v/>
      </c>
      <c r="C250" s="48" t="str">
        <f>IF($B250&lt;&gt;"",VLOOKUP($B250,CATLookup!$A$2:$E$271,2,FALSE),"")</f>
        <v/>
      </c>
      <c r="D250" s="48" t="str">
        <f>IF($B250&lt;&gt;"",VLOOKUP($B250,CATLookup!$A$2:$E$271,3,FALSE),"")</f>
        <v/>
      </c>
      <c r="E250" s="48" t="str">
        <f>IF($B250&lt;&gt;"",VLOOKUP($B250,CATLookup!$A$2:$E$271,4,FALSE),"")</f>
        <v/>
      </c>
      <c r="F250" s="311"/>
      <c r="G250" s="311"/>
      <c r="H250" s="311"/>
      <c r="I250" s="311"/>
      <c r="J250" s="48"/>
      <c r="L250" s="47">
        <f t="shared" si="7"/>
        <v>1</v>
      </c>
    </row>
    <row r="251" spans="1:12" s="47" customFormat="1" ht="130.5" customHeight="1" x14ac:dyDescent="0.25">
      <c r="A251" s="47">
        <v>241</v>
      </c>
      <c r="B251" s="47" t="str">
        <f t="shared" si="6"/>
        <v/>
      </c>
      <c r="C251" s="48" t="str">
        <f>IF($B251&lt;&gt;"",VLOOKUP($B251,CATLookup!$A$2:$E$271,2,FALSE),"")</f>
        <v/>
      </c>
      <c r="D251" s="48" t="str">
        <f>IF($B251&lt;&gt;"",VLOOKUP($B251,CATLookup!$A$2:$E$271,3,FALSE),"")</f>
        <v/>
      </c>
      <c r="E251" s="48" t="str">
        <f>IF($B251&lt;&gt;"",VLOOKUP($B251,CATLookup!$A$2:$E$271,4,FALSE),"")</f>
        <v/>
      </c>
      <c r="F251" s="311"/>
      <c r="G251" s="311"/>
      <c r="H251" s="311"/>
      <c r="I251" s="311"/>
      <c r="J251" s="48"/>
      <c r="L251" s="47">
        <f t="shared" si="7"/>
        <v>1</v>
      </c>
    </row>
    <row r="252" spans="1:12" s="47" customFormat="1" ht="130.5" customHeight="1" x14ac:dyDescent="0.25">
      <c r="A252" s="47">
        <v>242</v>
      </c>
      <c r="B252" s="47" t="str">
        <f t="shared" si="6"/>
        <v/>
      </c>
      <c r="C252" s="48" t="str">
        <f>IF($B252&lt;&gt;"",VLOOKUP($B252,CATLookup!$A$2:$E$271,2,FALSE),"")</f>
        <v/>
      </c>
      <c r="D252" s="48" t="str">
        <f>IF($B252&lt;&gt;"",VLOOKUP($B252,CATLookup!$A$2:$E$271,3,FALSE),"")</f>
        <v/>
      </c>
      <c r="E252" s="48" t="str">
        <f>IF($B252&lt;&gt;"",VLOOKUP($B252,CATLookup!$A$2:$E$271,4,FALSE),"")</f>
        <v/>
      </c>
      <c r="F252" s="311"/>
      <c r="G252" s="311"/>
      <c r="H252" s="311"/>
      <c r="I252" s="311"/>
      <c r="J252" s="48"/>
      <c r="L252" s="47">
        <f t="shared" si="7"/>
        <v>1</v>
      </c>
    </row>
    <row r="253" spans="1:12" s="47" customFormat="1" ht="130.5" customHeight="1" x14ac:dyDescent="0.25">
      <c r="A253" s="47">
        <v>243</v>
      </c>
      <c r="B253" s="47" t="str">
        <f t="shared" si="6"/>
        <v/>
      </c>
      <c r="C253" s="48" t="str">
        <f>IF($B253&lt;&gt;"",VLOOKUP($B253,CATLookup!$A$2:$E$271,2,FALSE),"")</f>
        <v/>
      </c>
      <c r="D253" s="48" t="str">
        <f>IF($B253&lt;&gt;"",VLOOKUP($B253,CATLookup!$A$2:$E$271,3,FALSE),"")</f>
        <v/>
      </c>
      <c r="E253" s="48" t="str">
        <f>IF($B253&lt;&gt;"",VLOOKUP($B253,CATLookup!$A$2:$E$271,4,FALSE),"")</f>
        <v/>
      </c>
      <c r="F253" s="311"/>
      <c r="G253" s="311"/>
      <c r="H253" s="311"/>
      <c r="I253" s="311"/>
      <c r="J253" s="48"/>
      <c r="L253" s="47">
        <f t="shared" si="7"/>
        <v>1</v>
      </c>
    </row>
    <row r="254" spans="1:12" s="47" customFormat="1" ht="130.5" customHeight="1" x14ac:dyDescent="0.25">
      <c r="A254" s="47">
        <v>244</v>
      </c>
      <c r="B254" s="47" t="str">
        <f t="shared" si="6"/>
        <v/>
      </c>
      <c r="C254" s="48" t="str">
        <f>IF($B254&lt;&gt;"",VLOOKUP($B254,CATLookup!$A$2:$E$271,2,FALSE),"")</f>
        <v/>
      </c>
      <c r="D254" s="48" t="str">
        <f>IF($B254&lt;&gt;"",VLOOKUP($B254,CATLookup!$A$2:$E$271,3,FALSE),"")</f>
        <v/>
      </c>
      <c r="E254" s="48" t="str">
        <f>IF($B254&lt;&gt;"",VLOOKUP($B254,CATLookup!$A$2:$E$271,4,FALSE),"")</f>
        <v/>
      </c>
      <c r="F254" s="311"/>
      <c r="G254" s="311"/>
      <c r="H254" s="311"/>
      <c r="I254" s="311"/>
      <c r="J254" s="48"/>
      <c r="L254" s="47">
        <f t="shared" si="7"/>
        <v>1</v>
      </c>
    </row>
    <row r="255" spans="1:12" s="47" customFormat="1" ht="130.5" customHeight="1" x14ac:dyDescent="0.25">
      <c r="A255" s="47">
        <v>245</v>
      </c>
      <c r="B255" s="47" t="str">
        <f t="shared" si="6"/>
        <v/>
      </c>
      <c r="C255" s="48" t="str">
        <f>IF($B255&lt;&gt;"",VLOOKUP($B255,CATLookup!$A$2:$E$271,2,FALSE),"")</f>
        <v/>
      </c>
      <c r="D255" s="48" t="str">
        <f>IF($B255&lt;&gt;"",VLOOKUP($B255,CATLookup!$A$2:$E$271,3,FALSE),"")</f>
        <v/>
      </c>
      <c r="E255" s="48" t="str">
        <f>IF($B255&lt;&gt;"",VLOOKUP($B255,CATLookup!$A$2:$E$271,4,FALSE),"")</f>
        <v/>
      </c>
      <c r="F255" s="311"/>
      <c r="G255" s="311"/>
      <c r="H255" s="311"/>
      <c r="I255" s="311"/>
      <c r="J255" s="48"/>
      <c r="L255" s="47">
        <f t="shared" si="7"/>
        <v>1</v>
      </c>
    </row>
    <row r="256" spans="1:12" s="47" customFormat="1" ht="130.5" customHeight="1" x14ac:dyDescent="0.25">
      <c r="A256" s="47">
        <v>246</v>
      </c>
      <c r="B256" s="47" t="str">
        <f t="shared" si="6"/>
        <v/>
      </c>
      <c r="C256" s="48" t="str">
        <f>IF($B256&lt;&gt;"",VLOOKUP($B256,CATLookup!$A$2:$E$271,2,FALSE),"")</f>
        <v/>
      </c>
      <c r="D256" s="48" t="str">
        <f>IF($B256&lt;&gt;"",VLOOKUP($B256,CATLookup!$A$2:$E$271,3,FALSE),"")</f>
        <v/>
      </c>
      <c r="E256" s="48" t="str">
        <f>IF($B256&lt;&gt;"",VLOOKUP($B256,CATLookup!$A$2:$E$271,4,FALSE),"")</f>
        <v/>
      </c>
      <c r="F256" s="311"/>
      <c r="G256" s="311"/>
      <c r="H256" s="311"/>
      <c r="I256" s="311"/>
      <c r="J256" s="48"/>
      <c r="L256" s="47">
        <f t="shared" si="7"/>
        <v>1</v>
      </c>
    </row>
    <row r="257" spans="1:12" s="47" customFormat="1" ht="130.5" customHeight="1" x14ac:dyDescent="0.25">
      <c r="A257" s="47">
        <v>247</v>
      </c>
      <c r="B257" s="47" t="str">
        <f t="shared" si="6"/>
        <v/>
      </c>
      <c r="C257" s="48" t="str">
        <f>IF($B257&lt;&gt;"",VLOOKUP($B257,CATLookup!$A$2:$E$271,2,FALSE),"")</f>
        <v/>
      </c>
      <c r="D257" s="48" t="str">
        <f>IF($B257&lt;&gt;"",VLOOKUP($B257,CATLookup!$A$2:$E$271,3,FALSE),"")</f>
        <v/>
      </c>
      <c r="E257" s="48" t="str">
        <f>IF($B257&lt;&gt;"",VLOOKUP($B257,CATLookup!$A$2:$E$271,4,FALSE),"")</f>
        <v/>
      </c>
      <c r="F257" s="311"/>
      <c r="G257" s="311"/>
      <c r="H257" s="311"/>
      <c r="I257" s="311"/>
      <c r="J257" s="48"/>
      <c r="L257" s="47">
        <f t="shared" si="7"/>
        <v>1</v>
      </c>
    </row>
    <row r="258" spans="1:12" s="47" customFormat="1" ht="130.5" customHeight="1" x14ac:dyDescent="0.25">
      <c r="A258" s="47">
        <v>248</v>
      </c>
      <c r="B258" s="47" t="str">
        <f t="shared" si="6"/>
        <v/>
      </c>
      <c r="C258" s="48" t="str">
        <f>IF($B258&lt;&gt;"",VLOOKUP($B258,CATLookup!$A$2:$E$271,2,FALSE),"")</f>
        <v/>
      </c>
      <c r="D258" s="48" t="str">
        <f>IF($B258&lt;&gt;"",VLOOKUP($B258,CATLookup!$A$2:$E$271,3,FALSE),"")</f>
        <v/>
      </c>
      <c r="E258" s="48" t="str">
        <f>IF($B258&lt;&gt;"",VLOOKUP($B258,CATLookup!$A$2:$E$271,4,FALSE),"")</f>
        <v/>
      </c>
      <c r="F258" s="311"/>
      <c r="G258" s="311"/>
      <c r="H258" s="311"/>
      <c r="I258" s="311"/>
      <c r="J258" s="48"/>
      <c r="L258" s="47">
        <f t="shared" si="7"/>
        <v>1</v>
      </c>
    </row>
    <row r="259" spans="1:12" s="47" customFormat="1" ht="130.5" customHeight="1" x14ac:dyDescent="0.25">
      <c r="A259" s="47">
        <v>249</v>
      </c>
      <c r="B259" s="47" t="str">
        <f t="shared" si="6"/>
        <v/>
      </c>
      <c r="C259" s="48" t="str">
        <f>IF($B259&lt;&gt;"",VLOOKUP($B259,CATLookup!$A$2:$E$271,2,FALSE),"")</f>
        <v/>
      </c>
      <c r="D259" s="48" t="str">
        <f>IF($B259&lt;&gt;"",VLOOKUP($B259,CATLookup!$A$2:$E$271,3,FALSE),"")</f>
        <v/>
      </c>
      <c r="E259" s="48" t="str">
        <f>IF($B259&lt;&gt;"",VLOOKUP($B259,CATLookup!$A$2:$E$271,4,FALSE),"")</f>
        <v/>
      </c>
      <c r="F259" s="311"/>
      <c r="G259" s="311"/>
      <c r="H259" s="311"/>
      <c r="I259" s="311"/>
      <c r="J259" s="48"/>
      <c r="L259" s="47">
        <f t="shared" si="7"/>
        <v>1</v>
      </c>
    </row>
    <row r="260" spans="1:12" s="47" customFormat="1" ht="130.5" customHeight="1" x14ac:dyDescent="0.25">
      <c r="A260" s="47">
        <v>250</v>
      </c>
      <c r="B260" s="47" t="str">
        <f t="shared" si="6"/>
        <v/>
      </c>
      <c r="C260" s="48" t="str">
        <f>IF($B260&lt;&gt;"",VLOOKUP($B260,CATLookup!$A$2:$E$271,2,FALSE),"")</f>
        <v/>
      </c>
      <c r="D260" s="48" t="str">
        <f>IF($B260&lt;&gt;"",VLOOKUP($B260,CATLookup!$A$2:$E$271,3,FALSE),"")</f>
        <v/>
      </c>
      <c r="E260" s="48" t="str">
        <f>IF($B260&lt;&gt;"",VLOOKUP($B260,CATLookup!$A$2:$E$271,4,FALSE),"")</f>
        <v/>
      </c>
      <c r="F260" s="311"/>
      <c r="G260" s="311"/>
      <c r="H260" s="311"/>
      <c r="I260" s="311"/>
      <c r="J260" s="48"/>
      <c r="L260" s="47">
        <f t="shared" si="7"/>
        <v>1</v>
      </c>
    </row>
    <row r="261" spans="1:12" s="47" customFormat="1" ht="130.5" customHeight="1" x14ac:dyDescent="0.25">
      <c r="A261" s="47">
        <v>251</v>
      </c>
      <c r="B261" s="47" t="str">
        <f t="shared" si="6"/>
        <v/>
      </c>
      <c r="C261" s="48" t="str">
        <f>IF($B261&lt;&gt;"",VLOOKUP($B261,CATLookup!$A$2:$E$271,2,FALSE),"")</f>
        <v/>
      </c>
      <c r="D261" s="48" t="str">
        <f>IF($B261&lt;&gt;"",VLOOKUP($B261,CATLookup!$A$2:$E$271,3,FALSE),"")</f>
        <v/>
      </c>
      <c r="E261" s="48" t="str">
        <f>IF($B261&lt;&gt;"",VLOOKUP($B261,CATLookup!$A$2:$E$271,4,FALSE),"")</f>
        <v/>
      </c>
      <c r="F261" s="311"/>
      <c r="G261" s="311"/>
      <c r="H261" s="311"/>
      <c r="I261" s="311"/>
      <c r="J261" s="48"/>
      <c r="L261" s="47">
        <f t="shared" si="7"/>
        <v>1</v>
      </c>
    </row>
    <row r="262" spans="1:12" s="47" customFormat="1" ht="130.5" customHeight="1" x14ac:dyDescent="0.25">
      <c r="A262" s="47">
        <v>252</v>
      </c>
      <c r="B262" s="47" t="str">
        <f t="shared" si="6"/>
        <v/>
      </c>
      <c r="C262" s="48" t="str">
        <f>IF($B262&lt;&gt;"",VLOOKUP($B262,CATLookup!$A$2:$E$271,2,FALSE),"")</f>
        <v/>
      </c>
      <c r="D262" s="48" t="str">
        <f>IF($B262&lt;&gt;"",VLOOKUP($B262,CATLookup!$A$2:$E$271,3,FALSE),"")</f>
        <v/>
      </c>
      <c r="E262" s="48" t="str">
        <f>IF($B262&lt;&gt;"",VLOOKUP($B262,CATLookup!$A$2:$E$271,4,FALSE),"")</f>
        <v/>
      </c>
      <c r="F262" s="311"/>
      <c r="G262" s="311"/>
      <c r="H262" s="311"/>
      <c r="I262" s="311"/>
      <c r="J262" s="48"/>
      <c r="L262" s="47">
        <f t="shared" si="7"/>
        <v>1</v>
      </c>
    </row>
    <row r="263" spans="1:12" s="47" customFormat="1" ht="130.5" customHeight="1" x14ac:dyDescent="0.25">
      <c r="A263" s="47">
        <v>253</v>
      </c>
      <c r="B263" s="47" t="str">
        <f t="shared" si="6"/>
        <v/>
      </c>
      <c r="C263" s="48" t="str">
        <f>IF($B263&lt;&gt;"",VLOOKUP($B263,CATLookup!$A$2:$E$271,2,FALSE),"")</f>
        <v/>
      </c>
      <c r="D263" s="48" t="str">
        <f>IF($B263&lt;&gt;"",VLOOKUP($B263,CATLookup!$A$2:$E$271,3,FALSE),"")</f>
        <v/>
      </c>
      <c r="E263" s="48" t="str">
        <f>IF($B263&lt;&gt;"",VLOOKUP($B263,CATLookup!$A$2:$E$271,4,FALSE),"")</f>
        <v/>
      </c>
      <c r="F263" s="311"/>
      <c r="G263" s="311"/>
      <c r="H263" s="311"/>
      <c r="I263" s="311"/>
      <c r="J263" s="48"/>
      <c r="L263" s="47">
        <f t="shared" si="7"/>
        <v>1</v>
      </c>
    </row>
    <row r="264" spans="1:12" s="47" customFormat="1" ht="130.5" customHeight="1" x14ac:dyDescent="0.25">
      <c r="A264" s="47">
        <v>254</v>
      </c>
      <c r="B264" s="47" t="str">
        <f t="shared" si="6"/>
        <v/>
      </c>
      <c r="C264" s="48" t="str">
        <f>IF($B264&lt;&gt;"",VLOOKUP($B264,CATLookup!$A$2:$E$271,2,FALSE),"")</f>
        <v/>
      </c>
      <c r="D264" s="48" t="str">
        <f>IF($B264&lt;&gt;"",VLOOKUP($B264,CATLookup!$A$2:$E$271,3,FALSE),"")</f>
        <v/>
      </c>
      <c r="E264" s="48" t="str">
        <f>IF($B264&lt;&gt;"",VLOOKUP($B264,CATLookup!$A$2:$E$271,4,FALSE),"")</f>
        <v/>
      </c>
      <c r="F264" s="311"/>
      <c r="G264" s="311"/>
      <c r="H264" s="311"/>
      <c r="I264" s="311"/>
      <c r="J264" s="48"/>
      <c r="L264" s="47">
        <f t="shared" si="7"/>
        <v>1</v>
      </c>
    </row>
    <row r="265" spans="1:12" s="47" customFormat="1" ht="130.5" customHeight="1" x14ac:dyDescent="0.25">
      <c r="A265" s="47">
        <v>255</v>
      </c>
      <c r="B265" s="47" t="str">
        <f t="shared" si="6"/>
        <v/>
      </c>
      <c r="C265" s="48" t="str">
        <f>IF($B265&lt;&gt;"",VLOOKUP($B265,CATLookup!$A$2:$E$271,2,FALSE),"")</f>
        <v/>
      </c>
      <c r="D265" s="48" t="str">
        <f>IF($B265&lt;&gt;"",VLOOKUP($B265,CATLookup!$A$2:$E$271,3,FALSE),"")</f>
        <v/>
      </c>
      <c r="E265" s="48" t="str">
        <f>IF($B265&lt;&gt;"",VLOOKUP($B265,CATLookup!$A$2:$E$271,4,FALSE),"")</f>
        <v/>
      </c>
      <c r="F265" s="311"/>
      <c r="G265" s="311"/>
      <c r="H265" s="311"/>
      <c r="I265" s="311"/>
      <c r="J265" s="48"/>
      <c r="L265" s="47">
        <f t="shared" si="7"/>
        <v>1</v>
      </c>
    </row>
    <row r="266" spans="1:12" s="47" customFormat="1" ht="130.5" customHeight="1" x14ac:dyDescent="0.25">
      <c r="A266" s="47">
        <v>256</v>
      </c>
      <c r="B266" s="47" t="str">
        <f t="shared" si="6"/>
        <v/>
      </c>
      <c r="C266" s="48" t="str">
        <f>IF($B266&lt;&gt;"",VLOOKUP($B266,CATLookup!$A$2:$E$271,2,FALSE),"")</f>
        <v/>
      </c>
      <c r="D266" s="48" t="str">
        <f>IF($B266&lt;&gt;"",VLOOKUP($B266,CATLookup!$A$2:$E$271,3,FALSE),"")</f>
        <v/>
      </c>
      <c r="E266" s="48" t="str">
        <f>IF($B266&lt;&gt;"",VLOOKUP($B266,CATLookup!$A$2:$E$271,4,FALSE),"")</f>
        <v/>
      </c>
      <c r="F266" s="311"/>
      <c r="G266" s="311"/>
      <c r="H266" s="311"/>
      <c r="I266" s="311"/>
      <c r="J266" s="48"/>
      <c r="L266" s="47">
        <f t="shared" si="7"/>
        <v>1</v>
      </c>
    </row>
    <row r="267" spans="1:12" s="47" customFormat="1" ht="130.5" customHeight="1" x14ac:dyDescent="0.25">
      <c r="A267" s="47">
        <v>257</v>
      </c>
      <c r="B267" s="47" t="str">
        <f t="shared" si="6"/>
        <v/>
      </c>
      <c r="C267" s="48" t="str">
        <f>IF($B267&lt;&gt;"",VLOOKUP($B267,CATLookup!$A$2:$E$271,2,FALSE),"")</f>
        <v/>
      </c>
      <c r="D267" s="48" t="str">
        <f>IF($B267&lt;&gt;"",VLOOKUP($B267,CATLookup!$A$2:$E$271,3,FALSE),"")</f>
        <v/>
      </c>
      <c r="E267" s="48" t="str">
        <f>IF($B267&lt;&gt;"",VLOOKUP($B267,CATLookup!$A$2:$E$271,4,FALSE),"")</f>
        <v/>
      </c>
      <c r="F267" s="311"/>
      <c r="G267" s="311"/>
      <c r="H267" s="311"/>
      <c r="I267" s="311"/>
      <c r="J267" s="48"/>
      <c r="L267" s="47">
        <f t="shared" si="7"/>
        <v>1</v>
      </c>
    </row>
    <row r="268" spans="1:12" s="47" customFormat="1" ht="130.5" customHeight="1" x14ac:dyDescent="0.25">
      <c r="A268" s="47">
        <v>258</v>
      </c>
      <c r="B268" s="47" t="str">
        <f t="shared" ref="B268:B310" si="8">IF(A$9=0,"No items for this report",IF(A268&lt;=A$9,A268,""))</f>
        <v/>
      </c>
      <c r="C268" s="48" t="str">
        <f>IF($B268&lt;&gt;"",VLOOKUP($B268,CATLookup!$A$2:$E$271,2,FALSE),"")</f>
        <v/>
      </c>
      <c r="D268" s="48" t="str">
        <f>IF($B268&lt;&gt;"",VLOOKUP($B268,CATLookup!$A$2:$E$271,3,FALSE),"")</f>
        <v/>
      </c>
      <c r="E268" s="48" t="str">
        <f>IF($B268&lt;&gt;"",VLOOKUP($B268,CATLookup!$A$2:$E$271,4,FALSE),"")</f>
        <v/>
      </c>
      <c r="F268" s="311"/>
      <c r="G268" s="311"/>
      <c r="H268" s="311"/>
      <c r="I268" s="311"/>
      <c r="J268" s="48"/>
      <c r="L268" s="47">
        <f t="shared" ref="L268:L310" si="9">IF(B268&lt;&gt;"",L267+1,1)</f>
        <v>1</v>
      </c>
    </row>
    <row r="269" spans="1:12" s="47" customFormat="1" ht="130.5" customHeight="1" x14ac:dyDescent="0.25">
      <c r="A269" s="47">
        <v>259</v>
      </c>
      <c r="B269" s="47" t="str">
        <f t="shared" si="8"/>
        <v/>
      </c>
      <c r="C269" s="48" t="str">
        <f>IF($B269&lt;&gt;"",VLOOKUP($B269,CATLookup!$A$2:$E$271,2,FALSE),"")</f>
        <v/>
      </c>
      <c r="D269" s="48" t="str">
        <f>IF($B269&lt;&gt;"",VLOOKUP($B269,CATLookup!$A$2:$E$271,3,FALSE),"")</f>
        <v/>
      </c>
      <c r="E269" s="48" t="str">
        <f>IF($B269&lt;&gt;"",VLOOKUP($B269,CATLookup!$A$2:$E$271,4,FALSE),"")</f>
        <v/>
      </c>
      <c r="F269" s="311"/>
      <c r="G269" s="311"/>
      <c r="H269" s="311"/>
      <c r="I269" s="311"/>
      <c r="J269" s="48"/>
      <c r="L269" s="47">
        <f t="shared" si="9"/>
        <v>1</v>
      </c>
    </row>
    <row r="270" spans="1:12" s="47" customFormat="1" ht="130.5" customHeight="1" x14ac:dyDescent="0.25">
      <c r="A270" s="47">
        <v>260</v>
      </c>
      <c r="B270" s="47" t="str">
        <f t="shared" si="8"/>
        <v/>
      </c>
      <c r="C270" s="48" t="str">
        <f>IF($B270&lt;&gt;"",VLOOKUP($B270,CATLookup!$A$2:$E$271,2,FALSE),"")</f>
        <v/>
      </c>
      <c r="D270" s="48" t="str">
        <f>IF($B270&lt;&gt;"",VLOOKUP($B270,CATLookup!$A$2:$E$271,3,FALSE),"")</f>
        <v/>
      </c>
      <c r="E270" s="48" t="str">
        <f>IF($B270&lt;&gt;"",VLOOKUP($B270,CATLookup!$A$2:$E$271,4,FALSE),"")</f>
        <v/>
      </c>
      <c r="F270" s="311"/>
      <c r="G270" s="311"/>
      <c r="H270" s="311"/>
      <c r="I270" s="311"/>
      <c r="J270" s="48"/>
      <c r="L270" s="47">
        <f t="shared" si="9"/>
        <v>1</v>
      </c>
    </row>
    <row r="271" spans="1:12" s="47" customFormat="1" ht="130.5" customHeight="1" x14ac:dyDescent="0.25">
      <c r="A271" s="47">
        <v>261</v>
      </c>
      <c r="B271" s="47" t="str">
        <f t="shared" si="8"/>
        <v/>
      </c>
      <c r="C271" s="48" t="str">
        <f>IF($B271&lt;&gt;"",VLOOKUP($B271,CATLookup!$A$2:$E$271,2,FALSE),"")</f>
        <v/>
      </c>
      <c r="D271" s="48" t="str">
        <f>IF($B271&lt;&gt;"",VLOOKUP($B271,CATLookup!$A$2:$E$271,3,FALSE),"")</f>
        <v/>
      </c>
      <c r="E271" s="48" t="str">
        <f>IF($B271&lt;&gt;"",VLOOKUP($B271,CATLookup!$A$2:$E$271,4,FALSE),"")</f>
        <v/>
      </c>
      <c r="F271" s="311"/>
      <c r="G271" s="311"/>
      <c r="H271" s="311"/>
      <c r="I271" s="311"/>
      <c r="J271" s="48"/>
      <c r="L271" s="47">
        <f t="shared" si="9"/>
        <v>1</v>
      </c>
    </row>
    <row r="272" spans="1:12" s="47" customFormat="1" ht="130.5" customHeight="1" x14ac:dyDescent="0.25">
      <c r="A272" s="47">
        <v>262</v>
      </c>
      <c r="B272" s="47" t="str">
        <f t="shared" si="8"/>
        <v/>
      </c>
      <c r="C272" s="48" t="str">
        <f>IF($B272&lt;&gt;"",VLOOKUP($B272,CATLookup!$A$2:$E$271,2,FALSE),"")</f>
        <v/>
      </c>
      <c r="D272" s="48" t="str">
        <f>IF($B272&lt;&gt;"",VLOOKUP($B272,CATLookup!$A$2:$E$271,3,FALSE),"")</f>
        <v/>
      </c>
      <c r="E272" s="48" t="str">
        <f>IF($B272&lt;&gt;"",VLOOKUP($B272,CATLookup!$A$2:$E$271,4,FALSE),"")</f>
        <v/>
      </c>
      <c r="F272" s="311"/>
      <c r="G272" s="311"/>
      <c r="H272" s="311"/>
      <c r="I272" s="311"/>
      <c r="J272" s="48"/>
      <c r="L272" s="47">
        <f t="shared" si="9"/>
        <v>1</v>
      </c>
    </row>
    <row r="273" spans="1:12" s="47" customFormat="1" ht="130.5" customHeight="1" x14ac:dyDescent="0.25">
      <c r="A273" s="47">
        <v>263</v>
      </c>
      <c r="B273" s="47" t="str">
        <f t="shared" si="8"/>
        <v/>
      </c>
      <c r="C273" s="48" t="str">
        <f>IF($B273&lt;&gt;"",VLOOKUP($B273,CATLookup!$A$2:$E$271,2,FALSE),"")</f>
        <v/>
      </c>
      <c r="D273" s="48" t="str">
        <f>IF($B273&lt;&gt;"",VLOOKUP($B273,CATLookup!$A$2:$E$271,3,FALSE),"")</f>
        <v/>
      </c>
      <c r="E273" s="48" t="str">
        <f>IF($B273&lt;&gt;"",VLOOKUP($B273,CATLookup!$A$2:$E$271,4,FALSE),"")</f>
        <v/>
      </c>
      <c r="F273" s="311"/>
      <c r="G273" s="311"/>
      <c r="H273" s="311"/>
      <c r="I273" s="311"/>
      <c r="J273" s="48"/>
      <c r="L273" s="47">
        <f t="shared" si="9"/>
        <v>1</v>
      </c>
    </row>
    <row r="274" spans="1:12" s="47" customFormat="1" ht="130.5" customHeight="1" x14ac:dyDescent="0.25">
      <c r="A274" s="47">
        <v>264</v>
      </c>
      <c r="B274" s="47" t="str">
        <f t="shared" si="8"/>
        <v/>
      </c>
      <c r="C274" s="48" t="str">
        <f>IF($B274&lt;&gt;"",VLOOKUP($B274,CATLookup!$A$2:$E$271,2,FALSE),"")</f>
        <v/>
      </c>
      <c r="D274" s="48" t="str">
        <f>IF($B274&lt;&gt;"",VLOOKUP($B274,CATLookup!$A$2:$E$271,3,FALSE),"")</f>
        <v/>
      </c>
      <c r="E274" s="48" t="str">
        <f>IF($B274&lt;&gt;"",VLOOKUP($B274,CATLookup!$A$2:$E$271,4,FALSE),"")</f>
        <v/>
      </c>
      <c r="F274" s="311"/>
      <c r="G274" s="311"/>
      <c r="H274" s="311"/>
      <c r="I274" s="311"/>
      <c r="J274" s="48"/>
      <c r="L274" s="47">
        <f t="shared" si="9"/>
        <v>1</v>
      </c>
    </row>
    <row r="275" spans="1:12" s="47" customFormat="1" ht="130.5" customHeight="1" x14ac:dyDescent="0.25">
      <c r="A275" s="47">
        <v>265</v>
      </c>
      <c r="B275" s="47" t="str">
        <f t="shared" si="8"/>
        <v/>
      </c>
      <c r="C275" s="48" t="str">
        <f>IF($B275&lt;&gt;"",VLOOKUP($B275,CATLookup!$A$2:$E$271,2,FALSE),"")</f>
        <v/>
      </c>
      <c r="D275" s="48" t="str">
        <f>IF($B275&lt;&gt;"",VLOOKUP($B275,CATLookup!$A$2:$E$271,3,FALSE),"")</f>
        <v/>
      </c>
      <c r="E275" s="48" t="str">
        <f>IF($B275&lt;&gt;"",VLOOKUP($B275,CATLookup!$A$2:$E$271,4,FALSE),"")</f>
        <v/>
      </c>
      <c r="F275" s="311"/>
      <c r="G275" s="311"/>
      <c r="H275" s="311"/>
      <c r="I275" s="311"/>
      <c r="J275" s="48"/>
      <c r="L275" s="47">
        <f t="shared" si="9"/>
        <v>1</v>
      </c>
    </row>
    <row r="276" spans="1:12" s="47" customFormat="1" ht="130.5" customHeight="1" x14ac:dyDescent="0.25">
      <c r="A276" s="47">
        <v>266</v>
      </c>
      <c r="B276" s="47" t="str">
        <f t="shared" si="8"/>
        <v/>
      </c>
      <c r="C276" s="48" t="str">
        <f>IF($B276&lt;&gt;"",VLOOKUP($B276,CATLookup!$A$2:$E$271,2,FALSE),"")</f>
        <v/>
      </c>
      <c r="D276" s="48" t="str">
        <f>IF($B276&lt;&gt;"",VLOOKUP($B276,CATLookup!$A$2:$E$271,3,FALSE),"")</f>
        <v/>
      </c>
      <c r="E276" s="48" t="str">
        <f>IF($B276&lt;&gt;"",VLOOKUP($B276,CATLookup!$A$2:$E$271,4,FALSE),"")</f>
        <v/>
      </c>
      <c r="F276" s="311"/>
      <c r="G276" s="311"/>
      <c r="H276" s="311"/>
      <c r="I276" s="311"/>
      <c r="J276" s="48"/>
      <c r="L276" s="47">
        <f t="shared" si="9"/>
        <v>1</v>
      </c>
    </row>
    <row r="277" spans="1:12" s="47" customFormat="1" ht="130.5" customHeight="1" x14ac:dyDescent="0.25">
      <c r="A277" s="47">
        <v>267</v>
      </c>
      <c r="B277" s="47" t="str">
        <f t="shared" si="8"/>
        <v/>
      </c>
      <c r="C277" s="48" t="str">
        <f>IF($B277&lt;&gt;"",VLOOKUP($B277,CATLookup!$A$2:$E$271,2,FALSE),"")</f>
        <v/>
      </c>
      <c r="D277" s="48" t="str">
        <f>IF($B277&lt;&gt;"",VLOOKUP($B277,CATLookup!$A$2:$E$271,3,FALSE),"")</f>
        <v/>
      </c>
      <c r="E277" s="48" t="str">
        <f>IF($B277&lt;&gt;"",VLOOKUP($B277,CATLookup!$A$2:$E$271,4,FALSE),"")</f>
        <v/>
      </c>
      <c r="F277" s="311"/>
      <c r="G277" s="311"/>
      <c r="H277" s="311"/>
      <c r="I277" s="311"/>
      <c r="J277" s="48"/>
      <c r="L277" s="47">
        <f t="shared" si="9"/>
        <v>1</v>
      </c>
    </row>
    <row r="278" spans="1:12" s="47" customFormat="1" ht="130.5" customHeight="1" x14ac:dyDescent="0.25">
      <c r="A278" s="47">
        <v>268</v>
      </c>
      <c r="B278" s="47" t="str">
        <f t="shared" si="8"/>
        <v/>
      </c>
      <c r="C278" s="48" t="str">
        <f>IF($B278&lt;&gt;"",VLOOKUP($B278,CATLookup!$A$2:$E$271,2,FALSE),"")</f>
        <v/>
      </c>
      <c r="D278" s="48" t="str">
        <f>IF($B278&lt;&gt;"",VLOOKUP($B278,CATLookup!$A$2:$E$271,3,FALSE),"")</f>
        <v/>
      </c>
      <c r="E278" s="48" t="str">
        <f>IF($B278&lt;&gt;"",VLOOKUP($B278,CATLookup!$A$2:$E$271,4,FALSE),"")</f>
        <v/>
      </c>
      <c r="F278" s="311"/>
      <c r="G278" s="311"/>
      <c r="H278" s="311"/>
      <c r="I278" s="311"/>
      <c r="J278" s="48"/>
      <c r="L278" s="47">
        <f t="shared" si="9"/>
        <v>1</v>
      </c>
    </row>
    <row r="279" spans="1:12" s="47" customFormat="1" ht="130.5" customHeight="1" x14ac:dyDescent="0.25">
      <c r="A279" s="47">
        <v>269</v>
      </c>
      <c r="B279" s="47" t="str">
        <f t="shared" si="8"/>
        <v/>
      </c>
      <c r="C279" s="48" t="str">
        <f>IF($B279&lt;&gt;"",VLOOKUP($B279,CATLookup!$A$2:$E$271,2,FALSE),"")</f>
        <v/>
      </c>
      <c r="D279" s="48" t="str">
        <f>IF($B279&lt;&gt;"",VLOOKUP($B279,CATLookup!$A$2:$E$271,3,FALSE),"")</f>
        <v/>
      </c>
      <c r="E279" s="48" t="str">
        <f>IF($B279&lt;&gt;"",VLOOKUP($B279,CATLookup!$A$2:$E$271,4,FALSE),"")</f>
        <v/>
      </c>
      <c r="F279" s="311"/>
      <c r="G279" s="311"/>
      <c r="H279" s="311"/>
      <c r="I279" s="311"/>
      <c r="J279" s="48"/>
      <c r="L279" s="47">
        <f t="shared" si="9"/>
        <v>1</v>
      </c>
    </row>
    <row r="280" spans="1:12" s="47" customFormat="1" ht="130.5" customHeight="1" x14ac:dyDescent="0.25">
      <c r="A280" s="47">
        <v>270</v>
      </c>
      <c r="B280" s="47" t="str">
        <f t="shared" si="8"/>
        <v/>
      </c>
      <c r="C280" s="48" t="str">
        <f>IF($B280&lt;&gt;"",VLOOKUP($B280,CATLookup!$A$2:$E$271,2,FALSE),"")</f>
        <v/>
      </c>
      <c r="D280" s="48" t="str">
        <f>IF($B280&lt;&gt;"",VLOOKUP($B280,CATLookup!$A$2:$E$271,3,FALSE),"")</f>
        <v/>
      </c>
      <c r="E280" s="48" t="str">
        <f>IF($B280&lt;&gt;"",VLOOKUP($B280,CATLookup!$A$2:$E$271,4,FALSE),"")</f>
        <v/>
      </c>
      <c r="F280" s="311"/>
      <c r="G280" s="311"/>
      <c r="H280" s="311"/>
      <c r="I280" s="311"/>
      <c r="J280" s="48"/>
      <c r="L280" s="47">
        <f t="shared" si="9"/>
        <v>1</v>
      </c>
    </row>
    <row r="281" spans="1:12" s="47" customFormat="1" ht="130.5" customHeight="1" x14ac:dyDescent="0.25">
      <c r="A281" s="47">
        <v>271</v>
      </c>
      <c r="B281" s="47" t="str">
        <f t="shared" si="8"/>
        <v/>
      </c>
      <c r="C281" s="48" t="str">
        <f>IF($B281&lt;&gt;"",VLOOKUP($B281,CATLookup!$A$2:$E$271,2,FALSE),"")</f>
        <v/>
      </c>
      <c r="D281" s="48" t="str">
        <f>IF($B281&lt;&gt;"",VLOOKUP($B281,CATLookup!$A$2:$E$271,3,FALSE),"")</f>
        <v/>
      </c>
      <c r="E281" s="48" t="str">
        <f>IF($B281&lt;&gt;"",VLOOKUP($B281,CATLookup!$A$2:$E$271,4,FALSE),"")</f>
        <v/>
      </c>
      <c r="F281" s="311"/>
      <c r="G281" s="311"/>
      <c r="H281" s="311"/>
      <c r="I281" s="311"/>
      <c r="J281" s="48"/>
      <c r="L281" s="47">
        <f t="shared" si="9"/>
        <v>1</v>
      </c>
    </row>
    <row r="282" spans="1:12" s="47" customFormat="1" ht="130.5" customHeight="1" x14ac:dyDescent="0.25">
      <c r="A282" s="47">
        <v>272</v>
      </c>
      <c r="B282" s="47" t="str">
        <f t="shared" si="8"/>
        <v/>
      </c>
      <c r="C282" s="48" t="str">
        <f>IF($B282&lt;&gt;"",VLOOKUP($B282,CATLookup!$A$2:$E$271,2,FALSE),"")</f>
        <v/>
      </c>
      <c r="D282" s="48" t="str">
        <f>IF($B282&lt;&gt;"",VLOOKUP($B282,CATLookup!$A$2:$E$271,3,FALSE),"")</f>
        <v/>
      </c>
      <c r="E282" s="48" t="str">
        <f>IF($B282&lt;&gt;"",VLOOKUP($B282,CATLookup!$A$2:$E$271,4,FALSE),"")</f>
        <v/>
      </c>
      <c r="F282" s="311"/>
      <c r="G282" s="311"/>
      <c r="H282" s="311"/>
      <c r="I282" s="311"/>
      <c r="J282" s="48"/>
      <c r="L282" s="47">
        <f t="shared" si="9"/>
        <v>1</v>
      </c>
    </row>
    <row r="283" spans="1:12" s="47" customFormat="1" ht="130.5" customHeight="1" x14ac:dyDescent="0.25">
      <c r="A283" s="47">
        <v>273</v>
      </c>
      <c r="B283" s="47" t="str">
        <f t="shared" si="8"/>
        <v/>
      </c>
      <c r="C283" s="48" t="str">
        <f>IF($B283&lt;&gt;"",VLOOKUP($B283,CATLookup!$A$2:$E$271,2,FALSE),"")</f>
        <v/>
      </c>
      <c r="D283" s="48" t="str">
        <f>IF($B283&lt;&gt;"",VLOOKUP($B283,CATLookup!$A$2:$E$271,3,FALSE),"")</f>
        <v/>
      </c>
      <c r="E283" s="48" t="str">
        <f>IF($B283&lt;&gt;"",VLOOKUP($B283,CATLookup!$A$2:$E$271,4,FALSE),"")</f>
        <v/>
      </c>
      <c r="F283" s="311"/>
      <c r="G283" s="311"/>
      <c r="H283" s="311"/>
      <c r="I283" s="311"/>
      <c r="J283" s="48"/>
      <c r="L283" s="47">
        <f t="shared" si="9"/>
        <v>1</v>
      </c>
    </row>
    <row r="284" spans="1:12" s="47" customFormat="1" ht="130.5" customHeight="1" x14ac:dyDescent="0.25">
      <c r="A284" s="47">
        <v>274</v>
      </c>
      <c r="B284" s="47" t="str">
        <f t="shared" si="8"/>
        <v/>
      </c>
      <c r="C284" s="48" t="str">
        <f>IF($B284&lt;&gt;"",VLOOKUP($B284,CATLookup!$A$2:$E$271,2,FALSE),"")</f>
        <v/>
      </c>
      <c r="D284" s="48" t="str">
        <f>IF($B284&lt;&gt;"",VLOOKUP($B284,CATLookup!$A$2:$E$271,3,FALSE),"")</f>
        <v/>
      </c>
      <c r="E284" s="48" t="str">
        <f>IF($B284&lt;&gt;"",VLOOKUP($B284,CATLookup!$A$2:$E$271,4,FALSE),"")</f>
        <v/>
      </c>
      <c r="F284" s="311"/>
      <c r="G284" s="311"/>
      <c r="H284" s="311"/>
      <c r="I284" s="311"/>
      <c r="J284" s="48"/>
      <c r="L284" s="47">
        <f t="shared" si="9"/>
        <v>1</v>
      </c>
    </row>
    <row r="285" spans="1:12" s="47" customFormat="1" ht="130.5" customHeight="1" x14ac:dyDescent="0.25">
      <c r="A285" s="47">
        <v>275</v>
      </c>
      <c r="B285" s="47" t="str">
        <f t="shared" si="8"/>
        <v/>
      </c>
      <c r="C285" s="48" t="str">
        <f>IF($B285&lt;&gt;"",VLOOKUP($B285,CATLookup!$A$2:$E$271,2,FALSE),"")</f>
        <v/>
      </c>
      <c r="D285" s="48" t="str">
        <f>IF($B285&lt;&gt;"",VLOOKUP($B285,CATLookup!$A$2:$E$271,3,FALSE),"")</f>
        <v/>
      </c>
      <c r="E285" s="48" t="str">
        <f>IF($B285&lt;&gt;"",VLOOKUP($B285,CATLookup!$A$2:$E$271,4,FALSE),"")</f>
        <v/>
      </c>
      <c r="F285" s="311"/>
      <c r="G285" s="311"/>
      <c r="H285" s="311"/>
      <c r="I285" s="311"/>
      <c r="J285" s="48"/>
      <c r="L285" s="47">
        <f t="shared" si="9"/>
        <v>1</v>
      </c>
    </row>
    <row r="286" spans="1:12" s="47" customFormat="1" ht="130.5" customHeight="1" x14ac:dyDescent="0.25">
      <c r="A286" s="47">
        <v>276</v>
      </c>
      <c r="B286" s="47" t="str">
        <f t="shared" si="8"/>
        <v/>
      </c>
      <c r="C286" s="48" t="str">
        <f>IF($B286&lt;&gt;"",VLOOKUP($B286,CATLookup!$A$2:$E$271,2,FALSE),"")</f>
        <v/>
      </c>
      <c r="D286" s="48" t="str">
        <f>IF($B286&lt;&gt;"",VLOOKUP($B286,CATLookup!$A$2:$E$271,3,FALSE),"")</f>
        <v/>
      </c>
      <c r="E286" s="48" t="str">
        <f>IF($B286&lt;&gt;"",VLOOKUP($B286,CATLookup!$A$2:$E$271,4,FALSE),"")</f>
        <v/>
      </c>
      <c r="F286" s="311"/>
      <c r="G286" s="311"/>
      <c r="H286" s="311"/>
      <c r="I286" s="311"/>
      <c r="J286" s="48"/>
      <c r="L286" s="47">
        <f t="shared" si="9"/>
        <v>1</v>
      </c>
    </row>
    <row r="287" spans="1:12" s="47" customFormat="1" ht="130.5" customHeight="1" x14ac:dyDescent="0.25">
      <c r="A287" s="47">
        <v>277</v>
      </c>
      <c r="B287" s="47" t="str">
        <f t="shared" si="8"/>
        <v/>
      </c>
      <c r="C287" s="48" t="str">
        <f>IF($B287&lt;&gt;"",VLOOKUP($B287,CATLookup!$A$2:$E$271,2,FALSE),"")</f>
        <v/>
      </c>
      <c r="D287" s="48" t="str">
        <f>IF($B287&lt;&gt;"",VLOOKUP($B287,CATLookup!$A$2:$E$271,3,FALSE),"")</f>
        <v/>
      </c>
      <c r="E287" s="48" t="str">
        <f>IF($B287&lt;&gt;"",VLOOKUP($B287,CATLookup!$A$2:$E$271,4,FALSE),"")</f>
        <v/>
      </c>
      <c r="F287" s="311"/>
      <c r="G287" s="311"/>
      <c r="H287" s="311"/>
      <c r="I287" s="311"/>
      <c r="J287" s="48"/>
      <c r="L287" s="47">
        <f t="shared" si="9"/>
        <v>1</v>
      </c>
    </row>
    <row r="288" spans="1:12" s="47" customFormat="1" ht="130.5" customHeight="1" x14ac:dyDescent="0.25">
      <c r="A288" s="47">
        <v>278</v>
      </c>
      <c r="B288" s="47" t="str">
        <f t="shared" si="8"/>
        <v/>
      </c>
      <c r="C288" s="48" t="str">
        <f>IF($B288&lt;&gt;"",VLOOKUP($B288,CATLookup!$A$2:$E$271,2,FALSE),"")</f>
        <v/>
      </c>
      <c r="D288" s="48" t="str">
        <f>IF($B288&lt;&gt;"",VLOOKUP($B288,CATLookup!$A$2:$E$271,3,FALSE),"")</f>
        <v/>
      </c>
      <c r="E288" s="48" t="str">
        <f>IF($B288&lt;&gt;"",VLOOKUP($B288,CATLookup!$A$2:$E$271,4,FALSE),"")</f>
        <v/>
      </c>
      <c r="F288" s="311"/>
      <c r="G288" s="311"/>
      <c r="H288" s="311"/>
      <c r="I288" s="311"/>
      <c r="J288" s="48"/>
      <c r="L288" s="47">
        <f t="shared" si="9"/>
        <v>1</v>
      </c>
    </row>
    <row r="289" spans="1:12" s="47" customFormat="1" ht="130.5" customHeight="1" x14ac:dyDescent="0.25">
      <c r="A289" s="47">
        <v>279</v>
      </c>
      <c r="B289" s="47" t="str">
        <f t="shared" si="8"/>
        <v/>
      </c>
      <c r="C289" s="48" t="str">
        <f>IF($B289&lt;&gt;"",VLOOKUP($B289,CATLookup!$A$2:$E$271,2,FALSE),"")</f>
        <v/>
      </c>
      <c r="D289" s="48" t="str">
        <f>IF($B289&lt;&gt;"",VLOOKUP($B289,CATLookup!$A$2:$E$271,3,FALSE),"")</f>
        <v/>
      </c>
      <c r="E289" s="48" t="str">
        <f>IF($B289&lt;&gt;"",VLOOKUP($B289,CATLookup!$A$2:$E$271,4,FALSE),"")</f>
        <v/>
      </c>
      <c r="F289" s="311"/>
      <c r="G289" s="311"/>
      <c r="H289" s="311"/>
      <c r="I289" s="311"/>
      <c r="J289" s="48"/>
      <c r="L289" s="47">
        <f t="shared" si="9"/>
        <v>1</v>
      </c>
    </row>
    <row r="290" spans="1:12" s="47" customFormat="1" ht="130.5" customHeight="1" x14ac:dyDescent="0.25">
      <c r="A290" s="47">
        <v>280</v>
      </c>
      <c r="B290" s="47" t="str">
        <f t="shared" si="8"/>
        <v/>
      </c>
      <c r="C290" s="48" t="str">
        <f>IF($B290&lt;&gt;"",VLOOKUP($B290,CATLookup!$A$2:$E$271,2,FALSE),"")</f>
        <v/>
      </c>
      <c r="D290" s="48" t="str">
        <f>IF($B290&lt;&gt;"",VLOOKUP($B290,CATLookup!$A$2:$E$271,3,FALSE),"")</f>
        <v/>
      </c>
      <c r="E290" s="48" t="str">
        <f>IF($B290&lt;&gt;"",VLOOKUP($B290,CATLookup!$A$2:$E$271,4,FALSE),"")</f>
        <v/>
      </c>
      <c r="F290" s="311"/>
      <c r="G290" s="311"/>
      <c r="H290" s="311"/>
      <c r="I290" s="311"/>
      <c r="J290" s="48"/>
      <c r="L290" s="47">
        <f t="shared" si="9"/>
        <v>1</v>
      </c>
    </row>
    <row r="291" spans="1:12" s="47" customFormat="1" ht="130.5" customHeight="1" x14ac:dyDescent="0.25">
      <c r="A291" s="47">
        <v>281</v>
      </c>
      <c r="B291" s="47" t="str">
        <f t="shared" si="8"/>
        <v/>
      </c>
      <c r="C291" s="48" t="str">
        <f>IF($B291&lt;&gt;"",VLOOKUP($B291,CATLookup!$A$2:$E$271,2,FALSE),"")</f>
        <v/>
      </c>
      <c r="D291" s="48" t="str">
        <f>IF($B291&lt;&gt;"",VLOOKUP($B291,CATLookup!$A$2:$E$271,3,FALSE),"")</f>
        <v/>
      </c>
      <c r="E291" s="48" t="str">
        <f>IF($B291&lt;&gt;"",VLOOKUP($B291,CATLookup!$A$2:$E$271,4,FALSE),"")</f>
        <v/>
      </c>
      <c r="F291" s="311"/>
      <c r="G291" s="311"/>
      <c r="H291" s="311"/>
      <c r="I291" s="311"/>
      <c r="J291" s="48"/>
      <c r="L291" s="47">
        <f t="shared" si="9"/>
        <v>1</v>
      </c>
    </row>
    <row r="292" spans="1:12" s="47" customFormat="1" ht="130.5" customHeight="1" x14ac:dyDescent="0.25">
      <c r="A292" s="47">
        <v>282</v>
      </c>
      <c r="B292" s="47" t="str">
        <f t="shared" si="8"/>
        <v/>
      </c>
      <c r="C292" s="48" t="str">
        <f>IF($B292&lt;&gt;"",VLOOKUP($B292,CATLookup!$A$2:$E$271,2,FALSE),"")</f>
        <v/>
      </c>
      <c r="D292" s="48" t="str">
        <f>IF($B292&lt;&gt;"",VLOOKUP($B292,CATLookup!$A$2:$E$271,3,FALSE),"")</f>
        <v/>
      </c>
      <c r="E292" s="48" t="str">
        <f>IF($B292&lt;&gt;"",VLOOKUP($B292,CATLookup!$A$2:$E$271,4,FALSE),"")</f>
        <v/>
      </c>
      <c r="F292" s="311"/>
      <c r="G292" s="311"/>
      <c r="H292" s="311"/>
      <c r="I292" s="311"/>
      <c r="J292" s="48"/>
      <c r="L292" s="47">
        <f t="shared" si="9"/>
        <v>1</v>
      </c>
    </row>
    <row r="293" spans="1:12" s="47" customFormat="1" ht="130.5" customHeight="1" x14ac:dyDescent="0.25">
      <c r="A293" s="47">
        <v>283</v>
      </c>
      <c r="B293" s="47" t="str">
        <f t="shared" si="8"/>
        <v/>
      </c>
      <c r="C293" s="48" t="str">
        <f>IF($B293&lt;&gt;"",VLOOKUP($B293,CATLookup!$A$2:$E$271,2,FALSE),"")</f>
        <v/>
      </c>
      <c r="D293" s="48" t="str">
        <f>IF($B293&lt;&gt;"",VLOOKUP($B293,CATLookup!$A$2:$E$271,3,FALSE),"")</f>
        <v/>
      </c>
      <c r="E293" s="48" t="str">
        <f>IF($B293&lt;&gt;"",VLOOKUP($B293,CATLookup!$A$2:$E$271,4,FALSE),"")</f>
        <v/>
      </c>
      <c r="F293" s="311"/>
      <c r="G293" s="311"/>
      <c r="H293" s="311"/>
      <c r="I293" s="311"/>
      <c r="J293" s="48"/>
      <c r="L293" s="47">
        <f t="shared" si="9"/>
        <v>1</v>
      </c>
    </row>
    <row r="294" spans="1:12" s="47" customFormat="1" ht="130.5" customHeight="1" x14ac:dyDescent="0.25">
      <c r="A294" s="47">
        <v>284</v>
      </c>
      <c r="B294" s="47" t="str">
        <f t="shared" si="8"/>
        <v/>
      </c>
      <c r="C294" s="48" t="str">
        <f>IF($B294&lt;&gt;"",VLOOKUP($B294,CATLookup!$A$2:$E$271,2,FALSE),"")</f>
        <v/>
      </c>
      <c r="D294" s="48" t="str">
        <f>IF($B294&lt;&gt;"",VLOOKUP($B294,CATLookup!$A$2:$E$271,3,FALSE),"")</f>
        <v/>
      </c>
      <c r="E294" s="48" t="str">
        <f>IF($B294&lt;&gt;"",VLOOKUP($B294,CATLookup!$A$2:$E$271,4,FALSE),"")</f>
        <v/>
      </c>
      <c r="F294" s="311"/>
      <c r="G294" s="311"/>
      <c r="H294" s="311"/>
      <c r="I294" s="311"/>
      <c r="J294" s="48"/>
      <c r="L294" s="47">
        <f t="shared" si="9"/>
        <v>1</v>
      </c>
    </row>
    <row r="295" spans="1:12" s="47" customFormat="1" ht="130.5" customHeight="1" x14ac:dyDescent="0.25">
      <c r="A295" s="47">
        <v>285</v>
      </c>
      <c r="B295" s="47" t="str">
        <f t="shared" si="8"/>
        <v/>
      </c>
      <c r="C295" s="48" t="str">
        <f>IF($B295&lt;&gt;"",VLOOKUP($B295,CATLookup!$A$2:$E$271,2,FALSE),"")</f>
        <v/>
      </c>
      <c r="D295" s="48" t="str">
        <f>IF($B295&lt;&gt;"",VLOOKUP($B295,CATLookup!$A$2:$E$271,3,FALSE),"")</f>
        <v/>
      </c>
      <c r="E295" s="48" t="str">
        <f>IF($B295&lt;&gt;"",VLOOKUP($B295,CATLookup!$A$2:$E$271,4,FALSE),"")</f>
        <v/>
      </c>
      <c r="F295" s="311"/>
      <c r="G295" s="311"/>
      <c r="H295" s="311"/>
      <c r="I295" s="311"/>
      <c r="J295" s="48"/>
      <c r="L295" s="47">
        <f t="shared" si="9"/>
        <v>1</v>
      </c>
    </row>
    <row r="296" spans="1:12" s="47" customFormat="1" ht="130.5" customHeight="1" x14ac:dyDescent="0.25">
      <c r="A296" s="47">
        <v>286</v>
      </c>
      <c r="B296" s="47" t="str">
        <f t="shared" si="8"/>
        <v/>
      </c>
      <c r="C296" s="48" t="str">
        <f>IF($B296&lt;&gt;"",VLOOKUP($B296,CATLookup!$A$2:$E$271,2,FALSE),"")</f>
        <v/>
      </c>
      <c r="D296" s="48" t="str">
        <f>IF($B296&lt;&gt;"",VLOOKUP($B296,CATLookup!$A$2:$E$271,3,FALSE),"")</f>
        <v/>
      </c>
      <c r="E296" s="48" t="str">
        <f>IF($B296&lt;&gt;"",VLOOKUP($B296,CATLookup!$A$2:$E$271,4,FALSE),"")</f>
        <v/>
      </c>
      <c r="F296" s="311"/>
      <c r="G296" s="311"/>
      <c r="H296" s="311"/>
      <c r="I296" s="311"/>
      <c r="J296" s="48"/>
      <c r="L296" s="47">
        <f t="shared" si="9"/>
        <v>1</v>
      </c>
    </row>
    <row r="297" spans="1:12" s="47" customFormat="1" ht="130.5" customHeight="1" x14ac:dyDescent="0.25">
      <c r="A297" s="47">
        <v>287</v>
      </c>
      <c r="B297" s="47" t="str">
        <f t="shared" si="8"/>
        <v/>
      </c>
      <c r="C297" s="48" t="str">
        <f>IF($B297&lt;&gt;"",VLOOKUP($B297,CATLookup!$A$2:$E$271,2,FALSE),"")</f>
        <v/>
      </c>
      <c r="D297" s="48" t="str">
        <f>IF($B297&lt;&gt;"",VLOOKUP($B297,CATLookup!$A$2:$E$271,3,FALSE),"")</f>
        <v/>
      </c>
      <c r="E297" s="48" t="str">
        <f>IF($B297&lt;&gt;"",VLOOKUP($B297,CATLookup!$A$2:$E$271,4,FALSE),"")</f>
        <v/>
      </c>
      <c r="F297" s="311"/>
      <c r="G297" s="311"/>
      <c r="H297" s="311"/>
      <c r="I297" s="311"/>
      <c r="J297" s="48"/>
      <c r="L297" s="47">
        <f t="shared" si="9"/>
        <v>1</v>
      </c>
    </row>
    <row r="298" spans="1:12" s="47" customFormat="1" ht="130.5" customHeight="1" x14ac:dyDescent="0.25">
      <c r="A298" s="47">
        <v>288</v>
      </c>
      <c r="B298" s="47" t="str">
        <f t="shared" si="8"/>
        <v/>
      </c>
      <c r="C298" s="48" t="str">
        <f>IF($B298&lt;&gt;"",VLOOKUP($B298,CATLookup!$A$2:$E$271,2,FALSE),"")</f>
        <v/>
      </c>
      <c r="D298" s="48" t="str">
        <f>IF($B298&lt;&gt;"",VLOOKUP($B298,CATLookup!$A$2:$E$271,3,FALSE),"")</f>
        <v/>
      </c>
      <c r="E298" s="48" t="str">
        <f>IF($B298&lt;&gt;"",VLOOKUP($B298,CATLookup!$A$2:$E$271,4,FALSE),"")</f>
        <v/>
      </c>
      <c r="F298" s="311"/>
      <c r="G298" s="311"/>
      <c r="H298" s="311"/>
      <c r="I298" s="311"/>
      <c r="J298" s="48"/>
      <c r="L298" s="47">
        <f t="shared" si="9"/>
        <v>1</v>
      </c>
    </row>
    <row r="299" spans="1:12" s="47" customFormat="1" ht="130.5" customHeight="1" x14ac:dyDescent="0.25">
      <c r="A299" s="47">
        <v>289</v>
      </c>
      <c r="B299" s="47" t="str">
        <f t="shared" si="8"/>
        <v/>
      </c>
      <c r="C299" s="48" t="str">
        <f>IF($B299&lt;&gt;"",VLOOKUP($B299,CATLookup!$A$2:$E$271,2,FALSE),"")</f>
        <v/>
      </c>
      <c r="D299" s="48" t="str">
        <f>IF($B299&lt;&gt;"",VLOOKUP($B299,CATLookup!$A$2:$E$271,3,FALSE),"")</f>
        <v/>
      </c>
      <c r="E299" s="48" t="str">
        <f>IF($B299&lt;&gt;"",VLOOKUP($B299,CATLookup!$A$2:$E$271,4,FALSE),"")</f>
        <v/>
      </c>
      <c r="F299" s="311"/>
      <c r="G299" s="311"/>
      <c r="H299" s="311"/>
      <c r="I299" s="311"/>
      <c r="J299" s="48"/>
      <c r="L299" s="47">
        <f t="shared" si="9"/>
        <v>1</v>
      </c>
    </row>
    <row r="300" spans="1:12" s="47" customFormat="1" ht="130.5" customHeight="1" x14ac:dyDescent="0.25">
      <c r="A300" s="47">
        <v>290</v>
      </c>
      <c r="B300" s="47" t="str">
        <f t="shared" si="8"/>
        <v/>
      </c>
      <c r="C300" s="48" t="str">
        <f>IF($B300&lt;&gt;"",VLOOKUP($B300,CATLookup!$A$2:$E$271,2,FALSE),"")</f>
        <v/>
      </c>
      <c r="D300" s="48" t="str">
        <f>IF($B300&lt;&gt;"",VLOOKUP($B300,CATLookup!$A$2:$E$271,3,FALSE),"")</f>
        <v/>
      </c>
      <c r="E300" s="48" t="str">
        <f>IF($B300&lt;&gt;"",VLOOKUP($B300,CATLookup!$A$2:$E$271,4,FALSE),"")</f>
        <v/>
      </c>
      <c r="F300" s="311"/>
      <c r="G300" s="311"/>
      <c r="H300" s="311"/>
      <c r="I300" s="311"/>
      <c r="J300" s="48"/>
      <c r="L300" s="47">
        <f t="shared" si="9"/>
        <v>1</v>
      </c>
    </row>
    <row r="301" spans="1:12" s="47" customFormat="1" ht="130.5" customHeight="1" x14ac:dyDescent="0.25">
      <c r="A301" s="47">
        <v>291</v>
      </c>
      <c r="B301" s="47" t="str">
        <f t="shared" si="8"/>
        <v/>
      </c>
      <c r="C301" s="48" t="str">
        <f>IF($B301&lt;&gt;"",VLOOKUP($B301,CATLookup!$A$2:$E$271,2,FALSE),"")</f>
        <v/>
      </c>
      <c r="D301" s="48" t="str">
        <f>IF($B301&lt;&gt;"",VLOOKUP($B301,CATLookup!$A$2:$E$271,3,FALSE),"")</f>
        <v/>
      </c>
      <c r="E301" s="48" t="str">
        <f>IF($B301&lt;&gt;"",VLOOKUP($B301,CATLookup!$A$2:$E$271,4,FALSE),"")</f>
        <v/>
      </c>
      <c r="F301" s="311"/>
      <c r="G301" s="311"/>
      <c r="H301" s="311"/>
      <c r="I301" s="311"/>
      <c r="J301" s="48"/>
      <c r="L301" s="47">
        <f t="shared" si="9"/>
        <v>1</v>
      </c>
    </row>
    <row r="302" spans="1:12" s="47" customFormat="1" ht="130.5" customHeight="1" x14ac:dyDescent="0.25">
      <c r="A302" s="47">
        <v>292</v>
      </c>
      <c r="B302" s="47" t="str">
        <f t="shared" si="8"/>
        <v/>
      </c>
      <c r="C302" s="48" t="str">
        <f>IF($B302&lt;&gt;"",VLOOKUP($B302,CATLookup!$A$2:$E$271,2,FALSE),"")</f>
        <v/>
      </c>
      <c r="D302" s="48" t="str">
        <f>IF($B302&lt;&gt;"",VLOOKUP($B302,CATLookup!$A$2:$E$271,3,FALSE),"")</f>
        <v/>
      </c>
      <c r="E302" s="48" t="str">
        <f>IF($B302&lt;&gt;"",VLOOKUP($B302,CATLookup!$A$2:$E$271,4,FALSE),"")</f>
        <v/>
      </c>
      <c r="F302" s="311"/>
      <c r="G302" s="311"/>
      <c r="H302" s="311"/>
      <c r="I302" s="311"/>
      <c r="J302" s="48"/>
      <c r="L302" s="47">
        <f t="shared" si="9"/>
        <v>1</v>
      </c>
    </row>
    <row r="303" spans="1:12" s="47" customFormat="1" ht="130.5" customHeight="1" x14ac:dyDescent="0.25">
      <c r="A303" s="47">
        <v>293</v>
      </c>
      <c r="B303" s="47" t="str">
        <f t="shared" si="8"/>
        <v/>
      </c>
      <c r="C303" s="48" t="str">
        <f>IF($B303&lt;&gt;"",VLOOKUP($B303,CATLookup!$A$2:$E$271,2,FALSE),"")</f>
        <v/>
      </c>
      <c r="D303" s="48" t="str">
        <f>IF($B303&lt;&gt;"",VLOOKUP($B303,CATLookup!$A$2:$E$271,3,FALSE),"")</f>
        <v/>
      </c>
      <c r="E303" s="48" t="str">
        <f>IF($B303&lt;&gt;"",VLOOKUP($B303,CATLookup!$A$2:$E$271,4,FALSE),"")</f>
        <v/>
      </c>
      <c r="F303" s="311"/>
      <c r="G303" s="311"/>
      <c r="H303" s="311"/>
      <c r="I303" s="311"/>
      <c r="J303" s="48"/>
      <c r="L303" s="47">
        <f t="shared" si="9"/>
        <v>1</v>
      </c>
    </row>
    <row r="304" spans="1:12" s="47" customFormat="1" ht="130.5" customHeight="1" x14ac:dyDescent="0.25">
      <c r="A304" s="47">
        <v>294</v>
      </c>
      <c r="B304" s="47" t="str">
        <f t="shared" si="8"/>
        <v/>
      </c>
      <c r="C304" s="48" t="str">
        <f>IF($B304&lt;&gt;"",VLOOKUP($B304,CATLookup!$A$2:$E$271,2,FALSE),"")</f>
        <v/>
      </c>
      <c r="D304" s="48" t="str">
        <f>IF($B304&lt;&gt;"",VLOOKUP($B304,CATLookup!$A$2:$E$271,3,FALSE),"")</f>
        <v/>
      </c>
      <c r="E304" s="48" t="str">
        <f>IF($B304&lt;&gt;"",VLOOKUP($B304,CATLookup!$A$2:$E$271,4,FALSE),"")</f>
        <v/>
      </c>
      <c r="F304" s="311"/>
      <c r="G304" s="311"/>
      <c r="H304" s="311"/>
      <c r="I304" s="311"/>
      <c r="J304" s="48"/>
      <c r="L304" s="47">
        <f t="shared" si="9"/>
        <v>1</v>
      </c>
    </row>
    <row r="305" spans="1:12" s="47" customFormat="1" ht="130.5" customHeight="1" x14ac:dyDescent="0.25">
      <c r="A305" s="47">
        <v>295</v>
      </c>
      <c r="B305" s="47" t="str">
        <f t="shared" si="8"/>
        <v/>
      </c>
      <c r="C305" s="48" t="str">
        <f>IF($B305&lt;&gt;"",VLOOKUP($B305,CATLookup!$A$2:$E$271,2,FALSE),"")</f>
        <v/>
      </c>
      <c r="D305" s="48" t="str">
        <f>IF($B305&lt;&gt;"",VLOOKUP($B305,CATLookup!$A$2:$E$271,3,FALSE),"")</f>
        <v/>
      </c>
      <c r="E305" s="48" t="str">
        <f>IF($B305&lt;&gt;"",VLOOKUP($B305,CATLookup!$A$2:$E$271,4,FALSE),"")</f>
        <v/>
      </c>
      <c r="F305" s="311"/>
      <c r="G305" s="311"/>
      <c r="H305" s="311"/>
      <c r="I305" s="311"/>
      <c r="J305" s="48"/>
      <c r="L305" s="47">
        <f t="shared" si="9"/>
        <v>1</v>
      </c>
    </row>
    <row r="306" spans="1:12" s="47" customFormat="1" ht="130.5" customHeight="1" x14ac:dyDescent="0.25">
      <c r="A306" s="47">
        <v>296</v>
      </c>
      <c r="B306" s="47" t="str">
        <f t="shared" si="8"/>
        <v/>
      </c>
      <c r="C306" s="48" t="str">
        <f>IF($B306&lt;&gt;"",VLOOKUP($B306,CATLookup!$A$2:$E$271,2,FALSE),"")</f>
        <v/>
      </c>
      <c r="D306" s="48" t="str">
        <f>IF($B306&lt;&gt;"",VLOOKUP($B306,CATLookup!$A$2:$E$271,3,FALSE),"")</f>
        <v/>
      </c>
      <c r="E306" s="48" t="str">
        <f>IF($B306&lt;&gt;"",VLOOKUP($B306,CATLookup!$A$2:$E$271,4,FALSE),"")</f>
        <v/>
      </c>
      <c r="F306" s="311"/>
      <c r="G306" s="311"/>
      <c r="H306" s="311"/>
      <c r="I306" s="311"/>
      <c r="J306" s="48"/>
      <c r="L306" s="47">
        <f t="shared" si="9"/>
        <v>1</v>
      </c>
    </row>
    <row r="307" spans="1:12" s="47" customFormat="1" ht="130.5" customHeight="1" x14ac:dyDescent="0.25">
      <c r="A307" s="47">
        <v>297</v>
      </c>
      <c r="B307" s="47" t="str">
        <f t="shared" si="8"/>
        <v/>
      </c>
      <c r="C307" s="48" t="str">
        <f>IF($B307&lt;&gt;"",VLOOKUP($B307,CATLookup!$A$2:$E$271,2,FALSE),"")</f>
        <v/>
      </c>
      <c r="D307" s="48" t="str">
        <f>IF($B307&lt;&gt;"",VLOOKUP($B307,CATLookup!$A$2:$E$271,3,FALSE),"")</f>
        <v/>
      </c>
      <c r="E307" s="48" t="str">
        <f>IF($B307&lt;&gt;"",VLOOKUP($B307,CATLookup!$A$2:$E$271,4,FALSE),"")</f>
        <v/>
      </c>
      <c r="F307" s="311"/>
      <c r="G307" s="311"/>
      <c r="H307" s="311"/>
      <c r="I307" s="311"/>
      <c r="J307" s="48"/>
      <c r="L307" s="47">
        <f t="shared" si="9"/>
        <v>1</v>
      </c>
    </row>
    <row r="308" spans="1:12" s="47" customFormat="1" ht="130.5" customHeight="1" x14ac:dyDescent="0.25">
      <c r="A308" s="47">
        <v>298</v>
      </c>
      <c r="B308" s="47" t="str">
        <f t="shared" si="8"/>
        <v/>
      </c>
      <c r="C308" s="48" t="str">
        <f>IF($B308&lt;&gt;"",VLOOKUP($B308,CATLookup!$A$2:$E$271,2,FALSE),"")</f>
        <v/>
      </c>
      <c r="D308" s="48" t="str">
        <f>IF($B308&lt;&gt;"",VLOOKUP($B308,CATLookup!$A$2:$E$271,3,FALSE),"")</f>
        <v/>
      </c>
      <c r="E308" s="48" t="str">
        <f>IF($B308&lt;&gt;"",VLOOKUP($B308,CATLookup!$A$2:$E$271,4,FALSE),"")</f>
        <v/>
      </c>
      <c r="F308" s="311"/>
      <c r="G308" s="311"/>
      <c r="H308" s="311"/>
      <c r="I308" s="311"/>
      <c r="J308" s="48"/>
      <c r="L308" s="47">
        <f t="shared" si="9"/>
        <v>1</v>
      </c>
    </row>
    <row r="309" spans="1:12" s="47" customFormat="1" ht="130.5" customHeight="1" x14ac:dyDescent="0.25">
      <c r="A309" s="47">
        <v>299</v>
      </c>
      <c r="B309" s="47" t="str">
        <f t="shared" si="8"/>
        <v/>
      </c>
      <c r="C309" s="48" t="str">
        <f>IF($B309&lt;&gt;"",VLOOKUP($B309,CATLookup!$A$2:$E$271,2,FALSE),"")</f>
        <v/>
      </c>
      <c r="D309" s="48" t="str">
        <f>IF($B309&lt;&gt;"",VLOOKUP($B309,CATLookup!$A$2:$E$271,3,FALSE),"")</f>
        <v/>
      </c>
      <c r="E309" s="48" t="str">
        <f>IF($B309&lt;&gt;"",VLOOKUP($B309,CATLookup!$A$2:$E$271,4,FALSE),"")</f>
        <v/>
      </c>
      <c r="F309" s="311"/>
      <c r="G309" s="311"/>
      <c r="H309" s="311"/>
      <c r="I309" s="311"/>
      <c r="J309" s="48"/>
      <c r="L309" s="47">
        <f t="shared" si="9"/>
        <v>1</v>
      </c>
    </row>
    <row r="310" spans="1:12" s="47" customFormat="1" ht="130.5" customHeight="1" x14ac:dyDescent="0.25">
      <c r="A310" s="47">
        <v>300</v>
      </c>
      <c r="B310" s="47" t="str">
        <f t="shared" si="8"/>
        <v/>
      </c>
      <c r="C310" s="48" t="str">
        <f>IF($B310&lt;&gt;"",VLOOKUP($B310,CATLookup!$A$2:$E$271,2,FALSE),"")</f>
        <v/>
      </c>
      <c r="D310" s="48" t="str">
        <f>IF($B310&lt;&gt;"",VLOOKUP($B310,CATLookup!$A$2:$E$271,3,FALSE),"")</f>
        <v/>
      </c>
      <c r="E310" s="48" t="str">
        <f>IF($B310&lt;&gt;"",VLOOKUP($B310,CATLookup!$A$2:$E$271,4,FALSE),"")</f>
        <v/>
      </c>
      <c r="F310" s="311"/>
      <c r="G310" s="311"/>
      <c r="H310" s="311"/>
      <c r="I310" s="311"/>
      <c r="J310" s="48"/>
      <c r="L310" s="47">
        <f t="shared" si="9"/>
        <v>1</v>
      </c>
    </row>
  </sheetData>
  <sheetProtection password="EA21" sheet="1" objects="1" scenarios="1"/>
  <mergeCells count="604">
    <mergeCell ref="F310:G310"/>
    <mergeCell ref="H310:I310"/>
    <mergeCell ref="F299:G299"/>
    <mergeCell ref="H299:I299"/>
    <mergeCell ref="F300:G300"/>
    <mergeCell ref="H300:I300"/>
    <mergeCell ref="F301:G301"/>
    <mergeCell ref="H301:I301"/>
    <mergeCell ref="F302:G302"/>
    <mergeCell ref="H302:I302"/>
    <mergeCell ref="F303:G303"/>
    <mergeCell ref="H303:I303"/>
    <mergeCell ref="F304:G304"/>
    <mergeCell ref="H304:I304"/>
    <mergeCell ref="F305:G305"/>
    <mergeCell ref="H305:I305"/>
    <mergeCell ref="F306:G306"/>
    <mergeCell ref="H306:I306"/>
    <mergeCell ref="F307:G307"/>
    <mergeCell ref="H307:I307"/>
    <mergeCell ref="F308:G308"/>
    <mergeCell ref="H308:I308"/>
    <mergeCell ref="F309:G309"/>
    <mergeCell ref="H309:I309"/>
    <mergeCell ref="F298:G298"/>
    <mergeCell ref="H298:I298"/>
    <mergeCell ref="F287:G287"/>
    <mergeCell ref="H287:I287"/>
    <mergeCell ref="F288:G288"/>
    <mergeCell ref="H288:I288"/>
    <mergeCell ref="F289:G289"/>
    <mergeCell ref="H289:I289"/>
    <mergeCell ref="F290:G290"/>
    <mergeCell ref="H290:I290"/>
    <mergeCell ref="F291:G291"/>
    <mergeCell ref="H291:I291"/>
    <mergeCell ref="F292:G292"/>
    <mergeCell ref="H292:I292"/>
    <mergeCell ref="F293:G293"/>
    <mergeCell ref="H293:I293"/>
    <mergeCell ref="F294:G294"/>
    <mergeCell ref="H294:I294"/>
    <mergeCell ref="F295:G295"/>
    <mergeCell ref="H295:I295"/>
    <mergeCell ref="F296:G296"/>
    <mergeCell ref="H296:I296"/>
    <mergeCell ref="F297:G297"/>
    <mergeCell ref="H297:I297"/>
    <mergeCell ref="F286:G286"/>
    <mergeCell ref="H286:I286"/>
    <mergeCell ref="F275:G275"/>
    <mergeCell ref="H275:I275"/>
    <mergeCell ref="F276:G276"/>
    <mergeCell ref="H276:I276"/>
    <mergeCell ref="F277:G277"/>
    <mergeCell ref="H277:I277"/>
    <mergeCell ref="F278:G278"/>
    <mergeCell ref="H278:I278"/>
    <mergeCell ref="F279:G279"/>
    <mergeCell ref="H279:I279"/>
    <mergeCell ref="F280:G280"/>
    <mergeCell ref="H280:I280"/>
    <mergeCell ref="F281:G281"/>
    <mergeCell ref="H281:I281"/>
    <mergeCell ref="F282:G282"/>
    <mergeCell ref="H282:I282"/>
    <mergeCell ref="F283:G283"/>
    <mergeCell ref="H283:I283"/>
    <mergeCell ref="F284:G284"/>
    <mergeCell ref="H284:I284"/>
    <mergeCell ref="F285:G285"/>
    <mergeCell ref="H285:I285"/>
    <mergeCell ref="F274:G274"/>
    <mergeCell ref="H274:I274"/>
    <mergeCell ref="F263:G263"/>
    <mergeCell ref="H263:I263"/>
    <mergeCell ref="F264:G264"/>
    <mergeCell ref="H264:I264"/>
    <mergeCell ref="F265:G265"/>
    <mergeCell ref="H265:I265"/>
    <mergeCell ref="F266:G266"/>
    <mergeCell ref="H266:I266"/>
    <mergeCell ref="F267:G267"/>
    <mergeCell ref="H267:I267"/>
    <mergeCell ref="F268:G268"/>
    <mergeCell ref="H268:I268"/>
    <mergeCell ref="F269:G269"/>
    <mergeCell ref="H269:I269"/>
    <mergeCell ref="F270:G270"/>
    <mergeCell ref="H270:I270"/>
    <mergeCell ref="F271:G271"/>
    <mergeCell ref="H271:I271"/>
    <mergeCell ref="F272:G272"/>
    <mergeCell ref="H272:I272"/>
    <mergeCell ref="F273:G273"/>
    <mergeCell ref="H273:I273"/>
    <mergeCell ref="F262:G262"/>
    <mergeCell ref="H262:I262"/>
    <mergeCell ref="F251:G251"/>
    <mergeCell ref="H251:I251"/>
    <mergeCell ref="F252:G252"/>
    <mergeCell ref="H252:I252"/>
    <mergeCell ref="F253:G253"/>
    <mergeCell ref="H253:I253"/>
    <mergeCell ref="F254:G254"/>
    <mergeCell ref="H254:I254"/>
    <mergeCell ref="F255:G255"/>
    <mergeCell ref="H255:I255"/>
    <mergeCell ref="F256:G256"/>
    <mergeCell ref="H256:I256"/>
    <mergeCell ref="F257:G257"/>
    <mergeCell ref="H257:I257"/>
    <mergeCell ref="F258:G258"/>
    <mergeCell ref="H258:I258"/>
    <mergeCell ref="F259:G259"/>
    <mergeCell ref="H259:I259"/>
    <mergeCell ref="F260:G260"/>
    <mergeCell ref="H260:I260"/>
    <mergeCell ref="F261:G261"/>
    <mergeCell ref="H261:I261"/>
    <mergeCell ref="F250:G250"/>
    <mergeCell ref="H250:I250"/>
    <mergeCell ref="F239:G239"/>
    <mergeCell ref="H239:I239"/>
    <mergeCell ref="F240:G240"/>
    <mergeCell ref="H240:I240"/>
    <mergeCell ref="F241:G241"/>
    <mergeCell ref="H241:I241"/>
    <mergeCell ref="F242:G242"/>
    <mergeCell ref="H242:I242"/>
    <mergeCell ref="F243:G243"/>
    <mergeCell ref="H243:I243"/>
    <mergeCell ref="F244:G244"/>
    <mergeCell ref="H244:I244"/>
    <mergeCell ref="F245:G245"/>
    <mergeCell ref="H245:I245"/>
    <mergeCell ref="F246:G246"/>
    <mergeCell ref="H246:I246"/>
    <mergeCell ref="F247:G247"/>
    <mergeCell ref="H247:I247"/>
    <mergeCell ref="F248:G248"/>
    <mergeCell ref="H248:I248"/>
    <mergeCell ref="F249:G249"/>
    <mergeCell ref="H249:I249"/>
    <mergeCell ref="F238:G238"/>
    <mergeCell ref="H238:I238"/>
    <mergeCell ref="F227:G227"/>
    <mergeCell ref="H227:I227"/>
    <mergeCell ref="F228:G228"/>
    <mergeCell ref="H228:I228"/>
    <mergeCell ref="F229:G229"/>
    <mergeCell ref="H229:I229"/>
    <mergeCell ref="F230:G230"/>
    <mergeCell ref="H230:I230"/>
    <mergeCell ref="F231:G231"/>
    <mergeCell ref="H231:I231"/>
    <mergeCell ref="F232:G232"/>
    <mergeCell ref="H232:I232"/>
    <mergeCell ref="F233:G233"/>
    <mergeCell ref="H233:I233"/>
    <mergeCell ref="F234:G234"/>
    <mergeCell ref="H234:I234"/>
    <mergeCell ref="F235:G235"/>
    <mergeCell ref="H235:I235"/>
    <mergeCell ref="F236:G236"/>
    <mergeCell ref="H236:I236"/>
    <mergeCell ref="F237:G237"/>
    <mergeCell ref="H237:I237"/>
    <mergeCell ref="F226:G226"/>
    <mergeCell ref="H226:I226"/>
    <mergeCell ref="F215:G215"/>
    <mergeCell ref="H215:I215"/>
    <mergeCell ref="F216:G216"/>
    <mergeCell ref="H216:I216"/>
    <mergeCell ref="F217:G217"/>
    <mergeCell ref="H217:I217"/>
    <mergeCell ref="F218:G218"/>
    <mergeCell ref="H218:I218"/>
    <mergeCell ref="F219:G219"/>
    <mergeCell ref="H219:I219"/>
    <mergeCell ref="F220:G220"/>
    <mergeCell ref="H220:I220"/>
    <mergeCell ref="F221:G221"/>
    <mergeCell ref="H221:I221"/>
    <mergeCell ref="F222:G222"/>
    <mergeCell ref="H222:I222"/>
    <mergeCell ref="F223:G223"/>
    <mergeCell ref="H223:I223"/>
    <mergeCell ref="F224:G224"/>
    <mergeCell ref="H224:I224"/>
    <mergeCell ref="F225:G225"/>
    <mergeCell ref="H225:I225"/>
    <mergeCell ref="F214:G214"/>
    <mergeCell ref="H214:I214"/>
    <mergeCell ref="F203:G203"/>
    <mergeCell ref="H203:I203"/>
    <mergeCell ref="F204:G204"/>
    <mergeCell ref="H204:I204"/>
    <mergeCell ref="F205:G205"/>
    <mergeCell ref="H205:I205"/>
    <mergeCell ref="F206:G206"/>
    <mergeCell ref="H206:I206"/>
    <mergeCell ref="F207:G207"/>
    <mergeCell ref="H207:I207"/>
    <mergeCell ref="F208:G208"/>
    <mergeCell ref="H208:I208"/>
    <mergeCell ref="F209:G209"/>
    <mergeCell ref="H209:I209"/>
    <mergeCell ref="F210:G210"/>
    <mergeCell ref="H210:I210"/>
    <mergeCell ref="F211:G211"/>
    <mergeCell ref="H211:I211"/>
    <mergeCell ref="F212:G212"/>
    <mergeCell ref="H212:I212"/>
    <mergeCell ref="F213:G213"/>
    <mergeCell ref="H213:I213"/>
    <mergeCell ref="F202:G202"/>
    <mergeCell ref="H202:I202"/>
    <mergeCell ref="F191:G191"/>
    <mergeCell ref="H191:I191"/>
    <mergeCell ref="F192:G192"/>
    <mergeCell ref="H192:I192"/>
    <mergeCell ref="F193:G193"/>
    <mergeCell ref="H193:I193"/>
    <mergeCell ref="F194:G194"/>
    <mergeCell ref="H194:I194"/>
    <mergeCell ref="F195:G195"/>
    <mergeCell ref="H195:I195"/>
    <mergeCell ref="F196:G196"/>
    <mergeCell ref="H196:I196"/>
    <mergeCell ref="F197:G197"/>
    <mergeCell ref="H197:I197"/>
    <mergeCell ref="F198:G198"/>
    <mergeCell ref="H198:I198"/>
    <mergeCell ref="F199:G199"/>
    <mergeCell ref="H199:I199"/>
    <mergeCell ref="F200:G200"/>
    <mergeCell ref="H200:I200"/>
    <mergeCell ref="F201:G201"/>
    <mergeCell ref="H201:I201"/>
    <mergeCell ref="F190:G190"/>
    <mergeCell ref="H190:I190"/>
    <mergeCell ref="F179:G179"/>
    <mergeCell ref="H179:I179"/>
    <mergeCell ref="F180:G180"/>
    <mergeCell ref="H180:I180"/>
    <mergeCell ref="F181:G181"/>
    <mergeCell ref="H181:I181"/>
    <mergeCell ref="F182:G182"/>
    <mergeCell ref="H182:I182"/>
    <mergeCell ref="F183:G183"/>
    <mergeCell ref="H183:I183"/>
    <mergeCell ref="F184:G184"/>
    <mergeCell ref="H184:I184"/>
    <mergeCell ref="F185:G185"/>
    <mergeCell ref="H185:I185"/>
    <mergeCell ref="F186:G186"/>
    <mergeCell ref="H186:I186"/>
    <mergeCell ref="F187:G187"/>
    <mergeCell ref="H187:I187"/>
    <mergeCell ref="F188:G188"/>
    <mergeCell ref="H188:I188"/>
    <mergeCell ref="F189:G189"/>
    <mergeCell ref="H189:I189"/>
    <mergeCell ref="F178:G178"/>
    <mergeCell ref="H178:I178"/>
    <mergeCell ref="F167:G167"/>
    <mergeCell ref="H167:I167"/>
    <mergeCell ref="F168:G168"/>
    <mergeCell ref="H168:I168"/>
    <mergeCell ref="F169:G169"/>
    <mergeCell ref="H169:I169"/>
    <mergeCell ref="F170:G170"/>
    <mergeCell ref="H170:I170"/>
    <mergeCell ref="F171:G171"/>
    <mergeCell ref="H171:I171"/>
    <mergeCell ref="F172:G172"/>
    <mergeCell ref="H172:I172"/>
    <mergeCell ref="F173:G173"/>
    <mergeCell ref="H173:I173"/>
    <mergeCell ref="F174:G174"/>
    <mergeCell ref="H174:I174"/>
    <mergeCell ref="F175:G175"/>
    <mergeCell ref="H175:I175"/>
    <mergeCell ref="F176:G176"/>
    <mergeCell ref="H176:I176"/>
    <mergeCell ref="F177:G177"/>
    <mergeCell ref="H177:I177"/>
    <mergeCell ref="F166:G166"/>
    <mergeCell ref="H166:I166"/>
    <mergeCell ref="F155:G155"/>
    <mergeCell ref="H155:I155"/>
    <mergeCell ref="F156:G156"/>
    <mergeCell ref="H156:I156"/>
    <mergeCell ref="F157:G157"/>
    <mergeCell ref="H157:I157"/>
    <mergeCell ref="F158:G158"/>
    <mergeCell ref="H158:I158"/>
    <mergeCell ref="F159:G159"/>
    <mergeCell ref="H159:I159"/>
    <mergeCell ref="F160:G160"/>
    <mergeCell ref="H160:I160"/>
    <mergeCell ref="F161:G161"/>
    <mergeCell ref="H161:I161"/>
    <mergeCell ref="F162:G162"/>
    <mergeCell ref="H162:I162"/>
    <mergeCell ref="F163:G163"/>
    <mergeCell ref="H163:I163"/>
    <mergeCell ref="F164:G164"/>
    <mergeCell ref="H164:I164"/>
    <mergeCell ref="F165:G165"/>
    <mergeCell ref="H165:I165"/>
    <mergeCell ref="F154:G154"/>
    <mergeCell ref="H154:I154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48:G148"/>
    <mergeCell ref="H148:I148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42:G142"/>
    <mergeCell ref="H142:I142"/>
    <mergeCell ref="F131:G131"/>
    <mergeCell ref="H131:I131"/>
    <mergeCell ref="F132:G132"/>
    <mergeCell ref="H132:I132"/>
    <mergeCell ref="F133:G133"/>
    <mergeCell ref="H133:I133"/>
    <mergeCell ref="F134:G134"/>
    <mergeCell ref="H134:I134"/>
    <mergeCell ref="F135:G135"/>
    <mergeCell ref="H135:I135"/>
    <mergeCell ref="F136:G136"/>
    <mergeCell ref="H136:I136"/>
    <mergeCell ref="F137:G137"/>
    <mergeCell ref="H137:I137"/>
    <mergeCell ref="F138:G138"/>
    <mergeCell ref="H138:I138"/>
    <mergeCell ref="F139:G139"/>
    <mergeCell ref="H139:I139"/>
    <mergeCell ref="F140:G140"/>
    <mergeCell ref="H140:I140"/>
    <mergeCell ref="F141:G141"/>
    <mergeCell ref="H141:I141"/>
    <mergeCell ref="F130:G130"/>
    <mergeCell ref="H130:I130"/>
    <mergeCell ref="F119:G119"/>
    <mergeCell ref="H119:I119"/>
    <mergeCell ref="F120:G120"/>
    <mergeCell ref="H120:I120"/>
    <mergeCell ref="F121:G121"/>
    <mergeCell ref="H121:I121"/>
    <mergeCell ref="F122:G122"/>
    <mergeCell ref="H122:I122"/>
    <mergeCell ref="F123:G123"/>
    <mergeCell ref="H123:I123"/>
    <mergeCell ref="F124:G124"/>
    <mergeCell ref="H124:I124"/>
    <mergeCell ref="F125:G125"/>
    <mergeCell ref="H125:I125"/>
    <mergeCell ref="F126:G126"/>
    <mergeCell ref="H126:I126"/>
    <mergeCell ref="F127:G127"/>
    <mergeCell ref="H127:I127"/>
    <mergeCell ref="F128:G128"/>
    <mergeCell ref="H128:I128"/>
    <mergeCell ref="F129:G129"/>
    <mergeCell ref="H129:I129"/>
    <mergeCell ref="F118:G118"/>
    <mergeCell ref="H118:I118"/>
    <mergeCell ref="F107:G107"/>
    <mergeCell ref="H107:I107"/>
    <mergeCell ref="F108:G108"/>
    <mergeCell ref="H108:I108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3:G113"/>
    <mergeCell ref="H113:I113"/>
    <mergeCell ref="F114:G114"/>
    <mergeCell ref="H114:I114"/>
    <mergeCell ref="F115:G115"/>
    <mergeCell ref="H115:I115"/>
    <mergeCell ref="F116:G116"/>
    <mergeCell ref="H116:I116"/>
    <mergeCell ref="F117:G117"/>
    <mergeCell ref="H117:I117"/>
    <mergeCell ref="F106:G106"/>
    <mergeCell ref="H106:I106"/>
    <mergeCell ref="F95:G95"/>
    <mergeCell ref="H95:I95"/>
    <mergeCell ref="F96:G96"/>
    <mergeCell ref="H96:I96"/>
    <mergeCell ref="F97:G97"/>
    <mergeCell ref="H97:I97"/>
    <mergeCell ref="F98:G98"/>
    <mergeCell ref="H98:I98"/>
    <mergeCell ref="F99:G99"/>
    <mergeCell ref="H99:I99"/>
    <mergeCell ref="F100:G100"/>
    <mergeCell ref="H100:I100"/>
    <mergeCell ref="F101:G101"/>
    <mergeCell ref="H101:I101"/>
    <mergeCell ref="F102:G102"/>
    <mergeCell ref="H102:I102"/>
    <mergeCell ref="F103:G103"/>
    <mergeCell ref="H103:I103"/>
    <mergeCell ref="F104:G104"/>
    <mergeCell ref="H104:I104"/>
    <mergeCell ref="F105:G105"/>
    <mergeCell ref="H105:I105"/>
    <mergeCell ref="F94:G94"/>
    <mergeCell ref="H94:I94"/>
    <mergeCell ref="F83:G83"/>
    <mergeCell ref="H83:I83"/>
    <mergeCell ref="F84:G84"/>
    <mergeCell ref="H84:I84"/>
    <mergeCell ref="F85:G85"/>
    <mergeCell ref="H85:I85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  <mergeCell ref="H93:I93"/>
    <mergeCell ref="F82:G82"/>
    <mergeCell ref="H82:I82"/>
    <mergeCell ref="F71:G71"/>
    <mergeCell ref="H71:I71"/>
    <mergeCell ref="F72:G72"/>
    <mergeCell ref="H72:I72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70:G70"/>
    <mergeCell ref="H70:I70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58:G58"/>
    <mergeCell ref="H58:I58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46:G46"/>
    <mergeCell ref="H46:I46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34:G34"/>
    <mergeCell ref="H34:I34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H4:K4"/>
    <mergeCell ref="F10:G10"/>
    <mergeCell ref="F11:G11"/>
    <mergeCell ref="F12:G12"/>
    <mergeCell ref="F13:G13"/>
    <mergeCell ref="H10:I10"/>
    <mergeCell ref="H11:I11"/>
    <mergeCell ref="H12:I12"/>
    <mergeCell ref="H13:I13"/>
    <mergeCell ref="D6:E6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F15:G15"/>
    <mergeCell ref="F16:G16"/>
    <mergeCell ref="H14:I14"/>
    <mergeCell ref="H15:I15"/>
    <mergeCell ref="H16:I16"/>
  </mergeCells>
  <conditionalFormatting sqref="B11:L310">
    <cfRule type="expression" dxfId="0" priority="1" stopIfTrue="1">
      <formula>MOD($L11,2)=0</formula>
    </cfRule>
  </conditionalFormatting>
  <dataValidations count="2">
    <dataValidation type="list" allowBlank="1" showInputMessage="1" showErrorMessage="1" sqref="J11:J310">
      <formula1>$O$11:$O$25</formula1>
    </dataValidation>
    <dataValidation type="list" allowBlank="1" showInputMessage="1" showErrorMessage="1" sqref="F11:G310">
      <formula1>$M$11:$M$19</formula1>
    </dataValidation>
  </dataValidations>
  <printOptions horizontalCentered="1" verticalCentered="1"/>
  <pageMargins left="0.37" right="0.28999999999999998" top="0.44" bottom="0.5" header="0.2" footer="0.2"/>
  <pageSetup scale="48" fitToHeight="0" orientation="portrait" horizontalDpi="4294967293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672"/>
  <sheetViews>
    <sheetView zoomScale="80" zoomScaleNormal="80" workbookViewId="0">
      <pane xSplit="3" ySplit="2" topLeftCell="P3" activePane="bottomRight" state="frozen"/>
      <selection activeCell="C1" sqref="C1"/>
      <selection pane="topRight" activeCell="D1" sqref="D1"/>
      <selection pane="bottomLeft" activeCell="C3" sqref="C3"/>
      <selection pane="bottomRight" activeCell="B2" sqref="B2"/>
    </sheetView>
  </sheetViews>
  <sheetFormatPr defaultRowHeight="13.2" x14ac:dyDescent="0.25"/>
  <cols>
    <col min="1" max="1" width="15.109375" customWidth="1"/>
    <col min="2" max="2" width="25" bestFit="1" customWidth="1"/>
    <col min="3" max="3" width="37" bestFit="1" customWidth="1"/>
    <col min="4" max="7" width="15.33203125" bestFit="1" customWidth="1"/>
    <col min="8" max="8" width="12.6640625" style="68" bestFit="1" customWidth="1"/>
    <col min="9" max="12" width="15.33203125" bestFit="1" customWidth="1"/>
    <col min="13" max="13" width="11.5546875" style="68" bestFit="1" customWidth="1"/>
    <col min="14" max="16" width="15.33203125" bestFit="1" customWidth="1"/>
    <col min="17" max="17" width="12.6640625" style="55" bestFit="1" customWidth="1"/>
    <col min="18" max="18" width="12.6640625" style="56" bestFit="1" customWidth="1"/>
    <col min="19" max="19" width="14.33203125" bestFit="1" customWidth="1"/>
    <col min="20" max="21" width="15.33203125" bestFit="1" customWidth="1"/>
    <col min="22" max="22" width="1.6640625" style="55" customWidth="1"/>
    <col min="23" max="23" width="1.6640625" style="56" customWidth="1"/>
    <col min="24" max="25" width="15.33203125" bestFit="1" customWidth="1"/>
    <col min="26" max="26" width="1.44140625" style="55" customWidth="1"/>
    <col min="27" max="27" width="1.5546875" style="63" customWidth="1"/>
    <col min="28" max="28" width="1.5546875" style="56" customWidth="1"/>
    <col min="29" max="29" width="14.33203125" bestFit="1" customWidth="1"/>
    <col min="30" max="30" width="15.33203125" bestFit="1" customWidth="1"/>
    <col min="31" max="31" width="1.44140625" style="55" customWidth="1"/>
    <col min="32" max="32" width="1.88671875" style="63" customWidth="1"/>
    <col min="33" max="33" width="1.6640625" style="56" customWidth="1"/>
    <col min="34" max="34" width="17" customWidth="1"/>
    <col min="35" max="35" width="1.5546875" style="55" customWidth="1"/>
    <col min="36" max="36" width="1.44140625" style="63" customWidth="1"/>
    <col min="37" max="37" width="1.6640625" style="63" customWidth="1"/>
    <col min="38" max="38" width="2" style="56" customWidth="1"/>
    <col min="39" max="39" width="16.6640625" customWidth="1"/>
    <col min="40" max="40" width="14.44140625" style="124" bestFit="1" customWidth="1"/>
    <col min="41" max="42" width="15.109375" style="124" bestFit="1" customWidth="1"/>
    <col min="43" max="43" width="9.109375" style="124"/>
  </cols>
  <sheetData>
    <row r="1" spans="1:43" x14ac:dyDescent="0.25">
      <c r="D1" t="s">
        <v>235</v>
      </c>
      <c r="E1" t="s">
        <v>235</v>
      </c>
      <c r="F1" t="s">
        <v>235</v>
      </c>
      <c r="G1" t="s">
        <v>235</v>
      </c>
      <c r="H1" s="124" t="s">
        <v>235</v>
      </c>
      <c r="I1" t="s">
        <v>235</v>
      </c>
      <c r="J1" t="s">
        <v>235</v>
      </c>
      <c r="K1" t="s">
        <v>235</v>
      </c>
      <c r="L1" t="s">
        <v>235</v>
      </c>
      <c r="M1" s="124" t="s">
        <v>235</v>
      </c>
      <c r="N1" t="s">
        <v>236</v>
      </c>
      <c r="O1" t="s">
        <v>236</v>
      </c>
      <c r="P1" t="s">
        <v>236</v>
      </c>
      <c r="Q1" s="124" t="s">
        <v>236</v>
      </c>
      <c r="R1" s="124" t="s">
        <v>236</v>
      </c>
      <c r="S1" t="s">
        <v>236</v>
      </c>
      <c r="T1" t="s">
        <v>236</v>
      </c>
      <c r="U1" t="s">
        <v>236</v>
      </c>
      <c r="V1" s="124" t="s">
        <v>236</v>
      </c>
      <c r="W1" s="124" t="s">
        <v>236</v>
      </c>
      <c r="X1" t="s">
        <v>237</v>
      </c>
      <c r="Y1" t="s">
        <v>237</v>
      </c>
      <c r="Z1" s="124" t="s">
        <v>237</v>
      </c>
      <c r="AA1" s="124" t="s">
        <v>237</v>
      </c>
      <c r="AB1" s="124" t="s">
        <v>237</v>
      </c>
      <c r="AC1" t="s">
        <v>237</v>
      </c>
      <c r="AD1" t="s">
        <v>237</v>
      </c>
      <c r="AE1" s="124" t="s">
        <v>237</v>
      </c>
      <c r="AF1" s="124" t="s">
        <v>237</v>
      </c>
      <c r="AG1" s="124" t="s">
        <v>237</v>
      </c>
      <c r="AH1" t="s">
        <v>238</v>
      </c>
      <c r="AI1" s="124" t="s">
        <v>238</v>
      </c>
      <c r="AJ1" s="124" t="s">
        <v>238</v>
      </c>
      <c r="AK1" s="124" t="s">
        <v>238</v>
      </c>
      <c r="AL1" s="124" t="s">
        <v>238</v>
      </c>
      <c r="AM1" t="s">
        <v>238</v>
      </c>
      <c r="AN1" s="124" t="s">
        <v>238</v>
      </c>
      <c r="AO1" s="124" t="s">
        <v>238</v>
      </c>
      <c r="AP1" s="124" t="s">
        <v>238</v>
      </c>
      <c r="AQ1" s="124" t="s">
        <v>238</v>
      </c>
    </row>
    <row r="2" spans="1:43" x14ac:dyDescent="0.25">
      <c r="A2" t="s">
        <v>116</v>
      </c>
      <c r="B2" t="s">
        <v>117</v>
      </c>
      <c r="C2" s="212" t="s">
        <v>126</v>
      </c>
      <c r="D2" t="s">
        <v>118</v>
      </c>
      <c r="E2" t="s">
        <v>119</v>
      </c>
      <c r="F2" t="s">
        <v>120</v>
      </c>
      <c r="G2" s="136" t="s">
        <v>121</v>
      </c>
      <c r="H2" s="68" t="s">
        <v>182</v>
      </c>
      <c r="I2" t="s">
        <v>122</v>
      </c>
      <c r="J2" t="s">
        <v>123</v>
      </c>
      <c r="K2" t="s">
        <v>124</v>
      </c>
      <c r="L2" s="136" t="s">
        <v>125</v>
      </c>
      <c r="M2" s="68" t="s">
        <v>183</v>
      </c>
      <c r="N2" t="s">
        <v>118</v>
      </c>
      <c r="O2" t="s">
        <v>119</v>
      </c>
      <c r="P2" s="136" t="s">
        <v>120</v>
      </c>
      <c r="Q2" s="124" t="s">
        <v>121</v>
      </c>
      <c r="R2" s="68" t="s">
        <v>182</v>
      </c>
      <c r="S2" t="s">
        <v>122</v>
      </c>
      <c r="T2" t="s">
        <v>123</v>
      </c>
      <c r="U2" s="136" t="s">
        <v>124</v>
      </c>
      <c r="V2" s="124" t="s">
        <v>125</v>
      </c>
      <c r="W2" s="68" t="s">
        <v>183</v>
      </c>
      <c r="X2" t="s">
        <v>118</v>
      </c>
      <c r="Y2" s="136" t="s">
        <v>119</v>
      </c>
      <c r="Z2" s="124" t="s">
        <v>120</v>
      </c>
      <c r="AA2" s="124" t="s">
        <v>121</v>
      </c>
      <c r="AB2" s="68" t="s">
        <v>182</v>
      </c>
      <c r="AC2" t="s">
        <v>122</v>
      </c>
      <c r="AD2" s="136" t="s">
        <v>123</v>
      </c>
      <c r="AE2" s="124" t="s">
        <v>124</v>
      </c>
      <c r="AF2" s="124" t="s">
        <v>125</v>
      </c>
      <c r="AG2" s="68" t="s">
        <v>183</v>
      </c>
      <c r="AH2" t="s">
        <v>118</v>
      </c>
      <c r="AI2" s="124" t="s">
        <v>119</v>
      </c>
      <c r="AJ2" s="124" t="s">
        <v>120</v>
      </c>
      <c r="AK2" s="124" t="s">
        <v>121</v>
      </c>
      <c r="AL2" s="68" t="s">
        <v>182</v>
      </c>
      <c r="AM2" t="s">
        <v>122</v>
      </c>
      <c r="AN2" s="124" t="s">
        <v>123</v>
      </c>
      <c r="AO2" s="124" t="s">
        <v>124</v>
      </c>
      <c r="AP2" s="124" t="s">
        <v>125</v>
      </c>
      <c r="AQ2" s="68" t="s">
        <v>183</v>
      </c>
    </row>
    <row r="3" spans="1:43" x14ac:dyDescent="0.25">
      <c r="A3" t="s">
        <v>47</v>
      </c>
      <c r="B3" t="s">
        <v>42</v>
      </c>
      <c r="C3" s="212" t="str">
        <f t="shared" ref="C3:C66" si="0">A3&amp;" "&amp;B3</f>
        <v>Alachua Circuit Civil</v>
      </c>
      <c r="D3" s="188">
        <v>432525.95</v>
      </c>
      <c r="E3" s="188">
        <v>432480.95</v>
      </c>
      <c r="F3" s="188">
        <v>432070.95</v>
      </c>
      <c r="G3" s="188">
        <v>432520.95</v>
      </c>
      <c r="H3" s="69"/>
      <c r="I3" s="188">
        <v>424792.58</v>
      </c>
      <c r="J3" s="188">
        <v>426081.27</v>
      </c>
      <c r="K3" s="188">
        <v>426131.27</v>
      </c>
      <c r="L3" s="188">
        <v>426199.27</v>
      </c>
      <c r="M3" s="69"/>
      <c r="N3" s="188">
        <v>399242.46</v>
      </c>
      <c r="O3" s="188">
        <v>399741.96</v>
      </c>
      <c r="P3" s="188">
        <v>399691.96</v>
      </c>
      <c r="Q3" s="57"/>
      <c r="S3" s="188">
        <v>394680.76</v>
      </c>
      <c r="T3" s="188">
        <v>395789.96</v>
      </c>
      <c r="U3" s="188">
        <v>395839.96</v>
      </c>
      <c r="V3" s="57"/>
      <c r="X3" s="188">
        <v>426274.83</v>
      </c>
      <c r="Y3" s="188">
        <v>425018.69</v>
      </c>
      <c r="Z3" s="57"/>
      <c r="AA3" s="64"/>
      <c r="AC3" s="188">
        <v>420770.49</v>
      </c>
      <c r="AD3" s="188">
        <v>420950.19</v>
      </c>
      <c r="AE3" s="57"/>
      <c r="AF3" s="64"/>
      <c r="AH3" s="188">
        <v>435229.44</v>
      </c>
      <c r="AI3" s="57"/>
      <c r="AJ3" s="64"/>
      <c r="AK3" s="64"/>
      <c r="AM3" s="188">
        <v>429078.54</v>
      </c>
    </row>
    <row r="4" spans="1:43" x14ac:dyDescent="0.25">
      <c r="A4" t="s">
        <v>47</v>
      </c>
      <c r="B4" t="s">
        <v>38</v>
      </c>
      <c r="C4" s="212" t="str">
        <f t="shared" si="0"/>
        <v>Alachua Circuit Criminal</v>
      </c>
      <c r="D4" s="188">
        <v>801465.65</v>
      </c>
      <c r="E4" s="188">
        <v>791335.44</v>
      </c>
      <c r="F4" s="188">
        <v>787290.66</v>
      </c>
      <c r="G4" s="188">
        <v>475157.87</v>
      </c>
      <c r="H4" s="69"/>
      <c r="I4" s="188">
        <v>147092.95000000001</v>
      </c>
      <c r="J4" s="188">
        <v>154779.29</v>
      </c>
      <c r="K4" s="188">
        <v>164475.82999999999</v>
      </c>
      <c r="L4" s="188">
        <v>172677.04</v>
      </c>
      <c r="M4" s="69"/>
      <c r="N4" s="188">
        <v>457003.06</v>
      </c>
      <c r="O4" s="188">
        <v>441732</v>
      </c>
      <c r="P4" s="188">
        <v>336782.56</v>
      </c>
      <c r="Q4" s="57"/>
      <c r="S4" s="188">
        <v>30685.93</v>
      </c>
      <c r="T4" s="188">
        <v>48736.79</v>
      </c>
      <c r="U4" s="188">
        <v>57804.03</v>
      </c>
      <c r="V4" s="57"/>
      <c r="X4" s="188">
        <v>859208.8</v>
      </c>
      <c r="Y4" s="188">
        <v>746752.59</v>
      </c>
      <c r="Z4" s="57"/>
      <c r="AA4" s="64"/>
      <c r="AC4" s="188">
        <v>60953.35</v>
      </c>
      <c r="AD4" s="188">
        <v>76874.509999999995</v>
      </c>
      <c r="AE4" s="57"/>
      <c r="AF4" s="64"/>
      <c r="AH4" s="188">
        <v>382294.06</v>
      </c>
      <c r="AI4" s="57"/>
      <c r="AJ4" s="64"/>
      <c r="AK4" s="64"/>
      <c r="AM4" s="188">
        <v>63268.78</v>
      </c>
    </row>
    <row r="5" spans="1:43" x14ac:dyDescent="0.25">
      <c r="A5" t="s">
        <v>47</v>
      </c>
      <c r="B5" t="s">
        <v>265</v>
      </c>
      <c r="C5" s="212" t="str">
        <f t="shared" si="0"/>
        <v>Alachua Circuit Criminal Drug Cases</v>
      </c>
      <c r="D5" s="188"/>
      <c r="E5" s="188"/>
      <c r="F5" s="188"/>
      <c r="G5" s="188">
        <v>316593</v>
      </c>
      <c r="I5" s="188"/>
      <c r="J5" s="188"/>
      <c r="K5" s="188"/>
      <c r="L5" s="188">
        <v>57.69</v>
      </c>
      <c r="N5" s="188"/>
      <c r="O5" s="188"/>
      <c r="P5" s="188">
        <v>105675.36</v>
      </c>
      <c r="S5" s="188"/>
      <c r="T5" s="188"/>
      <c r="U5" s="188">
        <v>4.3600000000000003</v>
      </c>
      <c r="X5" s="188"/>
      <c r="Y5" s="188">
        <v>107755</v>
      </c>
      <c r="AC5" s="188"/>
      <c r="AD5" s="188">
        <v>178.84</v>
      </c>
      <c r="AH5" s="188">
        <v>107184</v>
      </c>
      <c r="AM5" s="188">
        <v>0</v>
      </c>
    </row>
    <row r="6" spans="1:43" x14ac:dyDescent="0.25">
      <c r="A6" t="s">
        <v>47</v>
      </c>
      <c r="B6" t="s">
        <v>44</v>
      </c>
      <c r="C6" s="212" t="str">
        <f t="shared" si="0"/>
        <v>Alachua Civil Traffic</v>
      </c>
      <c r="D6" s="188">
        <v>1616719.91</v>
      </c>
      <c r="E6" s="188">
        <v>1532626.81</v>
      </c>
      <c r="F6" s="188">
        <v>1530150.26</v>
      </c>
      <c r="G6" s="188">
        <v>1518237.9</v>
      </c>
      <c r="H6" s="69"/>
      <c r="I6" s="188">
        <v>956691.77</v>
      </c>
      <c r="J6" s="188">
        <v>1438282.26</v>
      </c>
      <c r="K6" s="188">
        <v>1477623</v>
      </c>
      <c r="L6" s="188">
        <v>1493285.63</v>
      </c>
      <c r="M6" s="69"/>
      <c r="N6" s="188">
        <v>1604621.48</v>
      </c>
      <c r="O6" s="188">
        <v>1511396.45</v>
      </c>
      <c r="P6" s="188">
        <v>1495911.89</v>
      </c>
      <c r="Q6" s="57"/>
      <c r="S6" s="188">
        <v>900950.71</v>
      </c>
      <c r="T6" s="188">
        <v>1379872.19</v>
      </c>
      <c r="U6" s="188">
        <v>1423810.39</v>
      </c>
      <c r="V6" s="57"/>
      <c r="X6" s="188">
        <v>1499069.5</v>
      </c>
      <c r="Y6" s="188">
        <v>1411393.37</v>
      </c>
      <c r="Z6" s="57"/>
      <c r="AA6" s="64"/>
      <c r="AC6" s="188">
        <v>831868.74</v>
      </c>
      <c r="AD6" s="188">
        <v>1271803.96</v>
      </c>
      <c r="AE6" s="57"/>
      <c r="AF6" s="64"/>
      <c r="AH6" s="188">
        <v>1489314.54</v>
      </c>
      <c r="AI6" s="57"/>
      <c r="AJ6" s="64"/>
      <c r="AK6" s="64"/>
      <c r="AM6" s="188">
        <v>817726.52</v>
      </c>
    </row>
    <row r="7" spans="1:43" x14ac:dyDescent="0.25">
      <c r="A7" t="s">
        <v>47</v>
      </c>
      <c r="B7" t="s">
        <v>43</v>
      </c>
      <c r="C7" s="212" t="str">
        <f t="shared" si="0"/>
        <v>Alachua County Civil</v>
      </c>
      <c r="D7" s="188">
        <v>153287.44</v>
      </c>
      <c r="E7" s="188">
        <v>153287.44</v>
      </c>
      <c r="F7" s="188">
        <v>153287.44</v>
      </c>
      <c r="G7" s="188">
        <v>314697.56</v>
      </c>
      <c r="H7" s="69"/>
      <c r="I7" s="188">
        <v>150919.03</v>
      </c>
      <c r="J7" s="188">
        <v>151039.03</v>
      </c>
      <c r="K7" s="188">
        <v>151099.03</v>
      </c>
      <c r="L7" s="188">
        <v>313261.15000000002</v>
      </c>
      <c r="M7" s="69"/>
      <c r="N7" s="188">
        <v>145093.84</v>
      </c>
      <c r="O7" s="188">
        <v>145105.38</v>
      </c>
      <c r="P7" s="188">
        <v>302300.68</v>
      </c>
      <c r="Q7" s="57"/>
      <c r="S7" s="188">
        <v>142892.84</v>
      </c>
      <c r="T7" s="188">
        <v>143494.38</v>
      </c>
      <c r="U7" s="188">
        <v>301462.68</v>
      </c>
      <c r="V7" s="57"/>
      <c r="X7" s="188">
        <v>150058.84</v>
      </c>
      <c r="Y7" s="188">
        <v>293820.24</v>
      </c>
      <c r="Z7" s="57"/>
      <c r="AA7" s="64"/>
      <c r="AC7" s="188">
        <v>148124.60999999999</v>
      </c>
      <c r="AD7" s="188">
        <v>293127.24</v>
      </c>
      <c r="AE7" s="57"/>
      <c r="AF7" s="64"/>
      <c r="AH7" s="188">
        <v>301839.13</v>
      </c>
      <c r="AI7" s="57"/>
      <c r="AJ7" s="64"/>
      <c r="AK7" s="64"/>
      <c r="AM7" s="188">
        <v>300189.13</v>
      </c>
    </row>
    <row r="8" spans="1:43" x14ac:dyDescent="0.25">
      <c r="A8" t="s">
        <v>47</v>
      </c>
      <c r="B8" t="s">
        <v>39</v>
      </c>
      <c r="C8" s="212" t="str">
        <f t="shared" si="0"/>
        <v>Alachua County Criminal</v>
      </c>
      <c r="D8" s="188">
        <v>282760.2</v>
      </c>
      <c r="E8" s="188">
        <v>245476.2</v>
      </c>
      <c r="F8" s="188">
        <v>237957.2</v>
      </c>
      <c r="G8" s="188">
        <v>249145.43</v>
      </c>
      <c r="H8" s="69"/>
      <c r="I8" s="188">
        <v>37767.15</v>
      </c>
      <c r="J8" s="188">
        <v>60351.19</v>
      </c>
      <c r="K8" s="188">
        <v>69663.14</v>
      </c>
      <c r="L8" s="188">
        <v>76642.009999999995</v>
      </c>
      <c r="M8" s="69"/>
      <c r="N8" s="188">
        <v>230314.1</v>
      </c>
      <c r="O8" s="188">
        <v>226710.1</v>
      </c>
      <c r="P8" s="188">
        <v>226708.93</v>
      </c>
      <c r="Q8" s="57"/>
      <c r="S8" s="188">
        <v>37828.35</v>
      </c>
      <c r="T8" s="188">
        <v>55905.53</v>
      </c>
      <c r="U8" s="188">
        <v>74229.23</v>
      </c>
      <c r="V8" s="57"/>
      <c r="X8" s="188">
        <v>232095.64</v>
      </c>
      <c r="Y8" s="188">
        <v>232414.02</v>
      </c>
      <c r="Z8" s="57"/>
      <c r="AA8" s="64"/>
      <c r="AC8" s="188">
        <v>33903.17</v>
      </c>
      <c r="AD8" s="188">
        <v>56310.45</v>
      </c>
      <c r="AE8" s="57"/>
      <c r="AF8" s="64"/>
      <c r="AH8" s="188">
        <v>211741.67</v>
      </c>
      <c r="AI8" s="57"/>
      <c r="AJ8" s="64"/>
      <c r="AK8" s="64"/>
      <c r="AM8" s="188">
        <v>38287.089999999997</v>
      </c>
    </row>
    <row r="9" spans="1:43" x14ac:dyDescent="0.25">
      <c r="A9" t="s">
        <v>47</v>
      </c>
      <c r="B9" t="s">
        <v>41</v>
      </c>
      <c r="C9" s="212" t="str">
        <f t="shared" si="0"/>
        <v>Alachua Criminal Traffic</v>
      </c>
      <c r="D9" s="188">
        <v>377950.62</v>
      </c>
      <c r="E9" s="188">
        <v>369763.67</v>
      </c>
      <c r="F9" s="188">
        <v>358727.87</v>
      </c>
      <c r="G9" s="188">
        <v>351605.5</v>
      </c>
      <c r="H9" s="69"/>
      <c r="I9" s="188">
        <v>107287.3</v>
      </c>
      <c r="J9" s="188">
        <v>161346.79</v>
      </c>
      <c r="K9" s="188">
        <v>185409.49</v>
      </c>
      <c r="L9" s="188">
        <v>218438.24</v>
      </c>
      <c r="M9" s="69"/>
      <c r="N9" s="188">
        <v>352224.66</v>
      </c>
      <c r="O9" s="188">
        <v>345965.66</v>
      </c>
      <c r="P9" s="188">
        <v>337648.66</v>
      </c>
      <c r="Q9" s="57"/>
      <c r="S9" s="188">
        <v>108617.93</v>
      </c>
      <c r="T9" s="188">
        <v>158287.06</v>
      </c>
      <c r="U9" s="188">
        <v>189039.42</v>
      </c>
      <c r="V9" s="57"/>
      <c r="X9" s="188">
        <v>342012.14</v>
      </c>
      <c r="Y9" s="188">
        <v>337790.39</v>
      </c>
      <c r="Z9" s="57"/>
      <c r="AA9" s="64"/>
      <c r="AC9" s="188">
        <v>89481.71</v>
      </c>
      <c r="AD9" s="188">
        <v>135060.68</v>
      </c>
      <c r="AE9" s="57"/>
      <c r="AF9" s="64"/>
      <c r="AH9" s="188">
        <v>288211.40999999997</v>
      </c>
      <c r="AI9" s="57"/>
      <c r="AJ9" s="64"/>
      <c r="AK9" s="64"/>
      <c r="AM9" s="188">
        <v>88508.73</v>
      </c>
    </row>
    <row r="10" spans="1:43" x14ac:dyDescent="0.25">
      <c r="A10" t="s">
        <v>47</v>
      </c>
      <c r="B10" t="s">
        <v>46</v>
      </c>
      <c r="C10" s="212" t="str">
        <f t="shared" si="0"/>
        <v>Alachua Family</v>
      </c>
      <c r="D10" s="188">
        <v>119352.64</v>
      </c>
      <c r="E10" s="188">
        <v>118344.64</v>
      </c>
      <c r="F10" s="188">
        <v>117468.64</v>
      </c>
      <c r="G10" s="188">
        <v>117180.64</v>
      </c>
      <c r="H10" s="69"/>
      <c r="I10" s="188">
        <v>98788.54</v>
      </c>
      <c r="J10" s="188">
        <v>103763.04</v>
      </c>
      <c r="K10" s="188">
        <v>104742.14</v>
      </c>
      <c r="L10" s="188">
        <v>104742.14</v>
      </c>
      <c r="M10" s="69"/>
      <c r="N10" s="188">
        <v>139893.76999999999</v>
      </c>
      <c r="O10" s="188">
        <v>138037.76999999999</v>
      </c>
      <c r="P10" s="188">
        <v>138037.76999999999</v>
      </c>
      <c r="Q10" s="57"/>
      <c r="S10" s="188">
        <v>116366.27</v>
      </c>
      <c r="T10" s="188">
        <v>121115.27</v>
      </c>
      <c r="U10" s="188">
        <v>122275.27</v>
      </c>
      <c r="V10" s="57"/>
      <c r="X10" s="188">
        <v>145143.74</v>
      </c>
      <c r="Y10" s="188">
        <v>141620.74</v>
      </c>
      <c r="Z10" s="57"/>
      <c r="AA10" s="64"/>
      <c r="AC10" s="188">
        <v>117097.74</v>
      </c>
      <c r="AD10" s="188">
        <v>121413.77</v>
      </c>
      <c r="AE10" s="57"/>
      <c r="AF10" s="64"/>
      <c r="AH10" s="188">
        <v>136460.9</v>
      </c>
      <c r="AI10" s="57"/>
      <c r="AJ10" s="64"/>
      <c r="AK10" s="64"/>
      <c r="AM10" s="188">
        <v>107372.4</v>
      </c>
    </row>
    <row r="11" spans="1:43" x14ac:dyDescent="0.25">
      <c r="A11" t="s">
        <v>47</v>
      </c>
      <c r="B11" t="s">
        <v>40</v>
      </c>
      <c r="C11" s="212" t="str">
        <f t="shared" si="0"/>
        <v>Alachua Juvenile Delinquency</v>
      </c>
      <c r="D11" s="188">
        <v>7526.02</v>
      </c>
      <c r="E11" s="188">
        <v>7276.2</v>
      </c>
      <c r="F11" s="188">
        <v>7276.2</v>
      </c>
      <c r="G11" s="188">
        <v>7606.02</v>
      </c>
      <c r="H11" s="69"/>
      <c r="I11" s="188">
        <v>626.02</v>
      </c>
      <c r="J11" s="188">
        <v>1156.02</v>
      </c>
      <c r="K11" s="188">
        <v>1656.02</v>
      </c>
      <c r="L11" s="188">
        <v>2106.02</v>
      </c>
      <c r="M11" s="69"/>
      <c r="N11" s="188">
        <v>11458.61</v>
      </c>
      <c r="O11" s="188">
        <v>11458.61</v>
      </c>
      <c r="P11" s="188">
        <v>11586.61</v>
      </c>
      <c r="Q11" s="57"/>
      <c r="S11" s="188">
        <v>1037.6099999999999</v>
      </c>
      <c r="T11" s="188">
        <v>1906.61</v>
      </c>
      <c r="U11" s="188">
        <v>2536.61</v>
      </c>
      <c r="V11" s="57"/>
      <c r="X11" s="188">
        <v>6938.5</v>
      </c>
      <c r="Y11" s="188">
        <v>6938.2</v>
      </c>
      <c r="Z11" s="57"/>
      <c r="AA11" s="64"/>
      <c r="AC11" s="188">
        <v>838.5</v>
      </c>
      <c r="AD11" s="188">
        <v>1445.5</v>
      </c>
      <c r="AE11" s="57"/>
      <c r="AF11" s="64"/>
      <c r="AH11" s="188">
        <v>6059.5</v>
      </c>
      <c r="AI11" s="57"/>
      <c r="AJ11" s="64"/>
      <c r="AK11" s="64"/>
      <c r="AM11" s="188">
        <v>302.5</v>
      </c>
    </row>
    <row r="12" spans="1:43" x14ac:dyDescent="0.25">
      <c r="A12" t="s">
        <v>47</v>
      </c>
      <c r="B12" t="s">
        <v>45</v>
      </c>
      <c r="C12" s="212" t="str">
        <f t="shared" si="0"/>
        <v>Alachua Probate</v>
      </c>
      <c r="D12" s="188">
        <v>52944.98</v>
      </c>
      <c r="E12" s="188">
        <v>52944.98</v>
      </c>
      <c r="F12" s="188">
        <v>52709.98</v>
      </c>
      <c r="G12" s="188">
        <v>52709.98</v>
      </c>
      <c r="H12" s="69"/>
      <c r="I12" s="188">
        <v>52702.48</v>
      </c>
      <c r="J12" s="188">
        <v>52702.48</v>
      </c>
      <c r="K12" s="188">
        <v>52702.48</v>
      </c>
      <c r="L12" s="188">
        <v>52702.48</v>
      </c>
      <c r="M12" s="69"/>
      <c r="N12" s="188">
        <v>52613.75</v>
      </c>
      <c r="O12" s="188">
        <v>51868.75</v>
      </c>
      <c r="P12" s="188">
        <v>51875.75</v>
      </c>
      <c r="Q12" s="57"/>
      <c r="S12" s="188">
        <v>50363.75</v>
      </c>
      <c r="T12" s="188">
        <v>51141.75</v>
      </c>
      <c r="U12" s="188">
        <v>51141.75</v>
      </c>
      <c r="V12" s="57"/>
      <c r="X12" s="188">
        <v>57622</v>
      </c>
      <c r="Y12" s="188">
        <v>57622</v>
      </c>
      <c r="Z12" s="57"/>
      <c r="AA12" s="64"/>
      <c r="AC12" s="188">
        <v>56927</v>
      </c>
      <c r="AD12" s="188">
        <v>56927</v>
      </c>
      <c r="AE12" s="57"/>
      <c r="AF12" s="64"/>
      <c r="AH12" s="188">
        <v>65023.13</v>
      </c>
      <c r="AI12" s="57"/>
      <c r="AJ12" s="64"/>
      <c r="AK12" s="64"/>
      <c r="AM12" s="188">
        <v>63958.13</v>
      </c>
    </row>
    <row r="13" spans="1:43" x14ac:dyDescent="0.25">
      <c r="A13" t="s">
        <v>49</v>
      </c>
      <c r="B13" t="s">
        <v>42</v>
      </c>
      <c r="C13" s="212" t="str">
        <f t="shared" si="0"/>
        <v>Baker Circuit Civil</v>
      </c>
      <c r="D13" s="188">
        <v>33753</v>
      </c>
      <c r="E13" s="188">
        <v>33753</v>
      </c>
      <c r="F13" s="188">
        <v>33753</v>
      </c>
      <c r="G13" s="188">
        <v>32848</v>
      </c>
      <c r="H13" s="70"/>
      <c r="I13" s="188">
        <v>32848</v>
      </c>
      <c r="J13" s="188">
        <v>33753</v>
      </c>
      <c r="K13" s="188">
        <v>33753</v>
      </c>
      <c r="L13" s="188">
        <v>32848</v>
      </c>
      <c r="M13" s="70"/>
      <c r="N13" s="188">
        <v>25684.5</v>
      </c>
      <c r="O13" s="188">
        <v>25684.5</v>
      </c>
      <c r="P13" s="188">
        <v>25334.5</v>
      </c>
      <c r="Q13" s="57"/>
      <c r="R13" s="58"/>
      <c r="S13" s="188">
        <v>25684.5</v>
      </c>
      <c r="T13" s="188">
        <v>25684.5</v>
      </c>
      <c r="U13" s="188">
        <v>25334.5</v>
      </c>
      <c r="V13" s="57"/>
      <c r="W13" s="58"/>
      <c r="X13" s="188">
        <v>28363.75</v>
      </c>
      <c r="Y13" s="188">
        <v>28763.75</v>
      </c>
      <c r="Z13" s="57"/>
      <c r="AA13" s="64"/>
      <c r="AB13" s="58"/>
      <c r="AC13" s="188">
        <v>26253.75</v>
      </c>
      <c r="AD13" s="188">
        <v>27163.75</v>
      </c>
      <c r="AE13" s="57"/>
      <c r="AF13" s="64"/>
      <c r="AG13" s="58"/>
      <c r="AH13" s="188">
        <v>22426.5</v>
      </c>
      <c r="AI13" s="57"/>
      <c r="AJ13" s="64"/>
      <c r="AK13" s="64"/>
      <c r="AL13" s="58"/>
      <c r="AM13" s="188">
        <v>20426.5</v>
      </c>
      <c r="AN13" s="135"/>
      <c r="AO13" s="135"/>
      <c r="AP13" s="135"/>
    </row>
    <row r="14" spans="1:43" x14ac:dyDescent="0.25">
      <c r="A14" t="s">
        <v>49</v>
      </c>
      <c r="B14" t="s">
        <v>38</v>
      </c>
      <c r="C14" s="212" t="str">
        <f t="shared" si="0"/>
        <v>Baker Circuit Criminal</v>
      </c>
      <c r="D14" s="188">
        <v>112392.47</v>
      </c>
      <c r="E14" s="188">
        <v>112692.47</v>
      </c>
      <c r="F14" s="188">
        <v>112692.47</v>
      </c>
      <c r="G14" s="188">
        <v>112722.47</v>
      </c>
      <c r="H14" s="70"/>
      <c r="I14" s="188">
        <v>698.24</v>
      </c>
      <c r="J14" s="188">
        <v>3918.87</v>
      </c>
      <c r="K14" s="188">
        <v>6818.25</v>
      </c>
      <c r="L14" s="188">
        <v>7331.84</v>
      </c>
      <c r="M14" s="70"/>
      <c r="N14" s="188">
        <v>48987</v>
      </c>
      <c r="O14" s="188">
        <v>49017</v>
      </c>
      <c r="P14" s="188">
        <v>49017</v>
      </c>
      <c r="Q14" s="57"/>
      <c r="R14" s="58"/>
      <c r="S14" s="188">
        <v>2102.75</v>
      </c>
      <c r="T14" s="188">
        <v>3568.09</v>
      </c>
      <c r="U14" s="188">
        <v>5270.36</v>
      </c>
      <c r="V14" s="57"/>
      <c r="W14" s="58"/>
      <c r="X14" s="188">
        <v>73977</v>
      </c>
      <c r="Y14" s="188">
        <v>73977</v>
      </c>
      <c r="Z14" s="57"/>
      <c r="AA14" s="64"/>
      <c r="AB14" s="58"/>
      <c r="AC14" s="188">
        <v>544.41999999999996</v>
      </c>
      <c r="AD14" s="188">
        <v>2756.96</v>
      </c>
      <c r="AE14" s="57"/>
      <c r="AF14" s="64"/>
      <c r="AG14" s="58"/>
      <c r="AH14" s="188">
        <v>64249.06</v>
      </c>
      <c r="AI14" s="57"/>
      <c r="AJ14" s="64"/>
      <c r="AK14" s="64"/>
      <c r="AL14" s="58"/>
      <c r="AM14" s="188">
        <v>592.29</v>
      </c>
      <c r="AN14" s="135"/>
      <c r="AO14" s="135"/>
      <c r="AP14" s="135"/>
    </row>
    <row r="15" spans="1:43" x14ac:dyDescent="0.25">
      <c r="A15" t="s">
        <v>49</v>
      </c>
      <c r="B15" t="s">
        <v>265</v>
      </c>
      <c r="C15" s="212" t="str">
        <f t="shared" si="0"/>
        <v>Baker Circuit Criminal Drug Cases</v>
      </c>
      <c r="D15" s="188">
        <v>52520</v>
      </c>
      <c r="E15" s="188">
        <v>52520</v>
      </c>
      <c r="F15" s="188">
        <v>52520</v>
      </c>
      <c r="G15" s="188">
        <v>52520</v>
      </c>
      <c r="H15" s="235"/>
      <c r="I15" s="188">
        <v>0</v>
      </c>
      <c r="J15" s="188">
        <v>0</v>
      </c>
      <c r="K15" s="188">
        <v>0</v>
      </c>
      <c r="L15" s="188"/>
      <c r="M15" s="214"/>
      <c r="N15" s="188">
        <v>0</v>
      </c>
      <c r="O15" s="188">
        <v>0</v>
      </c>
      <c r="P15" s="188">
        <v>0</v>
      </c>
      <c r="Q15" s="238"/>
      <c r="R15" s="239"/>
      <c r="S15" s="188">
        <v>0</v>
      </c>
      <c r="T15" s="188">
        <v>0</v>
      </c>
      <c r="U15" s="188">
        <v>0</v>
      </c>
      <c r="V15" s="238"/>
      <c r="W15" s="239"/>
      <c r="X15" s="188">
        <v>0</v>
      </c>
      <c r="Y15" s="188">
        <v>0</v>
      </c>
      <c r="Z15" s="238"/>
      <c r="AA15" s="241"/>
      <c r="AB15" s="243"/>
      <c r="AC15" s="188">
        <v>0</v>
      </c>
      <c r="AD15" s="188">
        <v>0</v>
      </c>
      <c r="AE15" s="238"/>
      <c r="AF15" s="244"/>
      <c r="AG15" s="239"/>
      <c r="AH15" s="188">
        <v>0</v>
      </c>
      <c r="AI15" s="238"/>
      <c r="AM15" s="188">
        <v>0</v>
      </c>
    </row>
    <row r="16" spans="1:43" x14ac:dyDescent="0.25">
      <c r="A16" t="s">
        <v>49</v>
      </c>
      <c r="B16" t="s">
        <v>44</v>
      </c>
      <c r="C16" s="212" t="str">
        <f t="shared" si="0"/>
        <v>Baker Civil Traffic</v>
      </c>
      <c r="D16" s="188">
        <v>123239.3</v>
      </c>
      <c r="E16" s="188">
        <v>111789.2</v>
      </c>
      <c r="F16" s="188">
        <v>109580.2</v>
      </c>
      <c r="G16" s="188">
        <v>108419.2</v>
      </c>
      <c r="H16" s="70"/>
      <c r="I16" s="188">
        <v>30677.3</v>
      </c>
      <c r="J16" s="188">
        <v>84938.7</v>
      </c>
      <c r="K16" s="188">
        <v>93035.7</v>
      </c>
      <c r="L16" s="188">
        <v>94339.7</v>
      </c>
      <c r="M16" s="70"/>
      <c r="N16" s="188">
        <v>123033</v>
      </c>
      <c r="O16" s="188">
        <v>114802.25</v>
      </c>
      <c r="P16" s="188">
        <v>111959.35</v>
      </c>
      <c r="Q16" s="57"/>
      <c r="R16" s="58"/>
      <c r="S16" s="188">
        <v>37049.5</v>
      </c>
      <c r="T16" s="188">
        <v>86265.75</v>
      </c>
      <c r="U16" s="188">
        <v>93834.85</v>
      </c>
      <c r="V16" s="57"/>
      <c r="W16" s="58"/>
      <c r="X16" s="188">
        <v>137966.20000000001</v>
      </c>
      <c r="Y16" s="188">
        <v>126048.2</v>
      </c>
      <c r="Z16" s="57"/>
      <c r="AA16" s="64"/>
      <c r="AB16" s="58"/>
      <c r="AC16" s="188">
        <v>40485.699999999997</v>
      </c>
      <c r="AD16" s="188">
        <v>94349.2</v>
      </c>
      <c r="AE16" s="57"/>
      <c r="AF16" s="64"/>
      <c r="AG16" s="58"/>
      <c r="AH16" s="188">
        <v>117718.5</v>
      </c>
      <c r="AI16" s="57"/>
      <c r="AJ16" s="64"/>
      <c r="AK16" s="64"/>
      <c r="AL16" s="58"/>
      <c r="AM16" s="188">
        <v>34354</v>
      </c>
      <c r="AN16" s="135"/>
      <c r="AO16" s="135"/>
      <c r="AP16" s="135"/>
    </row>
    <row r="17" spans="1:42" x14ac:dyDescent="0.25">
      <c r="A17" t="s">
        <v>49</v>
      </c>
      <c r="B17" t="s">
        <v>43</v>
      </c>
      <c r="C17" s="212" t="str">
        <f t="shared" si="0"/>
        <v>Baker County Civil</v>
      </c>
      <c r="D17" s="188">
        <v>20650</v>
      </c>
      <c r="E17" s="188">
        <v>20650</v>
      </c>
      <c r="F17" s="188">
        <v>20650</v>
      </c>
      <c r="G17" s="188">
        <v>20475</v>
      </c>
      <c r="H17" s="70"/>
      <c r="I17" s="188">
        <v>20475</v>
      </c>
      <c r="J17" s="188">
        <v>20650</v>
      </c>
      <c r="K17" s="188">
        <v>20650</v>
      </c>
      <c r="L17" s="188">
        <v>20475</v>
      </c>
      <c r="M17" s="70"/>
      <c r="N17" s="188">
        <v>16640</v>
      </c>
      <c r="O17" s="188">
        <v>16640</v>
      </c>
      <c r="P17" s="188">
        <v>16640</v>
      </c>
      <c r="Q17" s="57"/>
      <c r="R17" s="58"/>
      <c r="S17" s="188">
        <v>16640</v>
      </c>
      <c r="T17" s="188">
        <v>16340</v>
      </c>
      <c r="U17" s="188">
        <v>16340</v>
      </c>
      <c r="V17" s="57"/>
      <c r="W17" s="58"/>
      <c r="X17" s="188">
        <v>17034</v>
      </c>
      <c r="Y17" s="188">
        <v>17034</v>
      </c>
      <c r="Z17" s="57"/>
      <c r="AA17" s="64"/>
      <c r="AB17" s="58"/>
      <c r="AC17" s="188">
        <v>17034</v>
      </c>
      <c r="AD17" s="188">
        <v>17034</v>
      </c>
      <c r="AE17" s="57"/>
      <c r="AF17" s="64"/>
      <c r="AG17" s="58"/>
      <c r="AH17" s="188">
        <v>19980</v>
      </c>
      <c r="AI17" s="57"/>
      <c r="AJ17" s="64"/>
      <c r="AK17" s="64"/>
      <c r="AL17" s="58"/>
      <c r="AM17" s="188">
        <v>19850</v>
      </c>
      <c r="AN17" s="135"/>
      <c r="AO17" s="135"/>
      <c r="AP17" s="135"/>
    </row>
    <row r="18" spans="1:42" x14ac:dyDescent="0.25">
      <c r="A18" t="s">
        <v>49</v>
      </c>
      <c r="B18" t="s">
        <v>39</v>
      </c>
      <c r="C18" s="212" t="str">
        <f t="shared" si="0"/>
        <v>Baker County Criminal</v>
      </c>
      <c r="D18" s="188">
        <v>56871.24</v>
      </c>
      <c r="E18" s="188">
        <v>57084.24</v>
      </c>
      <c r="F18" s="188">
        <v>57456.24</v>
      </c>
      <c r="G18" s="188">
        <v>57456.24</v>
      </c>
      <c r="H18" s="70"/>
      <c r="I18" s="188">
        <v>8562.16</v>
      </c>
      <c r="J18" s="188">
        <v>18410.099999999999</v>
      </c>
      <c r="K18" s="188">
        <v>24348.49</v>
      </c>
      <c r="L18" s="188">
        <v>26840</v>
      </c>
      <c r="M18" s="70"/>
      <c r="N18" s="188">
        <v>46029</v>
      </c>
      <c r="O18" s="188">
        <v>46210</v>
      </c>
      <c r="P18" s="188">
        <v>46180</v>
      </c>
      <c r="Q18" s="57"/>
      <c r="R18" s="58"/>
      <c r="S18" s="188">
        <v>5876.16</v>
      </c>
      <c r="T18" s="188">
        <v>12776.09</v>
      </c>
      <c r="U18" s="188">
        <v>17022.68</v>
      </c>
      <c r="V18" s="57"/>
      <c r="W18" s="58"/>
      <c r="X18" s="188">
        <v>49047.58</v>
      </c>
      <c r="Y18" s="188">
        <v>48987.58</v>
      </c>
      <c r="Z18" s="57"/>
      <c r="AA18" s="64"/>
      <c r="AB18" s="58"/>
      <c r="AC18" s="188">
        <v>6973.49</v>
      </c>
      <c r="AD18" s="188">
        <v>10934.48</v>
      </c>
      <c r="AE18" s="57"/>
      <c r="AF18" s="64"/>
      <c r="AG18" s="58"/>
      <c r="AH18" s="188">
        <v>61203</v>
      </c>
      <c r="AI18" s="57"/>
      <c r="AJ18" s="64"/>
      <c r="AK18" s="64"/>
      <c r="AL18" s="58"/>
      <c r="AM18" s="188">
        <v>6727.85</v>
      </c>
      <c r="AN18" s="135"/>
      <c r="AO18" s="135"/>
      <c r="AP18" s="135"/>
    </row>
    <row r="19" spans="1:42" x14ac:dyDescent="0.25">
      <c r="A19" t="s">
        <v>49</v>
      </c>
      <c r="B19" t="s">
        <v>41</v>
      </c>
      <c r="C19" s="212" t="str">
        <f t="shared" si="0"/>
        <v>Baker Criminal Traffic</v>
      </c>
      <c r="D19" s="188">
        <v>38562.379999999997</v>
      </c>
      <c r="E19" s="188">
        <v>38853.379999999997</v>
      </c>
      <c r="F19" s="188">
        <v>38913.379999999997</v>
      </c>
      <c r="G19" s="188">
        <v>38913.379999999997</v>
      </c>
      <c r="H19" s="70"/>
      <c r="I19" s="188">
        <v>3365.26</v>
      </c>
      <c r="J19" s="188">
        <v>8994.4599999999991</v>
      </c>
      <c r="K19" s="188">
        <v>14479.3</v>
      </c>
      <c r="L19" s="188">
        <v>17662.41</v>
      </c>
      <c r="M19" s="70"/>
      <c r="N19" s="188">
        <v>52118.5</v>
      </c>
      <c r="O19" s="188">
        <v>52118.5</v>
      </c>
      <c r="P19" s="188">
        <v>52118.5</v>
      </c>
      <c r="Q19" s="57"/>
      <c r="R19" s="58"/>
      <c r="S19" s="188">
        <v>11449.66</v>
      </c>
      <c r="T19" s="188">
        <v>18561.54</v>
      </c>
      <c r="U19" s="188">
        <v>20464.68</v>
      </c>
      <c r="V19" s="57"/>
      <c r="W19" s="58"/>
      <c r="X19" s="188">
        <v>39754</v>
      </c>
      <c r="Y19" s="188">
        <v>40230</v>
      </c>
      <c r="Z19" s="57"/>
      <c r="AA19" s="64"/>
      <c r="AB19" s="58"/>
      <c r="AC19" s="188">
        <v>8440.7099999999991</v>
      </c>
      <c r="AD19" s="188">
        <v>11816.02</v>
      </c>
      <c r="AE19" s="57"/>
      <c r="AF19" s="64"/>
      <c r="AG19" s="58"/>
      <c r="AH19" s="188">
        <v>46268.5</v>
      </c>
      <c r="AI19" s="57"/>
      <c r="AJ19" s="64"/>
      <c r="AK19" s="64"/>
      <c r="AL19" s="58"/>
      <c r="AM19" s="188">
        <v>4270.3500000000004</v>
      </c>
      <c r="AN19" s="135"/>
      <c r="AO19" s="135"/>
      <c r="AP19" s="135"/>
    </row>
    <row r="20" spans="1:42" x14ac:dyDescent="0.25">
      <c r="A20" t="s">
        <v>49</v>
      </c>
      <c r="B20" t="s">
        <v>46</v>
      </c>
      <c r="C20" s="212" t="str">
        <f t="shared" si="0"/>
        <v>Baker Family</v>
      </c>
      <c r="D20" s="188">
        <v>13415</v>
      </c>
      <c r="E20" s="188">
        <v>13007</v>
      </c>
      <c r="F20" s="188">
        <v>13007</v>
      </c>
      <c r="G20" s="188">
        <v>12997</v>
      </c>
      <c r="H20" s="70"/>
      <c r="I20" s="188">
        <v>12587</v>
      </c>
      <c r="J20" s="188">
        <v>12597</v>
      </c>
      <c r="K20" s="188">
        <v>12597</v>
      </c>
      <c r="L20" s="188">
        <v>12587</v>
      </c>
      <c r="M20" s="70"/>
      <c r="N20" s="188">
        <v>24636</v>
      </c>
      <c r="O20" s="188">
        <v>24636</v>
      </c>
      <c r="P20" s="188">
        <v>24576</v>
      </c>
      <c r="Q20" s="57"/>
      <c r="R20" s="58"/>
      <c r="S20" s="188">
        <v>24228</v>
      </c>
      <c r="T20" s="188">
        <v>24636</v>
      </c>
      <c r="U20" s="188">
        <v>24576</v>
      </c>
      <c r="V20" s="57"/>
      <c r="W20" s="58"/>
      <c r="X20" s="188">
        <v>20741</v>
      </c>
      <c r="Y20" s="188">
        <v>20741</v>
      </c>
      <c r="Z20" s="57"/>
      <c r="AA20" s="64"/>
      <c r="AB20" s="58"/>
      <c r="AC20" s="188">
        <v>19905</v>
      </c>
      <c r="AD20" s="188">
        <v>19905</v>
      </c>
      <c r="AE20" s="57"/>
      <c r="AF20" s="64"/>
      <c r="AG20" s="58"/>
      <c r="AH20" s="188">
        <v>18723</v>
      </c>
      <c r="AI20" s="57"/>
      <c r="AJ20" s="64"/>
      <c r="AK20" s="64"/>
      <c r="AL20" s="58"/>
      <c r="AM20" s="188">
        <v>17763</v>
      </c>
      <c r="AN20" s="135"/>
      <c r="AO20" s="135"/>
      <c r="AP20" s="135"/>
    </row>
    <row r="21" spans="1:42" x14ac:dyDescent="0.25">
      <c r="A21" t="s">
        <v>49</v>
      </c>
      <c r="B21" t="s">
        <v>40</v>
      </c>
      <c r="C21" s="212" t="str">
        <f t="shared" si="0"/>
        <v>Baker Juvenile Delinquency</v>
      </c>
      <c r="D21" s="188">
        <v>2809.5</v>
      </c>
      <c r="E21" s="188">
        <v>2809.5</v>
      </c>
      <c r="F21" s="188">
        <v>2809.5</v>
      </c>
      <c r="G21" s="188">
        <v>2809.5</v>
      </c>
      <c r="H21" s="70"/>
      <c r="I21" s="188">
        <v>28.5</v>
      </c>
      <c r="J21" s="188">
        <v>593.5</v>
      </c>
      <c r="K21" s="188">
        <v>907.5</v>
      </c>
      <c r="L21" s="188">
        <v>1289.5</v>
      </c>
      <c r="M21" s="70"/>
      <c r="N21" s="188">
        <v>1967.53</v>
      </c>
      <c r="O21" s="188">
        <v>1967.53</v>
      </c>
      <c r="P21" s="188">
        <v>1967.53</v>
      </c>
      <c r="Q21" s="57"/>
      <c r="R21" s="58"/>
      <c r="S21" s="188">
        <v>216.5</v>
      </c>
      <c r="T21" s="188">
        <v>525.5</v>
      </c>
      <c r="U21" s="188">
        <v>525.5</v>
      </c>
      <c r="V21" s="57"/>
      <c r="W21" s="58"/>
      <c r="X21" s="188">
        <v>2379.5</v>
      </c>
      <c r="Y21" s="188">
        <v>2379.5</v>
      </c>
      <c r="Z21" s="57"/>
      <c r="AA21" s="64"/>
      <c r="AB21" s="58"/>
      <c r="AC21" s="188">
        <v>273.5</v>
      </c>
      <c r="AD21" s="188">
        <v>525.5</v>
      </c>
      <c r="AE21" s="57"/>
      <c r="AF21" s="64"/>
      <c r="AG21" s="58"/>
      <c r="AH21" s="188">
        <v>2429.5</v>
      </c>
      <c r="AI21" s="57"/>
      <c r="AJ21" s="64"/>
      <c r="AK21" s="64"/>
      <c r="AL21" s="58"/>
      <c r="AM21" s="188">
        <v>153.5</v>
      </c>
      <c r="AN21" s="135"/>
      <c r="AO21" s="135"/>
      <c r="AP21" s="135"/>
    </row>
    <row r="22" spans="1:42" x14ac:dyDescent="0.25">
      <c r="A22" t="s">
        <v>49</v>
      </c>
      <c r="B22" t="s">
        <v>45</v>
      </c>
      <c r="C22" s="212" t="str">
        <f t="shared" si="0"/>
        <v>Baker Probate</v>
      </c>
      <c r="D22" s="188">
        <v>3742</v>
      </c>
      <c r="E22" s="188">
        <v>3742</v>
      </c>
      <c r="F22" s="188">
        <v>3742</v>
      </c>
      <c r="G22" s="188">
        <v>3342</v>
      </c>
      <c r="H22" s="70"/>
      <c r="I22" s="188">
        <v>3342</v>
      </c>
      <c r="J22" s="188">
        <v>3742</v>
      </c>
      <c r="K22" s="188">
        <v>3742</v>
      </c>
      <c r="L22" s="188">
        <v>3342</v>
      </c>
      <c r="M22" s="70"/>
      <c r="N22" s="188">
        <v>6033</v>
      </c>
      <c r="O22" s="188">
        <v>6033</v>
      </c>
      <c r="P22" s="188">
        <v>6033</v>
      </c>
      <c r="Q22" s="57"/>
      <c r="R22" s="58"/>
      <c r="S22" s="188">
        <v>6033</v>
      </c>
      <c r="T22" s="188">
        <v>6033</v>
      </c>
      <c r="U22" s="188">
        <v>6033</v>
      </c>
      <c r="V22" s="57"/>
      <c r="W22" s="58"/>
      <c r="X22" s="188">
        <v>7028</v>
      </c>
      <c r="Y22" s="188">
        <v>7028</v>
      </c>
      <c r="Z22" s="57"/>
      <c r="AA22" s="64"/>
      <c r="AB22" s="58"/>
      <c r="AC22" s="188">
        <v>7028</v>
      </c>
      <c r="AD22" s="188">
        <v>7028</v>
      </c>
      <c r="AE22" s="57"/>
      <c r="AF22" s="64"/>
      <c r="AG22" s="58"/>
      <c r="AH22" s="188">
        <v>4324</v>
      </c>
      <c r="AI22" s="57"/>
      <c r="AJ22" s="64"/>
      <c r="AK22" s="64"/>
      <c r="AL22" s="58"/>
      <c r="AM22" s="188">
        <v>4324</v>
      </c>
      <c r="AN22" s="135"/>
      <c r="AO22" s="135"/>
      <c r="AP22" s="135"/>
    </row>
    <row r="23" spans="1:42" x14ac:dyDescent="0.25">
      <c r="A23" t="s">
        <v>50</v>
      </c>
      <c r="B23" t="s">
        <v>42</v>
      </c>
      <c r="C23" s="212" t="str">
        <f t="shared" si="0"/>
        <v>Bay Circuit Civil</v>
      </c>
      <c r="D23" s="188">
        <v>367893.31</v>
      </c>
      <c r="E23" s="188">
        <v>367893.31</v>
      </c>
      <c r="F23" s="188">
        <v>367893.31</v>
      </c>
      <c r="G23" s="188">
        <v>367453.31</v>
      </c>
      <c r="H23" s="70"/>
      <c r="I23" s="188">
        <v>365221.31</v>
      </c>
      <c r="J23" s="188">
        <v>367189.31</v>
      </c>
      <c r="K23" s="188">
        <v>367189.31</v>
      </c>
      <c r="L23" s="188">
        <v>366749.31</v>
      </c>
      <c r="M23" s="70"/>
      <c r="N23" s="188">
        <v>358801.74</v>
      </c>
      <c r="O23" s="188">
        <v>357620.74</v>
      </c>
      <c r="P23" s="188">
        <v>356433.74</v>
      </c>
      <c r="Q23" s="57"/>
      <c r="R23" s="58"/>
      <c r="S23" s="188">
        <v>355158.74</v>
      </c>
      <c r="T23" s="188">
        <v>356538.74</v>
      </c>
      <c r="U23" s="188">
        <v>356032.74</v>
      </c>
      <c r="V23" s="57"/>
      <c r="W23" s="58"/>
      <c r="X23" s="188">
        <v>333903.34000000003</v>
      </c>
      <c r="Y23" s="188">
        <v>332294.34000000003</v>
      </c>
      <c r="Z23" s="57"/>
      <c r="AA23" s="64"/>
      <c r="AB23" s="58"/>
      <c r="AC23" s="188">
        <v>332401.34000000003</v>
      </c>
      <c r="AD23" s="188">
        <v>331483.34000000003</v>
      </c>
      <c r="AE23" s="57"/>
      <c r="AF23" s="64"/>
      <c r="AG23" s="58"/>
      <c r="AH23" s="188">
        <v>390803.55</v>
      </c>
      <c r="AI23" s="57"/>
      <c r="AJ23" s="64"/>
      <c r="AK23" s="64"/>
      <c r="AL23" s="58"/>
      <c r="AM23" s="188">
        <v>389973.05</v>
      </c>
      <c r="AN23" s="135"/>
      <c r="AO23" s="135"/>
      <c r="AP23" s="135"/>
    </row>
    <row r="24" spans="1:42" x14ac:dyDescent="0.25">
      <c r="A24" t="s">
        <v>50</v>
      </c>
      <c r="B24" t="s">
        <v>38</v>
      </c>
      <c r="C24" s="212" t="str">
        <f t="shared" si="0"/>
        <v>Bay Circuit Criminal</v>
      </c>
      <c r="D24" s="188">
        <v>727790.24</v>
      </c>
      <c r="E24" s="188">
        <v>728649.74</v>
      </c>
      <c r="F24" s="188">
        <v>726818.74</v>
      </c>
      <c r="G24" s="188">
        <v>727440.74</v>
      </c>
      <c r="H24" s="70"/>
      <c r="I24" s="188">
        <v>16054.95</v>
      </c>
      <c r="J24" s="188">
        <v>28579.06</v>
      </c>
      <c r="K24" s="188">
        <v>40753</v>
      </c>
      <c r="L24" s="188">
        <v>49626.080000000002</v>
      </c>
      <c r="M24" s="70"/>
      <c r="N24" s="188">
        <v>696943.56</v>
      </c>
      <c r="O24" s="188">
        <v>696915.56</v>
      </c>
      <c r="P24" s="188">
        <v>697118.56</v>
      </c>
      <c r="Q24" s="57"/>
      <c r="R24" s="58"/>
      <c r="S24" s="188">
        <v>21233.01</v>
      </c>
      <c r="T24" s="188">
        <v>35199.32</v>
      </c>
      <c r="U24" s="188">
        <v>43858.87</v>
      </c>
      <c r="V24" s="57"/>
      <c r="W24" s="58"/>
      <c r="X24" s="188">
        <v>952863.55</v>
      </c>
      <c r="Y24" s="188">
        <v>950490.55</v>
      </c>
      <c r="Z24" s="57"/>
      <c r="AA24" s="64"/>
      <c r="AB24" s="58"/>
      <c r="AC24" s="188">
        <v>26171.06</v>
      </c>
      <c r="AD24" s="188">
        <v>39576.379999999997</v>
      </c>
      <c r="AE24" s="57"/>
      <c r="AF24" s="64"/>
      <c r="AG24" s="58"/>
      <c r="AH24" s="188">
        <v>991855.09</v>
      </c>
      <c r="AI24" s="57"/>
      <c r="AJ24" s="64"/>
      <c r="AK24" s="64"/>
      <c r="AL24" s="58"/>
      <c r="AM24" s="188">
        <v>24073.95</v>
      </c>
      <c r="AN24" s="135"/>
      <c r="AO24" s="135"/>
      <c r="AP24" s="135"/>
    </row>
    <row r="25" spans="1:42" x14ac:dyDescent="0.25">
      <c r="A25" t="s">
        <v>50</v>
      </c>
      <c r="B25" t="s">
        <v>265</v>
      </c>
      <c r="C25" s="212" t="str">
        <f t="shared" si="0"/>
        <v>Bay Circuit Criminal Drug Cases</v>
      </c>
      <c r="D25" s="188">
        <v>207961</v>
      </c>
      <c r="E25" s="188">
        <v>209506</v>
      </c>
      <c r="F25" s="188">
        <v>209506</v>
      </c>
      <c r="G25" s="188">
        <v>209506</v>
      </c>
      <c r="I25" s="188">
        <v>0</v>
      </c>
      <c r="J25" s="188">
        <v>49</v>
      </c>
      <c r="K25" s="188">
        <v>172.25</v>
      </c>
      <c r="L25" s="188">
        <v>172.25</v>
      </c>
      <c r="N25" s="188">
        <v>104854</v>
      </c>
      <c r="O25" s="188">
        <v>104854</v>
      </c>
      <c r="P25" s="188">
        <v>104854</v>
      </c>
      <c r="S25" s="188">
        <v>56</v>
      </c>
      <c r="T25" s="188">
        <v>80</v>
      </c>
      <c r="U25" s="188">
        <v>80</v>
      </c>
      <c r="X25" s="188">
        <v>305213</v>
      </c>
      <c r="Y25" s="188">
        <v>305213</v>
      </c>
      <c r="AC25" s="188">
        <v>99</v>
      </c>
      <c r="AD25" s="188">
        <v>145</v>
      </c>
      <c r="AH25" s="188">
        <v>262520</v>
      </c>
      <c r="AM25" s="188">
        <v>75</v>
      </c>
    </row>
    <row r="26" spans="1:42" x14ac:dyDescent="0.25">
      <c r="A26" t="s">
        <v>50</v>
      </c>
      <c r="B26" t="s">
        <v>44</v>
      </c>
      <c r="C26" s="212" t="str">
        <f t="shared" si="0"/>
        <v>Bay Civil Traffic</v>
      </c>
      <c r="D26" s="188">
        <v>464193</v>
      </c>
      <c r="E26" s="188">
        <v>689225.76</v>
      </c>
      <c r="F26" s="188">
        <v>688046.01</v>
      </c>
      <c r="G26" s="188">
        <v>681643.01</v>
      </c>
      <c r="H26" s="70"/>
      <c r="I26" s="188">
        <v>64132.68</v>
      </c>
      <c r="J26" s="188">
        <v>572220.81000000006</v>
      </c>
      <c r="K26" s="188">
        <v>599673.96</v>
      </c>
      <c r="L26" s="188">
        <v>609279.96</v>
      </c>
      <c r="M26" s="70"/>
      <c r="N26" s="188">
        <v>1582308.91</v>
      </c>
      <c r="O26" s="188">
        <v>1560877.76</v>
      </c>
      <c r="P26" s="188">
        <v>1454396.49</v>
      </c>
      <c r="Q26" s="57"/>
      <c r="R26" s="58"/>
      <c r="S26" s="188">
        <v>434720.99</v>
      </c>
      <c r="T26" s="188">
        <v>1029127.56</v>
      </c>
      <c r="U26" s="188">
        <v>1091853.0900000001</v>
      </c>
      <c r="V26" s="57"/>
      <c r="W26" s="58"/>
      <c r="X26" s="188">
        <v>1110335.93</v>
      </c>
      <c r="Y26" s="188">
        <v>1005728.5</v>
      </c>
      <c r="Z26" s="57"/>
      <c r="AA26" s="64"/>
      <c r="AB26" s="58"/>
      <c r="AC26" s="188">
        <v>497001.98</v>
      </c>
      <c r="AD26" s="188">
        <v>750502.95</v>
      </c>
      <c r="AE26" s="57"/>
      <c r="AF26" s="64"/>
      <c r="AG26" s="58"/>
      <c r="AH26" s="188">
        <v>935012.5</v>
      </c>
      <c r="AI26" s="57"/>
      <c r="AJ26" s="64"/>
      <c r="AK26" s="64"/>
      <c r="AL26" s="58"/>
      <c r="AM26" s="188">
        <v>480803.03</v>
      </c>
      <c r="AN26" s="135"/>
      <c r="AO26" s="135"/>
      <c r="AP26" s="135"/>
    </row>
    <row r="27" spans="1:42" x14ac:dyDescent="0.25">
      <c r="A27" t="s">
        <v>50</v>
      </c>
      <c r="B27" t="s">
        <v>43</v>
      </c>
      <c r="C27" s="212" t="str">
        <f t="shared" si="0"/>
        <v>Bay County Civil</v>
      </c>
      <c r="D27" s="188">
        <v>201200.73</v>
      </c>
      <c r="E27" s="188">
        <v>201200.73</v>
      </c>
      <c r="F27" s="188">
        <v>201410.73</v>
      </c>
      <c r="G27" s="188">
        <v>201410.73</v>
      </c>
      <c r="H27" s="70"/>
      <c r="I27" s="188">
        <v>180576.78</v>
      </c>
      <c r="J27" s="188">
        <v>174314.28</v>
      </c>
      <c r="K27" s="188">
        <v>173844.28</v>
      </c>
      <c r="L27" s="188">
        <v>173844.28</v>
      </c>
      <c r="M27" s="70"/>
      <c r="N27" s="188">
        <v>204348.9</v>
      </c>
      <c r="O27" s="188">
        <v>204348.9</v>
      </c>
      <c r="P27" s="188">
        <v>204348.9</v>
      </c>
      <c r="Q27" s="57"/>
      <c r="R27" s="58"/>
      <c r="S27" s="188">
        <v>185319.4</v>
      </c>
      <c r="T27" s="188">
        <v>181911.4</v>
      </c>
      <c r="U27" s="188">
        <v>181911.4</v>
      </c>
      <c r="V27" s="57"/>
      <c r="W27" s="58"/>
      <c r="X27" s="188">
        <v>237361.76</v>
      </c>
      <c r="Y27" s="188">
        <v>236651.76</v>
      </c>
      <c r="Z27" s="57"/>
      <c r="AA27" s="64"/>
      <c r="AB27" s="58"/>
      <c r="AC27" s="188">
        <v>220207.08</v>
      </c>
      <c r="AD27" s="188">
        <v>211359.34</v>
      </c>
      <c r="AE27" s="57"/>
      <c r="AF27" s="64"/>
      <c r="AG27" s="58"/>
      <c r="AH27" s="188">
        <v>202815.41</v>
      </c>
      <c r="AI27" s="57"/>
      <c r="AJ27" s="64"/>
      <c r="AK27" s="64"/>
      <c r="AL27" s="58"/>
      <c r="AM27" s="188">
        <v>176449.34</v>
      </c>
      <c r="AN27" s="135"/>
      <c r="AO27" s="135"/>
      <c r="AP27" s="135"/>
    </row>
    <row r="28" spans="1:42" x14ac:dyDescent="0.25">
      <c r="A28" t="s">
        <v>50</v>
      </c>
      <c r="B28" t="s">
        <v>39</v>
      </c>
      <c r="C28" s="212" t="str">
        <f t="shared" si="0"/>
        <v>Bay County Criminal</v>
      </c>
      <c r="D28" s="188">
        <v>201200.73</v>
      </c>
      <c r="E28" s="188">
        <v>598313.03</v>
      </c>
      <c r="F28" s="188">
        <v>586860.03</v>
      </c>
      <c r="G28" s="188">
        <v>574956.41</v>
      </c>
      <c r="H28" s="70"/>
      <c r="I28" s="188">
        <v>180576.78</v>
      </c>
      <c r="J28" s="188">
        <v>99285.66</v>
      </c>
      <c r="K28" s="188">
        <v>149743.06</v>
      </c>
      <c r="L28" s="188">
        <v>182356.76</v>
      </c>
      <c r="M28" s="70"/>
      <c r="N28" s="188">
        <v>644064.5</v>
      </c>
      <c r="O28" s="188">
        <v>630896.5</v>
      </c>
      <c r="P28" s="188">
        <v>623041.15</v>
      </c>
      <c r="Q28" s="57"/>
      <c r="R28" s="58"/>
      <c r="S28" s="188">
        <v>55145.54</v>
      </c>
      <c r="T28" s="188">
        <v>113163.66</v>
      </c>
      <c r="U28" s="188">
        <v>164313.43</v>
      </c>
      <c r="V28" s="57"/>
      <c r="W28" s="58"/>
      <c r="X28" s="188">
        <v>770955.85</v>
      </c>
      <c r="Y28" s="188">
        <v>757955.84</v>
      </c>
      <c r="Z28" s="57"/>
      <c r="AA28" s="64"/>
      <c r="AB28" s="58"/>
      <c r="AC28" s="188">
        <v>88478.91</v>
      </c>
      <c r="AD28" s="188">
        <v>151040.51999999999</v>
      </c>
      <c r="AE28" s="57"/>
      <c r="AF28" s="64"/>
      <c r="AG28" s="58"/>
      <c r="AH28" s="188">
        <v>699312.64000000001</v>
      </c>
      <c r="AI28" s="57"/>
      <c r="AJ28" s="64"/>
      <c r="AK28" s="64"/>
      <c r="AL28" s="58"/>
      <c r="AM28" s="188">
        <v>67975.19</v>
      </c>
      <c r="AN28" s="135"/>
      <c r="AO28" s="135"/>
      <c r="AP28" s="135"/>
    </row>
    <row r="29" spans="1:42" x14ac:dyDescent="0.25">
      <c r="A29" t="s">
        <v>50</v>
      </c>
      <c r="B29" t="s">
        <v>41</v>
      </c>
      <c r="C29" s="212" t="str">
        <f t="shared" si="0"/>
        <v>Bay Criminal Traffic</v>
      </c>
      <c r="D29" s="188">
        <v>464193</v>
      </c>
      <c r="E29" s="188">
        <v>453496.25</v>
      </c>
      <c r="F29" s="188">
        <v>443625.25</v>
      </c>
      <c r="G29" s="188">
        <v>437667</v>
      </c>
      <c r="H29" s="70"/>
      <c r="I29" s="188">
        <v>64132.68</v>
      </c>
      <c r="J29" s="188">
        <v>146142.01</v>
      </c>
      <c r="K29" s="188">
        <v>207028.59</v>
      </c>
      <c r="L29" s="188">
        <v>251748.65</v>
      </c>
      <c r="M29" s="70"/>
      <c r="N29" s="188">
        <v>569011.69999999995</v>
      </c>
      <c r="O29" s="188">
        <v>561389.69999999995</v>
      </c>
      <c r="P29" s="188">
        <v>546698.25</v>
      </c>
      <c r="Q29" s="57"/>
      <c r="R29" s="58"/>
      <c r="S29" s="188">
        <v>75403.360000000001</v>
      </c>
      <c r="T29" s="188">
        <v>169203.54</v>
      </c>
      <c r="U29" s="188">
        <v>243755.8</v>
      </c>
      <c r="V29" s="57"/>
      <c r="W29" s="58"/>
      <c r="X29" s="188">
        <v>516793.75</v>
      </c>
      <c r="Y29" s="188">
        <v>512061</v>
      </c>
      <c r="Z29" s="57"/>
      <c r="AA29" s="64"/>
      <c r="AB29" s="58"/>
      <c r="AC29" s="188">
        <v>78152.240000000005</v>
      </c>
      <c r="AD29" s="188">
        <v>153222.32</v>
      </c>
      <c r="AE29" s="57"/>
      <c r="AF29" s="64"/>
      <c r="AG29" s="58"/>
      <c r="AH29" s="188">
        <v>479.41</v>
      </c>
      <c r="AI29" s="57"/>
      <c r="AJ29" s="64"/>
      <c r="AK29" s="64"/>
      <c r="AL29" s="58"/>
      <c r="AM29" s="188">
        <v>79664.649999999994</v>
      </c>
      <c r="AN29" s="135"/>
      <c r="AO29" s="135"/>
      <c r="AP29" s="135"/>
    </row>
    <row r="30" spans="1:42" x14ac:dyDescent="0.25">
      <c r="A30" t="s">
        <v>50</v>
      </c>
      <c r="B30" t="s">
        <v>46</v>
      </c>
      <c r="C30" s="212" t="str">
        <f t="shared" si="0"/>
        <v>Bay Family</v>
      </c>
      <c r="D30" s="188">
        <v>94867.5</v>
      </c>
      <c r="E30" s="188">
        <v>94572.5</v>
      </c>
      <c r="F30" s="188">
        <v>94572.5</v>
      </c>
      <c r="G30" s="188">
        <v>95012.5</v>
      </c>
      <c r="H30" s="70"/>
      <c r="I30" s="188">
        <v>92875.5</v>
      </c>
      <c r="J30" s="188">
        <v>92875.5</v>
      </c>
      <c r="K30" s="188">
        <v>92875.5</v>
      </c>
      <c r="L30" s="188">
        <v>93315.5</v>
      </c>
      <c r="M30" s="70"/>
      <c r="N30" s="188">
        <v>140205</v>
      </c>
      <c r="O30" s="188">
        <v>139400</v>
      </c>
      <c r="P30" s="188">
        <v>138706</v>
      </c>
      <c r="Q30" s="57"/>
      <c r="R30" s="58"/>
      <c r="S30" s="188">
        <v>136068</v>
      </c>
      <c r="T30" s="188">
        <v>136092</v>
      </c>
      <c r="U30" s="188">
        <v>136598</v>
      </c>
      <c r="V30" s="57"/>
      <c r="W30" s="58"/>
      <c r="X30" s="188">
        <v>130310.5</v>
      </c>
      <c r="Y30" s="188">
        <v>130294.5</v>
      </c>
      <c r="Z30" s="57"/>
      <c r="AA30" s="64"/>
      <c r="AB30" s="58"/>
      <c r="AC30" s="188">
        <v>127001.5</v>
      </c>
      <c r="AD30" s="188">
        <v>127455.5</v>
      </c>
      <c r="AE30" s="57"/>
      <c r="AF30" s="64"/>
      <c r="AG30" s="58"/>
      <c r="AH30" s="188">
        <v>150627.5</v>
      </c>
      <c r="AI30" s="57"/>
      <c r="AJ30" s="64"/>
      <c r="AK30" s="64"/>
      <c r="AL30" s="58"/>
      <c r="AM30" s="188">
        <v>142683</v>
      </c>
      <c r="AN30" s="135"/>
      <c r="AO30" s="135"/>
      <c r="AP30" s="135"/>
    </row>
    <row r="31" spans="1:42" x14ac:dyDescent="0.25">
      <c r="A31" t="s">
        <v>50</v>
      </c>
      <c r="B31" t="s">
        <v>40</v>
      </c>
      <c r="C31" s="212" t="str">
        <f t="shared" si="0"/>
        <v>Bay Juvenile Delinquency</v>
      </c>
      <c r="D31" s="188">
        <v>8760</v>
      </c>
      <c r="E31" s="188">
        <v>8880</v>
      </c>
      <c r="F31" s="188">
        <v>8830</v>
      </c>
      <c r="G31" s="188">
        <v>8830</v>
      </c>
      <c r="H31" s="70"/>
      <c r="I31" s="188">
        <v>730</v>
      </c>
      <c r="J31" s="188">
        <v>1440</v>
      </c>
      <c r="K31" s="188">
        <v>2430</v>
      </c>
      <c r="L31" s="188">
        <v>2900</v>
      </c>
      <c r="M31" s="70"/>
      <c r="N31" s="188">
        <v>7128</v>
      </c>
      <c r="O31" s="188">
        <v>7128</v>
      </c>
      <c r="P31" s="188">
        <v>7128</v>
      </c>
      <c r="Q31" s="57"/>
      <c r="R31" s="58"/>
      <c r="S31" s="188">
        <v>398</v>
      </c>
      <c r="T31" s="188">
        <v>828</v>
      </c>
      <c r="U31" s="188">
        <v>1408</v>
      </c>
      <c r="V31" s="57"/>
      <c r="W31" s="58"/>
      <c r="X31" s="188">
        <v>10433</v>
      </c>
      <c r="Y31" s="188">
        <v>10433</v>
      </c>
      <c r="Z31" s="57"/>
      <c r="AA31" s="64"/>
      <c r="AB31" s="58"/>
      <c r="AC31" s="188">
        <v>1443.55</v>
      </c>
      <c r="AD31" s="188">
        <v>2566.5500000000002</v>
      </c>
      <c r="AE31" s="57"/>
      <c r="AF31" s="64"/>
      <c r="AG31" s="58"/>
      <c r="AH31" s="188">
        <v>12318</v>
      </c>
      <c r="AI31" s="57"/>
      <c r="AJ31" s="64"/>
      <c r="AK31" s="64"/>
      <c r="AL31" s="58"/>
      <c r="AM31" s="188">
        <v>1789.5</v>
      </c>
      <c r="AN31" s="135"/>
      <c r="AO31" s="135"/>
      <c r="AP31" s="135"/>
    </row>
    <row r="32" spans="1:42" x14ac:dyDescent="0.25">
      <c r="A32" t="s">
        <v>50</v>
      </c>
      <c r="B32" t="s">
        <v>45</v>
      </c>
      <c r="C32" s="212" t="str">
        <f t="shared" si="0"/>
        <v>Bay Probate</v>
      </c>
      <c r="D32" s="188">
        <v>58142.75</v>
      </c>
      <c r="E32" s="188">
        <v>58142.75</v>
      </c>
      <c r="F32" s="188">
        <v>58142.75</v>
      </c>
      <c r="G32" s="188">
        <v>58142.75</v>
      </c>
      <c r="H32" s="70"/>
      <c r="I32" s="188">
        <v>57911.75</v>
      </c>
      <c r="J32" s="188">
        <v>57911.75</v>
      </c>
      <c r="K32" s="188">
        <v>57911.75</v>
      </c>
      <c r="L32" s="188">
        <v>57911.75</v>
      </c>
      <c r="M32" s="70"/>
      <c r="N32" s="188">
        <v>64596.24</v>
      </c>
      <c r="O32" s="188">
        <v>64365.24</v>
      </c>
      <c r="P32" s="188">
        <v>64465.24</v>
      </c>
      <c r="Q32" s="57"/>
      <c r="R32" s="58"/>
      <c r="S32" s="188">
        <v>63879.24</v>
      </c>
      <c r="T32" s="188">
        <v>63580.24</v>
      </c>
      <c r="U32" s="188">
        <v>63915.24</v>
      </c>
      <c r="V32" s="57"/>
      <c r="W32" s="58"/>
      <c r="X32" s="188">
        <v>91678.25</v>
      </c>
      <c r="Y32" s="188">
        <v>91358.25</v>
      </c>
      <c r="Z32" s="57"/>
      <c r="AA32" s="64"/>
      <c r="AB32" s="58"/>
      <c r="AC32" s="188">
        <v>91246.25</v>
      </c>
      <c r="AD32" s="188">
        <v>90926.25</v>
      </c>
      <c r="AE32" s="57"/>
      <c r="AF32" s="64"/>
      <c r="AG32" s="58"/>
      <c r="AH32" s="188">
        <v>67981.11</v>
      </c>
      <c r="AI32" s="57"/>
      <c r="AJ32" s="64"/>
      <c r="AK32" s="64"/>
      <c r="AL32" s="58"/>
      <c r="AM32" s="188">
        <v>67115.11</v>
      </c>
      <c r="AN32" s="135"/>
      <c r="AO32" s="135"/>
      <c r="AP32" s="135"/>
    </row>
    <row r="33" spans="1:42" x14ac:dyDescent="0.25">
      <c r="A33" t="s">
        <v>51</v>
      </c>
      <c r="B33" t="s">
        <v>42</v>
      </c>
      <c r="C33" s="212" t="str">
        <f t="shared" si="0"/>
        <v>Bradford Circuit Civil</v>
      </c>
      <c r="D33" s="188">
        <v>30470</v>
      </c>
      <c r="E33" s="188">
        <v>30470</v>
      </c>
      <c r="F33" s="188">
        <v>30470</v>
      </c>
      <c r="G33" s="188">
        <v>30470</v>
      </c>
      <c r="H33" s="70"/>
      <c r="I33" s="188">
        <v>26583</v>
      </c>
      <c r="J33" s="188">
        <v>29267</v>
      </c>
      <c r="K33" s="188">
        <v>29267</v>
      </c>
      <c r="L33" s="188">
        <v>29267</v>
      </c>
      <c r="M33" s="70"/>
      <c r="N33" s="188">
        <v>33026</v>
      </c>
      <c r="O33" s="188">
        <v>33026</v>
      </c>
      <c r="P33" s="188">
        <v>33026</v>
      </c>
      <c r="Q33" s="57"/>
      <c r="R33" s="58"/>
      <c r="S33" s="188">
        <v>32187</v>
      </c>
      <c r="T33" s="188">
        <v>32187</v>
      </c>
      <c r="U33" s="188">
        <v>32187</v>
      </c>
      <c r="V33" s="57"/>
      <c r="W33" s="58"/>
      <c r="X33" s="188">
        <v>37349</v>
      </c>
      <c r="Y33" s="188">
        <v>36949</v>
      </c>
      <c r="Z33" s="57"/>
      <c r="AA33" s="64"/>
      <c r="AB33" s="58"/>
      <c r="AC33" s="188">
        <v>36348</v>
      </c>
      <c r="AD33" s="188">
        <v>36348</v>
      </c>
      <c r="AE33" s="57"/>
      <c r="AF33" s="64"/>
      <c r="AG33" s="58"/>
      <c r="AH33" s="188">
        <v>32494.5</v>
      </c>
      <c r="AI33" s="57"/>
      <c r="AJ33" s="64"/>
      <c r="AK33" s="64"/>
      <c r="AL33" s="58"/>
      <c r="AM33" s="188">
        <v>29889.5</v>
      </c>
      <c r="AN33" s="135"/>
      <c r="AO33" s="135"/>
      <c r="AP33" s="135"/>
    </row>
    <row r="34" spans="1:42" x14ac:dyDescent="0.25">
      <c r="A34" t="s">
        <v>51</v>
      </c>
      <c r="B34" t="s">
        <v>38</v>
      </c>
      <c r="C34" s="212" t="str">
        <f t="shared" si="0"/>
        <v>Bradford Circuit Criminal</v>
      </c>
      <c r="D34" s="188">
        <v>96252</v>
      </c>
      <c r="E34" s="188">
        <v>96252</v>
      </c>
      <c r="F34" s="188">
        <v>96252</v>
      </c>
      <c r="G34" s="188">
        <v>96252</v>
      </c>
      <c r="H34" s="70"/>
      <c r="I34" s="188">
        <v>2706.93</v>
      </c>
      <c r="J34" s="188">
        <v>8880.57</v>
      </c>
      <c r="K34" s="188">
        <v>12764.51</v>
      </c>
      <c r="L34" s="188">
        <v>15215.5</v>
      </c>
      <c r="M34" s="70"/>
      <c r="N34" s="188">
        <v>78726</v>
      </c>
      <c r="O34" s="188">
        <v>78676</v>
      </c>
      <c r="P34" s="188">
        <v>79344</v>
      </c>
      <c r="Q34" s="57"/>
      <c r="R34" s="58"/>
      <c r="S34" s="188">
        <v>9610</v>
      </c>
      <c r="T34" s="188">
        <v>12838.25</v>
      </c>
      <c r="U34" s="188">
        <v>16036.42</v>
      </c>
      <c r="V34" s="57"/>
      <c r="W34" s="58"/>
      <c r="X34" s="188">
        <v>147305</v>
      </c>
      <c r="Y34" s="188">
        <v>147458</v>
      </c>
      <c r="Z34" s="57"/>
      <c r="AA34" s="64"/>
      <c r="AB34" s="58"/>
      <c r="AC34" s="188">
        <v>4162.18</v>
      </c>
      <c r="AD34" s="188">
        <v>6971.38</v>
      </c>
      <c r="AE34" s="57"/>
      <c r="AF34" s="64"/>
      <c r="AG34" s="58"/>
      <c r="AH34" s="188">
        <v>236962.64</v>
      </c>
      <c r="AI34" s="57"/>
      <c r="AJ34" s="64"/>
      <c r="AK34" s="64"/>
      <c r="AL34" s="58"/>
      <c r="AM34" s="188">
        <v>3089.13</v>
      </c>
      <c r="AN34" s="135"/>
      <c r="AO34" s="135"/>
      <c r="AP34" s="135"/>
    </row>
    <row r="35" spans="1:42" x14ac:dyDescent="0.25">
      <c r="A35" t="s">
        <v>51</v>
      </c>
      <c r="B35" t="s">
        <v>265</v>
      </c>
      <c r="C35" s="212" t="str">
        <f t="shared" si="0"/>
        <v>Bradford Circuit Criminal Drug Cases</v>
      </c>
      <c r="D35" s="188"/>
      <c r="E35" s="188">
        <v>0</v>
      </c>
      <c r="F35" s="188"/>
      <c r="G35" s="188"/>
      <c r="I35" s="188">
        <v>0</v>
      </c>
      <c r="J35" s="188">
        <v>0</v>
      </c>
      <c r="K35" s="188"/>
      <c r="L35" s="188"/>
      <c r="N35" s="188">
        <v>0</v>
      </c>
      <c r="O35" s="188"/>
      <c r="P35" s="188"/>
      <c r="S35" s="188">
        <v>0</v>
      </c>
      <c r="T35" s="188"/>
      <c r="U35" s="188"/>
      <c r="X35" s="188"/>
      <c r="Y35" s="188"/>
      <c r="AC35" s="188"/>
      <c r="AD35" s="188"/>
      <c r="AH35" s="188"/>
      <c r="AM35" s="188"/>
    </row>
    <row r="36" spans="1:42" x14ac:dyDescent="0.25">
      <c r="A36" t="s">
        <v>51</v>
      </c>
      <c r="B36" t="s">
        <v>44</v>
      </c>
      <c r="C36" s="212" t="str">
        <f t="shared" si="0"/>
        <v>Bradford Civil Traffic</v>
      </c>
      <c r="D36" s="188">
        <v>502886.25</v>
      </c>
      <c r="E36" s="188">
        <v>489464.5</v>
      </c>
      <c r="F36" s="188">
        <v>486673.5</v>
      </c>
      <c r="G36" s="188">
        <v>486332.5</v>
      </c>
      <c r="H36" s="70"/>
      <c r="I36" s="188">
        <v>184236.5</v>
      </c>
      <c r="J36" s="188">
        <v>381316.03</v>
      </c>
      <c r="K36" s="188">
        <v>425023.5</v>
      </c>
      <c r="L36" s="188">
        <v>437428.5</v>
      </c>
      <c r="M36" s="70"/>
      <c r="N36" s="188">
        <v>462449.05</v>
      </c>
      <c r="O36" s="188">
        <v>452643.8</v>
      </c>
      <c r="P36" s="188">
        <v>451508.8</v>
      </c>
      <c r="Q36" s="57"/>
      <c r="R36" s="58"/>
      <c r="S36" s="188">
        <v>157324.04999999999</v>
      </c>
      <c r="T36" s="188">
        <v>352233.8</v>
      </c>
      <c r="U36" s="188">
        <v>397629.8</v>
      </c>
      <c r="V36" s="57"/>
      <c r="W36" s="58"/>
      <c r="X36" s="188">
        <v>497643.8</v>
      </c>
      <c r="Y36" s="188">
        <v>490812.55</v>
      </c>
      <c r="Z36" s="57"/>
      <c r="AA36" s="64"/>
      <c r="AB36" s="58"/>
      <c r="AC36" s="188">
        <v>173086.8</v>
      </c>
      <c r="AD36" s="188">
        <v>383068.55</v>
      </c>
      <c r="AE36" s="57"/>
      <c r="AF36" s="64"/>
      <c r="AG36" s="58"/>
      <c r="AH36" s="188">
        <v>493538.65</v>
      </c>
      <c r="AI36" s="57"/>
      <c r="AJ36" s="64"/>
      <c r="AK36" s="64"/>
      <c r="AL36" s="58"/>
      <c r="AM36" s="188">
        <v>151093.25</v>
      </c>
      <c r="AN36" s="135"/>
      <c r="AO36" s="135"/>
      <c r="AP36" s="135"/>
    </row>
    <row r="37" spans="1:42" x14ac:dyDescent="0.25">
      <c r="A37" t="s">
        <v>51</v>
      </c>
      <c r="B37" t="s">
        <v>43</v>
      </c>
      <c r="C37" s="212" t="str">
        <f t="shared" si="0"/>
        <v>Bradford County Civil</v>
      </c>
      <c r="D37" s="188">
        <v>27527</v>
      </c>
      <c r="E37" s="188">
        <v>27527</v>
      </c>
      <c r="F37" s="188">
        <v>27527</v>
      </c>
      <c r="G37" s="188">
        <v>27527</v>
      </c>
      <c r="H37" s="70"/>
      <c r="I37" s="188">
        <v>27052</v>
      </c>
      <c r="J37" s="188">
        <v>27527</v>
      </c>
      <c r="K37" s="188">
        <v>27527</v>
      </c>
      <c r="L37" s="188">
        <v>27527</v>
      </c>
      <c r="M37" s="70"/>
      <c r="N37" s="188">
        <v>16725</v>
      </c>
      <c r="O37" s="188">
        <v>16125</v>
      </c>
      <c r="P37" s="188">
        <v>16125</v>
      </c>
      <c r="Q37" s="57"/>
      <c r="R37" s="58"/>
      <c r="S37" s="188">
        <v>16550</v>
      </c>
      <c r="T37" s="188">
        <v>16125</v>
      </c>
      <c r="U37" s="188">
        <v>16125</v>
      </c>
      <c r="V37" s="57"/>
      <c r="W37" s="58"/>
      <c r="X37" s="188">
        <v>25325</v>
      </c>
      <c r="Y37" s="188">
        <v>25325</v>
      </c>
      <c r="Z37" s="57"/>
      <c r="AA37" s="64"/>
      <c r="AB37" s="58"/>
      <c r="AC37" s="188">
        <v>25315</v>
      </c>
      <c r="AD37" s="188">
        <v>25315</v>
      </c>
      <c r="AE37" s="57"/>
      <c r="AF37" s="64"/>
      <c r="AG37" s="58"/>
      <c r="AH37" s="188">
        <v>28162.5</v>
      </c>
      <c r="AI37" s="57"/>
      <c r="AJ37" s="64"/>
      <c r="AK37" s="64"/>
      <c r="AL37" s="58"/>
      <c r="AM37" s="188">
        <v>27633.5</v>
      </c>
      <c r="AN37" s="135"/>
      <c r="AO37" s="135"/>
      <c r="AP37" s="135"/>
    </row>
    <row r="38" spans="1:42" x14ac:dyDescent="0.25">
      <c r="A38" t="s">
        <v>51</v>
      </c>
      <c r="B38" t="s">
        <v>39</v>
      </c>
      <c r="C38" s="212" t="str">
        <f t="shared" si="0"/>
        <v>Bradford County Criminal</v>
      </c>
      <c r="D38" s="188">
        <v>40211</v>
      </c>
      <c r="E38" s="188">
        <v>40211</v>
      </c>
      <c r="F38" s="188">
        <v>40211</v>
      </c>
      <c r="G38" s="188">
        <v>40203</v>
      </c>
      <c r="H38" s="70"/>
      <c r="I38" s="188">
        <v>4790.2</v>
      </c>
      <c r="J38" s="188">
        <v>13082.83</v>
      </c>
      <c r="K38" s="188">
        <v>16753.080000000002</v>
      </c>
      <c r="L38" s="188">
        <v>18913.75</v>
      </c>
      <c r="M38" s="70"/>
      <c r="N38" s="188">
        <v>37283.71</v>
      </c>
      <c r="O38" s="188">
        <v>37060.71</v>
      </c>
      <c r="P38" s="188">
        <v>36737.71</v>
      </c>
      <c r="Q38" s="57"/>
      <c r="R38" s="58"/>
      <c r="S38" s="188">
        <v>5165.21</v>
      </c>
      <c r="T38" s="188">
        <v>8577.4599999999991</v>
      </c>
      <c r="U38" s="188">
        <v>11816.96</v>
      </c>
      <c r="V38" s="57"/>
      <c r="W38" s="58"/>
      <c r="X38" s="188">
        <v>35059</v>
      </c>
      <c r="Y38" s="188">
        <v>34909</v>
      </c>
      <c r="Z38" s="57"/>
      <c r="AA38" s="64"/>
      <c r="AB38" s="58"/>
      <c r="AC38" s="188">
        <v>2685.5</v>
      </c>
      <c r="AD38" s="188">
        <v>5521</v>
      </c>
      <c r="AE38" s="57"/>
      <c r="AF38" s="64"/>
      <c r="AG38" s="58"/>
      <c r="AH38" s="188">
        <v>32444.75</v>
      </c>
      <c r="AI38" s="57"/>
      <c r="AJ38" s="64"/>
      <c r="AK38" s="64"/>
      <c r="AL38" s="58"/>
      <c r="AM38" s="188">
        <v>3224.5</v>
      </c>
      <c r="AN38" s="135"/>
      <c r="AO38" s="135"/>
      <c r="AP38" s="135"/>
    </row>
    <row r="39" spans="1:42" x14ac:dyDescent="0.25">
      <c r="A39" t="s">
        <v>51</v>
      </c>
      <c r="B39" t="s">
        <v>41</v>
      </c>
      <c r="C39" s="212" t="str">
        <f t="shared" si="0"/>
        <v>Bradford Criminal Traffic</v>
      </c>
      <c r="D39" s="188">
        <v>47449.4</v>
      </c>
      <c r="E39" s="188">
        <v>46678.400000000001</v>
      </c>
      <c r="F39" s="188">
        <v>46578.400000000001</v>
      </c>
      <c r="G39" s="188">
        <v>46255.4</v>
      </c>
      <c r="H39" s="70"/>
      <c r="I39" s="188">
        <v>6114.9</v>
      </c>
      <c r="J39" s="188">
        <v>17858.900000000001</v>
      </c>
      <c r="K39" s="188">
        <v>22260.400000000001</v>
      </c>
      <c r="L39" s="188">
        <v>28217.360000000001</v>
      </c>
      <c r="M39" s="70"/>
      <c r="N39" s="188">
        <v>37258.589999999997</v>
      </c>
      <c r="O39" s="188">
        <v>36933.589999999997</v>
      </c>
      <c r="P39" s="188">
        <v>36933.589999999997</v>
      </c>
      <c r="Q39" s="57"/>
      <c r="R39" s="58"/>
      <c r="S39" s="188">
        <v>10285.34</v>
      </c>
      <c r="T39" s="188">
        <v>16336.59</v>
      </c>
      <c r="U39" s="188">
        <v>22983.59</v>
      </c>
      <c r="V39" s="57"/>
      <c r="W39" s="58"/>
      <c r="X39" s="188">
        <v>44183.75</v>
      </c>
      <c r="Y39" s="188">
        <v>43412.75</v>
      </c>
      <c r="Z39" s="57"/>
      <c r="AA39" s="64"/>
      <c r="AB39" s="58"/>
      <c r="AC39" s="188">
        <v>5123.75</v>
      </c>
      <c r="AD39" s="188">
        <v>16529.75</v>
      </c>
      <c r="AE39" s="57"/>
      <c r="AF39" s="64"/>
      <c r="AG39" s="58"/>
      <c r="AH39" s="188">
        <v>38839.5</v>
      </c>
      <c r="AI39" s="57"/>
      <c r="AJ39" s="64"/>
      <c r="AK39" s="64"/>
      <c r="AL39" s="58"/>
      <c r="AM39" s="188">
        <v>5024.25</v>
      </c>
      <c r="AN39" s="135"/>
      <c r="AO39" s="135"/>
      <c r="AP39" s="135"/>
    </row>
    <row r="40" spans="1:42" x14ac:dyDescent="0.25">
      <c r="A40" t="s">
        <v>51</v>
      </c>
      <c r="B40" t="s">
        <v>46</v>
      </c>
      <c r="C40" s="212" t="str">
        <f t="shared" si="0"/>
        <v>Bradford Family</v>
      </c>
      <c r="D40" s="188">
        <v>12075</v>
      </c>
      <c r="E40" s="188">
        <v>12075</v>
      </c>
      <c r="F40" s="188">
        <v>12075</v>
      </c>
      <c r="G40" s="188">
        <v>12075</v>
      </c>
      <c r="H40" s="70"/>
      <c r="I40" s="188">
        <v>10955</v>
      </c>
      <c r="J40" s="188">
        <v>12054</v>
      </c>
      <c r="K40" s="188">
        <v>12054</v>
      </c>
      <c r="L40" s="188">
        <v>12054</v>
      </c>
      <c r="M40" s="70"/>
      <c r="N40" s="188">
        <v>20745.5</v>
      </c>
      <c r="O40" s="188">
        <v>20745.5</v>
      </c>
      <c r="P40" s="188">
        <v>20745.5</v>
      </c>
      <c r="Q40" s="57"/>
      <c r="R40" s="58"/>
      <c r="S40" s="188">
        <v>18991.5</v>
      </c>
      <c r="T40" s="188">
        <v>18991.5</v>
      </c>
      <c r="U40" s="188">
        <v>18991.5</v>
      </c>
      <c r="V40" s="57"/>
      <c r="W40" s="58"/>
      <c r="X40" s="188">
        <v>15949</v>
      </c>
      <c r="Y40" s="188">
        <v>15949</v>
      </c>
      <c r="Z40" s="57"/>
      <c r="AA40" s="64"/>
      <c r="AB40" s="58"/>
      <c r="AC40" s="188">
        <v>14623.09</v>
      </c>
      <c r="AD40" s="188">
        <v>14892.59</v>
      </c>
      <c r="AE40" s="57"/>
      <c r="AF40" s="64"/>
      <c r="AG40" s="58"/>
      <c r="AH40" s="188">
        <v>16445.5</v>
      </c>
      <c r="AI40" s="57"/>
      <c r="AJ40" s="64"/>
      <c r="AK40" s="64"/>
      <c r="AL40" s="58"/>
      <c r="AM40" s="188">
        <v>14500</v>
      </c>
      <c r="AN40" s="135"/>
      <c r="AO40" s="135"/>
      <c r="AP40" s="135"/>
    </row>
    <row r="41" spans="1:42" x14ac:dyDescent="0.25">
      <c r="A41" t="s">
        <v>51</v>
      </c>
      <c r="B41" t="s">
        <v>40</v>
      </c>
      <c r="C41" s="212" t="str">
        <f t="shared" si="0"/>
        <v>Bradford Juvenile Delinquency</v>
      </c>
      <c r="D41" s="188">
        <v>1616</v>
      </c>
      <c r="E41" s="188">
        <v>1616</v>
      </c>
      <c r="F41" s="188">
        <v>1616</v>
      </c>
      <c r="G41" s="188">
        <v>1616</v>
      </c>
      <c r="H41" s="70"/>
      <c r="I41" s="188">
        <v>80</v>
      </c>
      <c r="J41" s="188">
        <v>80</v>
      </c>
      <c r="K41" s="188">
        <v>110</v>
      </c>
      <c r="L41" s="188">
        <v>498</v>
      </c>
      <c r="M41" s="70"/>
      <c r="N41" s="188">
        <v>3337</v>
      </c>
      <c r="O41" s="188">
        <v>3337</v>
      </c>
      <c r="P41" s="188">
        <v>3575</v>
      </c>
      <c r="Q41" s="57"/>
      <c r="R41" s="58"/>
      <c r="S41" s="188">
        <v>0</v>
      </c>
      <c r="T41" s="188">
        <v>0</v>
      </c>
      <c r="U41" s="188">
        <v>0</v>
      </c>
      <c r="V41" s="57"/>
      <c r="W41" s="58"/>
      <c r="X41" s="188">
        <v>1754</v>
      </c>
      <c r="Y41" s="188">
        <v>1754</v>
      </c>
      <c r="Z41" s="57"/>
      <c r="AA41" s="64"/>
      <c r="AB41" s="58"/>
      <c r="AC41" s="188">
        <v>0</v>
      </c>
      <c r="AD41" s="188">
        <v>240</v>
      </c>
      <c r="AE41" s="57"/>
      <c r="AF41" s="64"/>
      <c r="AG41" s="58"/>
      <c r="AH41" s="188">
        <v>3988</v>
      </c>
      <c r="AI41" s="57"/>
      <c r="AJ41" s="64"/>
      <c r="AK41" s="64"/>
      <c r="AL41" s="58"/>
      <c r="AM41" s="188">
        <v>100</v>
      </c>
      <c r="AN41" s="135"/>
      <c r="AO41" s="135"/>
      <c r="AP41" s="135"/>
    </row>
    <row r="42" spans="1:42" x14ac:dyDescent="0.25">
      <c r="A42" t="s">
        <v>51</v>
      </c>
      <c r="B42" t="s">
        <v>45</v>
      </c>
      <c r="C42" s="212" t="str">
        <f t="shared" si="0"/>
        <v>Bradford Probate</v>
      </c>
      <c r="D42" s="188">
        <v>7912</v>
      </c>
      <c r="E42" s="188">
        <v>7912</v>
      </c>
      <c r="F42" s="188">
        <v>7912</v>
      </c>
      <c r="G42" s="188">
        <v>7912</v>
      </c>
      <c r="H42" s="70"/>
      <c r="I42" s="188">
        <v>7912</v>
      </c>
      <c r="J42" s="188">
        <v>7912</v>
      </c>
      <c r="K42" s="188">
        <v>7912</v>
      </c>
      <c r="L42" s="188">
        <v>7912</v>
      </c>
      <c r="M42" s="70"/>
      <c r="N42" s="188">
        <v>7386</v>
      </c>
      <c r="O42" s="188">
        <v>7386</v>
      </c>
      <c r="P42" s="188">
        <v>7386</v>
      </c>
      <c r="Q42" s="57"/>
      <c r="R42" s="58"/>
      <c r="S42" s="188">
        <v>7386</v>
      </c>
      <c r="T42" s="188">
        <v>7386</v>
      </c>
      <c r="U42" s="188">
        <v>7386</v>
      </c>
      <c r="V42" s="57"/>
      <c r="W42" s="58"/>
      <c r="X42" s="188">
        <v>8315</v>
      </c>
      <c r="Y42" s="188">
        <v>8315</v>
      </c>
      <c r="Z42" s="57"/>
      <c r="AA42" s="64"/>
      <c r="AB42" s="58"/>
      <c r="AC42" s="188">
        <v>8315</v>
      </c>
      <c r="AD42" s="188">
        <v>8315</v>
      </c>
      <c r="AE42" s="57"/>
      <c r="AF42" s="64"/>
      <c r="AG42" s="58"/>
      <c r="AH42" s="188">
        <v>8064</v>
      </c>
      <c r="AI42" s="57"/>
      <c r="AJ42" s="64"/>
      <c r="AK42" s="64"/>
      <c r="AL42" s="58"/>
      <c r="AM42" s="188">
        <v>7319</v>
      </c>
      <c r="AN42" s="135"/>
      <c r="AO42" s="135"/>
      <c r="AP42" s="135"/>
    </row>
    <row r="43" spans="1:42" x14ac:dyDescent="0.25">
      <c r="A43" t="s">
        <v>52</v>
      </c>
      <c r="B43" t="s">
        <v>42</v>
      </c>
      <c r="C43" s="212" t="str">
        <f t="shared" si="0"/>
        <v>Brevard Circuit Civil</v>
      </c>
      <c r="D43" s="188">
        <v>856517.27</v>
      </c>
      <c r="E43" s="188">
        <v>856517.27</v>
      </c>
      <c r="F43" s="188">
        <v>856503.27</v>
      </c>
      <c r="G43" s="188">
        <v>856503.27</v>
      </c>
      <c r="H43" s="70"/>
      <c r="I43" s="188">
        <v>790725.48</v>
      </c>
      <c r="J43" s="188">
        <v>838792.47</v>
      </c>
      <c r="K43" s="188">
        <v>839265.79</v>
      </c>
      <c r="L43" s="188">
        <v>837928.1</v>
      </c>
      <c r="M43" s="70"/>
      <c r="N43" s="188">
        <v>886179.28</v>
      </c>
      <c r="O43" s="188">
        <v>884858.28</v>
      </c>
      <c r="P43" s="188">
        <v>882749.28</v>
      </c>
      <c r="Q43" s="57"/>
      <c r="R43" s="58"/>
      <c r="S43" s="188">
        <v>824060.58</v>
      </c>
      <c r="T43" s="188">
        <v>873134</v>
      </c>
      <c r="U43" s="188">
        <v>870183.99</v>
      </c>
      <c r="V43" s="57"/>
      <c r="W43" s="58"/>
      <c r="X43" s="188">
        <v>873388.72</v>
      </c>
      <c r="Y43" s="188">
        <v>872941.72</v>
      </c>
      <c r="Z43" s="57"/>
      <c r="AA43" s="64"/>
      <c r="AB43" s="58"/>
      <c r="AC43" s="188">
        <v>804230.19</v>
      </c>
      <c r="AD43" s="188">
        <v>851527.95</v>
      </c>
      <c r="AE43" s="57"/>
      <c r="AF43" s="64"/>
      <c r="AG43" s="58"/>
      <c r="AH43" s="188">
        <v>1235738.98</v>
      </c>
      <c r="AI43" s="57"/>
      <c r="AJ43" s="64"/>
      <c r="AK43" s="64"/>
      <c r="AL43" s="58"/>
      <c r="AM43" s="188">
        <v>1180053.94</v>
      </c>
      <c r="AN43" s="135"/>
      <c r="AO43" s="135"/>
      <c r="AP43" s="135"/>
    </row>
    <row r="44" spans="1:42" x14ac:dyDescent="0.25">
      <c r="A44" t="s">
        <v>52</v>
      </c>
      <c r="B44" t="s">
        <v>38</v>
      </c>
      <c r="C44" s="212" t="str">
        <f t="shared" si="0"/>
        <v>Brevard Circuit Criminal</v>
      </c>
      <c r="D44" s="188">
        <v>579827.94999999995</v>
      </c>
      <c r="E44" s="188">
        <v>560478.94999999995</v>
      </c>
      <c r="F44" s="188">
        <v>551669.44999999995</v>
      </c>
      <c r="G44" s="188">
        <v>547517.44999999995</v>
      </c>
      <c r="H44" s="70"/>
      <c r="I44" s="188">
        <v>41345.19</v>
      </c>
      <c r="J44" s="188">
        <v>62561.24</v>
      </c>
      <c r="K44" s="188">
        <v>74427.09</v>
      </c>
      <c r="L44" s="188">
        <v>90308.160000000003</v>
      </c>
      <c r="M44" s="70"/>
      <c r="N44" s="188">
        <v>738206.75</v>
      </c>
      <c r="O44" s="188">
        <v>718324.75</v>
      </c>
      <c r="P44" s="188">
        <v>711164.75</v>
      </c>
      <c r="Q44" s="57"/>
      <c r="R44" s="58"/>
      <c r="S44" s="188">
        <v>49748.85</v>
      </c>
      <c r="T44" s="188">
        <v>66623.61</v>
      </c>
      <c r="U44" s="188">
        <v>77617.34</v>
      </c>
      <c r="V44" s="57"/>
      <c r="W44" s="58"/>
      <c r="X44" s="188">
        <v>633945.31999999995</v>
      </c>
      <c r="Y44" s="188">
        <v>611800.31999999995</v>
      </c>
      <c r="Z44" s="57"/>
      <c r="AA44" s="64"/>
      <c r="AB44" s="58"/>
      <c r="AC44" s="188">
        <v>43536.800000000003</v>
      </c>
      <c r="AD44" s="188">
        <v>54585.760000000002</v>
      </c>
      <c r="AE44" s="57"/>
      <c r="AF44" s="64"/>
      <c r="AG44" s="58"/>
      <c r="AH44" s="188">
        <v>817861.03</v>
      </c>
      <c r="AI44" s="57"/>
      <c r="AJ44" s="64"/>
      <c r="AK44" s="64"/>
      <c r="AL44" s="58"/>
      <c r="AM44" s="188">
        <v>40869.19</v>
      </c>
      <c r="AN44" s="135"/>
      <c r="AO44" s="135"/>
      <c r="AP44" s="135"/>
    </row>
    <row r="45" spans="1:42" x14ac:dyDescent="0.25">
      <c r="A45" t="s">
        <v>52</v>
      </c>
      <c r="B45" t="s">
        <v>265</v>
      </c>
      <c r="C45" s="212" t="str">
        <f t="shared" si="0"/>
        <v>Brevard Circuit Criminal Drug Cases</v>
      </c>
      <c r="D45" s="188">
        <v>2308</v>
      </c>
      <c r="E45" s="188">
        <v>2556</v>
      </c>
      <c r="F45" s="188">
        <v>2506</v>
      </c>
      <c r="G45" s="188">
        <v>2506</v>
      </c>
      <c r="I45" s="188">
        <v>222</v>
      </c>
      <c r="J45" s="188">
        <v>200</v>
      </c>
      <c r="K45" s="188">
        <v>200</v>
      </c>
      <c r="L45" s="188">
        <v>200</v>
      </c>
      <c r="N45" s="188">
        <v>213130</v>
      </c>
      <c r="O45" s="188">
        <v>218080</v>
      </c>
      <c r="P45" s="188">
        <v>213080</v>
      </c>
      <c r="S45" s="188">
        <v>188</v>
      </c>
      <c r="T45" s="188">
        <v>193</v>
      </c>
      <c r="U45" s="188">
        <v>193</v>
      </c>
      <c r="X45" s="188">
        <v>108081.13</v>
      </c>
      <c r="Y45" s="188">
        <v>108031.13</v>
      </c>
      <c r="AC45" s="188">
        <v>230</v>
      </c>
      <c r="AD45" s="188">
        <v>245</v>
      </c>
      <c r="AH45" s="188">
        <v>213292</v>
      </c>
      <c r="AM45" s="188">
        <v>255</v>
      </c>
    </row>
    <row r="46" spans="1:42" x14ac:dyDescent="0.25">
      <c r="A46" t="s">
        <v>52</v>
      </c>
      <c r="B46" t="s">
        <v>44</v>
      </c>
      <c r="C46" s="212" t="str">
        <f t="shared" si="0"/>
        <v>Brevard Civil Traffic</v>
      </c>
      <c r="D46" s="188">
        <v>1624356.45</v>
      </c>
      <c r="E46" s="188">
        <v>1528661.3</v>
      </c>
      <c r="F46" s="188">
        <v>1519829.3</v>
      </c>
      <c r="G46" s="188">
        <v>1519034.03</v>
      </c>
      <c r="H46" s="70"/>
      <c r="I46" s="188">
        <v>809749.26</v>
      </c>
      <c r="J46" s="188">
        <v>1230519.72</v>
      </c>
      <c r="K46" s="188">
        <v>1314145.3799999999</v>
      </c>
      <c r="L46" s="188">
        <v>1345937.69</v>
      </c>
      <c r="M46" s="70"/>
      <c r="N46" s="188">
        <v>1583874.7</v>
      </c>
      <c r="O46" s="188">
        <v>1503688.54</v>
      </c>
      <c r="P46" s="188">
        <v>1500816.54</v>
      </c>
      <c r="Q46" s="57"/>
      <c r="R46" s="58"/>
      <c r="S46" s="188">
        <v>840928.05</v>
      </c>
      <c r="T46" s="188">
        <v>1212667.9099999999</v>
      </c>
      <c r="U46" s="188">
        <v>1295296.43</v>
      </c>
      <c r="V46" s="57"/>
      <c r="W46" s="58"/>
      <c r="X46" s="188">
        <v>1554541.1</v>
      </c>
      <c r="Y46" s="188">
        <v>1483449.63</v>
      </c>
      <c r="Z46" s="57"/>
      <c r="AA46" s="64"/>
      <c r="AB46" s="58"/>
      <c r="AC46" s="188">
        <v>799282.8</v>
      </c>
      <c r="AD46" s="188">
        <v>1167318.78</v>
      </c>
      <c r="AE46" s="57"/>
      <c r="AF46" s="64"/>
      <c r="AG46" s="58"/>
      <c r="AH46" s="188">
        <v>1387136.4</v>
      </c>
      <c r="AI46" s="57"/>
      <c r="AJ46" s="64"/>
      <c r="AK46" s="64"/>
      <c r="AL46" s="58"/>
      <c r="AM46" s="188">
        <v>726811.93</v>
      </c>
      <c r="AN46" s="135"/>
      <c r="AO46" s="135"/>
      <c r="AP46" s="135"/>
    </row>
    <row r="47" spans="1:42" x14ac:dyDescent="0.25">
      <c r="A47" t="s">
        <v>52</v>
      </c>
      <c r="B47" t="s">
        <v>43</v>
      </c>
      <c r="C47" s="212" t="str">
        <f t="shared" si="0"/>
        <v>Brevard County Civil</v>
      </c>
      <c r="D47" s="188">
        <v>432588.49</v>
      </c>
      <c r="E47" s="188">
        <v>432493.49</v>
      </c>
      <c r="F47" s="188">
        <v>432408.49</v>
      </c>
      <c r="G47" s="188">
        <v>432408.49</v>
      </c>
      <c r="H47" s="70"/>
      <c r="I47" s="188">
        <v>423305.53</v>
      </c>
      <c r="J47" s="188">
        <v>431937.42</v>
      </c>
      <c r="K47" s="188">
        <v>431937.42</v>
      </c>
      <c r="L47" s="188">
        <v>431942.42</v>
      </c>
      <c r="M47" s="70"/>
      <c r="N47" s="188">
        <v>505201.86</v>
      </c>
      <c r="O47" s="188">
        <v>505193.86</v>
      </c>
      <c r="P47" s="188">
        <v>505193.86</v>
      </c>
      <c r="Q47" s="57"/>
      <c r="R47" s="58"/>
      <c r="S47" s="188">
        <v>492109.86</v>
      </c>
      <c r="T47" s="188">
        <v>503948.86</v>
      </c>
      <c r="U47" s="188">
        <v>503898.86</v>
      </c>
      <c r="V47" s="57"/>
      <c r="W47" s="58"/>
      <c r="X47" s="188">
        <v>531302.88</v>
      </c>
      <c r="Y47" s="188">
        <v>531302.88</v>
      </c>
      <c r="Z47" s="57"/>
      <c r="AA47" s="64"/>
      <c r="AB47" s="58"/>
      <c r="AC47" s="188">
        <v>504157.79</v>
      </c>
      <c r="AD47" s="188">
        <v>527913.02</v>
      </c>
      <c r="AE47" s="57"/>
      <c r="AF47" s="64"/>
      <c r="AG47" s="58"/>
      <c r="AH47" s="188">
        <v>470250.32</v>
      </c>
      <c r="AI47" s="57"/>
      <c r="AJ47" s="64"/>
      <c r="AK47" s="64"/>
      <c r="AL47" s="58"/>
      <c r="AM47" s="188">
        <v>448149.09</v>
      </c>
      <c r="AN47" s="135"/>
      <c r="AO47" s="135"/>
      <c r="AP47" s="135"/>
    </row>
    <row r="48" spans="1:42" x14ac:dyDescent="0.25">
      <c r="A48" t="s">
        <v>52</v>
      </c>
      <c r="B48" t="s">
        <v>39</v>
      </c>
      <c r="C48" s="212" t="str">
        <f t="shared" si="0"/>
        <v>Brevard County Criminal</v>
      </c>
      <c r="D48" s="188">
        <v>428220</v>
      </c>
      <c r="E48" s="188">
        <v>421237</v>
      </c>
      <c r="F48" s="188">
        <v>418983</v>
      </c>
      <c r="G48" s="188">
        <v>418633</v>
      </c>
      <c r="H48" s="70"/>
      <c r="I48" s="188">
        <v>61568.06</v>
      </c>
      <c r="J48" s="188">
        <v>96437.22</v>
      </c>
      <c r="K48" s="188">
        <v>126634.26</v>
      </c>
      <c r="L48" s="188">
        <v>143224.31</v>
      </c>
      <c r="M48" s="70"/>
      <c r="N48" s="188">
        <v>453592.65</v>
      </c>
      <c r="O48" s="188">
        <v>448043.65</v>
      </c>
      <c r="P48" s="188">
        <v>446698.65</v>
      </c>
      <c r="Q48" s="57"/>
      <c r="R48" s="58"/>
      <c r="S48" s="188">
        <v>73697.960000000006</v>
      </c>
      <c r="T48" s="188">
        <v>113163.62</v>
      </c>
      <c r="U48" s="188">
        <v>149463.4</v>
      </c>
      <c r="V48" s="57"/>
      <c r="W48" s="58"/>
      <c r="X48" s="188">
        <v>429970.2</v>
      </c>
      <c r="Y48" s="188">
        <v>422632.7</v>
      </c>
      <c r="Z48" s="57"/>
      <c r="AA48" s="64"/>
      <c r="AB48" s="58"/>
      <c r="AC48" s="188">
        <v>81201.58</v>
      </c>
      <c r="AD48" s="188">
        <v>112062.86</v>
      </c>
      <c r="AE48" s="57"/>
      <c r="AF48" s="64"/>
      <c r="AG48" s="58"/>
      <c r="AH48" s="188">
        <v>459854.04</v>
      </c>
      <c r="AI48" s="57"/>
      <c r="AJ48" s="64"/>
      <c r="AK48" s="64"/>
      <c r="AL48" s="58"/>
      <c r="AM48" s="188">
        <v>80615.100000000006</v>
      </c>
      <c r="AN48" s="135"/>
      <c r="AO48" s="135"/>
      <c r="AP48" s="135"/>
    </row>
    <row r="49" spans="1:42" x14ac:dyDescent="0.25">
      <c r="A49" t="s">
        <v>52</v>
      </c>
      <c r="B49" t="s">
        <v>41</v>
      </c>
      <c r="C49" s="212" t="str">
        <f t="shared" si="0"/>
        <v>Brevard Criminal Traffic</v>
      </c>
      <c r="D49" s="188">
        <v>700495.4</v>
      </c>
      <c r="E49" s="188">
        <v>693315.9</v>
      </c>
      <c r="F49" s="188">
        <v>687422.9</v>
      </c>
      <c r="G49" s="188">
        <v>685723.9</v>
      </c>
      <c r="H49" s="70"/>
      <c r="I49" s="188">
        <v>138135.35</v>
      </c>
      <c r="J49" s="188">
        <v>221739.81</v>
      </c>
      <c r="K49" s="188">
        <v>277898.52</v>
      </c>
      <c r="L49" s="188">
        <v>336176.86</v>
      </c>
      <c r="M49" s="70"/>
      <c r="N49" s="188">
        <v>748089.87</v>
      </c>
      <c r="O49" s="188">
        <v>740863.37</v>
      </c>
      <c r="P49" s="188">
        <v>736735.23</v>
      </c>
      <c r="Q49" s="57"/>
      <c r="R49" s="58"/>
      <c r="S49" s="188">
        <v>165186.85</v>
      </c>
      <c r="T49" s="188">
        <v>246922.76</v>
      </c>
      <c r="U49" s="188">
        <v>317072.25</v>
      </c>
      <c r="V49" s="57"/>
      <c r="W49" s="58"/>
      <c r="X49" s="188">
        <v>676812.54</v>
      </c>
      <c r="Y49" s="188">
        <v>670213.29</v>
      </c>
      <c r="Z49" s="57"/>
      <c r="AA49" s="64"/>
      <c r="AB49" s="58"/>
      <c r="AC49" s="188">
        <v>159917.99</v>
      </c>
      <c r="AD49" s="188">
        <v>229539.28</v>
      </c>
      <c r="AE49" s="57"/>
      <c r="AF49" s="64"/>
      <c r="AG49" s="58"/>
      <c r="AH49" s="188">
        <v>599072.1</v>
      </c>
      <c r="AI49" s="57"/>
      <c r="AJ49" s="64"/>
      <c r="AK49" s="64"/>
      <c r="AL49" s="58"/>
      <c r="AM49" s="188">
        <v>142075.03</v>
      </c>
      <c r="AN49" s="135"/>
      <c r="AO49" s="135"/>
      <c r="AP49" s="135"/>
    </row>
    <row r="50" spans="1:42" x14ac:dyDescent="0.25">
      <c r="A50" t="s">
        <v>52</v>
      </c>
      <c r="B50" t="s">
        <v>46</v>
      </c>
      <c r="C50" s="212" t="str">
        <f t="shared" si="0"/>
        <v>Brevard Family</v>
      </c>
      <c r="D50" s="188">
        <v>275638.5</v>
      </c>
      <c r="E50" s="188">
        <v>275223.5</v>
      </c>
      <c r="F50" s="188">
        <v>275223.5</v>
      </c>
      <c r="G50" s="188">
        <v>275223.5</v>
      </c>
      <c r="H50" s="70"/>
      <c r="I50" s="188">
        <v>250309.21</v>
      </c>
      <c r="J50" s="188">
        <v>257348.46</v>
      </c>
      <c r="K50" s="188">
        <v>259900.81</v>
      </c>
      <c r="L50" s="188">
        <v>260261.11</v>
      </c>
      <c r="M50" s="70"/>
      <c r="N50" s="188">
        <v>336510.1</v>
      </c>
      <c r="O50" s="188">
        <v>336510.1</v>
      </c>
      <c r="P50" s="188">
        <v>336510.1</v>
      </c>
      <c r="Q50" s="57"/>
      <c r="R50" s="58"/>
      <c r="S50" s="188">
        <v>301897.36</v>
      </c>
      <c r="T50" s="188">
        <v>313130.08</v>
      </c>
      <c r="U50" s="188">
        <v>315977.92</v>
      </c>
      <c r="V50" s="57"/>
      <c r="W50" s="58"/>
      <c r="X50" s="188">
        <v>355166.35</v>
      </c>
      <c r="Y50" s="188">
        <v>354971.35</v>
      </c>
      <c r="Z50" s="57"/>
      <c r="AA50" s="64"/>
      <c r="AB50" s="58"/>
      <c r="AC50" s="188">
        <v>306162.81</v>
      </c>
      <c r="AD50" s="188">
        <v>325970.40999999997</v>
      </c>
      <c r="AE50" s="57"/>
      <c r="AF50" s="64"/>
      <c r="AG50" s="58"/>
      <c r="AH50" s="188">
        <v>357496.5</v>
      </c>
      <c r="AI50" s="57"/>
      <c r="AJ50" s="64"/>
      <c r="AK50" s="64"/>
      <c r="AL50" s="58"/>
      <c r="AM50" s="188">
        <v>295002.58</v>
      </c>
      <c r="AN50" s="135"/>
      <c r="AO50" s="135"/>
      <c r="AP50" s="135"/>
    </row>
    <row r="51" spans="1:42" x14ac:dyDescent="0.25">
      <c r="A51" t="s">
        <v>52</v>
      </c>
      <c r="B51" t="s">
        <v>40</v>
      </c>
      <c r="C51" s="212" t="str">
        <f t="shared" si="0"/>
        <v>Brevard Juvenile Delinquency</v>
      </c>
      <c r="D51" s="188">
        <v>29074</v>
      </c>
      <c r="E51" s="188">
        <v>28724</v>
      </c>
      <c r="F51" s="188">
        <v>27686</v>
      </c>
      <c r="G51" s="188">
        <v>27686</v>
      </c>
      <c r="H51" s="70"/>
      <c r="I51" s="188">
        <v>1981</v>
      </c>
      <c r="J51" s="188">
        <v>2387</v>
      </c>
      <c r="K51" s="188">
        <v>2632</v>
      </c>
      <c r="L51" s="188">
        <v>2850</v>
      </c>
      <c r="M51" s="70"/>
      <c r="N51" s="188">
        <v>34978</v>
      </c>
      <c r="O51" s="188">
        <v>34528</v>
      </c>
      <c r="P51" s="188">
        <v>34478</v>
      </c>
      <c r="Q51" s="57"/>
      <c r="R51" s="58"/>
      <c r="S51" s="188">
        <v>1348</v>
      </c>
      <c r="T51" s="188">
        <v>1892</v>
      </c>
      <c r="U51" s="188">
        <v>2228</v>
      </c>
      <c r="V51" s="57"/>
      <c r="W51" s="58"/>
      <c r="X51" s="188">
        <v>37466.85</v>
      </c>
      <c r="Y51" s="188">
        <v>36916.85</v>
      </c>
      <c r="Z51" s="57"/>
      <c r="AA51" s="64"/>
      <c r="AB51" s="58"/>
      <c r="AC51" s="188">
        <v>1866.35</v>
      </c>
      <c r="AD51" s="188">
        <v>2325.85</v>
      </c>
      <c r="AE51" s="57"/>
      <c r="AF51" s="64"/>
      <c r="AG51" s="58"/>
      <c r="AH51" s="188">
        <v>26564.7</v>
      </c>
      <c r="AI51" s="57"/>
      <c r="AJ51" s="64"/>
      <c r="AK51" s="64"/>
      <c r="AL51" s="58"/>
      <c r="AM51" s="188">
        <v>969.7</v>
      </c>
      <c r="AN51" s="135"/>
      <c r="AO51" s="135"/>
      <c r="AP51" s="135"/>
    </row>
    <row r="52" spans="1:42" x14ac:dyDescent="0.25">
      <c r="A52" t="s">
        <v>52</v>
      </c>
      <c r="B52" t="s">
        <v>45</v>
      </c>
      <c r="C52" s="212" t="str">
        <f t="shared" si="0"/>
        <v>Brevard Probate</v>
      </c>
      <c r="D52" s="188">
        <v>192352.5</v>
      </c>
      <c r="E52" s="188">
        <v>192352.5</v>
      </c>
      <c r="F52" s="188">
        <v>192352.5</v>
      </c>
      <c r="G52" s="188">
        <v>192352.5</v>
      </c>
      <c r="H52" s="70"/>
      <c r="I52" s="188">
        <v>188761.82</v>
      </c>
      <c r="J52" s="188">
        <v>190840.5</v>
      </c>
      <c r="K52" s="188">
        <v>190986.5</v>
      </c>
      <c r="L52" s="188">
        <v>190965.5</v>
      </c>
      <c r="M52" s="70"/>
      <c r="N52" s="188">
        <v>223989</v>
      </c>
      <c r="O52" s="188">
        <v>223989</v>
      </c>
      <c r="P52" s="188">
        <v>223989</v>
      </c>
      <c r="Q52" s="57"/>
      <c r="R52" s="58"/>
      <c r="S52" s="188">
        <v>217557.25</v>
      </c>
      <c r="T52" s="188">
        <v>223046.25</v>
      </c>
      <c r="U52" s="188">
        <v>222815.78</v>
      </c>
      <c r="V52" s="57"/>
      <c r="W52" s="58"/>
      <c r="X52" s="188">
        <v>237024.9</v>
      </c>
      <c r="Y52" s="188">
        <v>236624.9</v>
      </c>
      <c r="Z52" s="57"/>
      <c r="AA52" s="64"/>
      <c r="AB52" s="58"/>
      <c r="AC52" s="188">
        <v>222888.9</v>
      </c>
      <c r="AD52" s="188">
        <v>234835.9</v>
      </c>
      <c r="AE52" s="57"/>
      <c r="AF52" s="64"/>
      <c r="AG52" s="58"/>
      <c r="AH52" s="188">
        <v>223842.05</v>
      </c>
      <c r="AI52" s="57"/>
      <c r="AJ52" s="64"/>
      <c r="AK52" s="64"/>
      <c r="AL52" s="58"/>
      <c r="AM52" s="188">
        <v>218002.14</v>
      </c>
      <c r="AN52" s="135"/>
      <c r="AO52" s="135"/>
      <c r="AP52" s="135"/>
    </row>
    <row r="53" spans="1:42" x14ac:dyDescent="0.25">
      <c r="A53" t="s">
        <v>53</v>
      </c>
      <c r="B53" t="s">
        <v>42</v>
      </c>
      <c r="C53" s="212" t="str">
        <f t="shared" si="0"/>
        <v>Broward Circuit Civil</v>
      </c>
      <c r="D53" s="188">
        <v>6068095.0300000003</v>
      </c>
      <c r="E53" s="188">
        <v>6064952.0300000003</v>
      </c>
      <c r="F53" s="188">
        <v>6064952.0300000003</v>
      </c>
      <c r="G53" s="188">
        <v>6064952.0300000003</v>
      </c>
      <c r="H53" s="70"/>
      <c r="I53" s="188">
        <v>6056933.3300000001</v>
      </c>
      <c r="J53" s="188">
        <v>6054725.3300000001</v>
      </c>
      <c r="K53" s="188">
        <v>6054499.3300000001</v>
      </c>
      <c r="L53" s="188">
        <v>6054499.3300000001</v>
      </c>
      <c r="M53" s="70"/>
      <c r="N53" s="188">
        <v>5570124.4100000001</v>
      </c>
      <c r="O53" s="188">
        <v>5559889.6100000003</v>
      </c>
      <c r="P53" s="188">
        <v>5559688.6100000003</v>
      </c>
      <c r="Q53" s="57"/>
      <c r="R53" s="58"/>
      <c r="S53" s="188">
        <v>5559224.4100000001</v>
      </c>
      <c r="T53" s="188">
        <v>5539671.6100000003</v>
      </c>
      <c r="U53" s="188">
        <v>5539539.1100000003</v>
      </c>
      <c r="V53" s="57"/>
      <c r="W53" s="58"/>
      <c r="X53" s="188">
        <v>5737850.2999999998</v>
      </c>
      <c r="Y53" s="188">
        <v>5727497.2999999998</v>
      </c>
      <c r="Z53" s="57"/>
      <c r="AA53" s="64"/>
      <c r="AB53" s="58"/>
      <c r="AC53" s="188">
        <v>5698739.9500000002</v>
      </c>
      <c r="AD53" s="188">
        <v>5688499.75</v>
      </c>
      <c r="AE53" s="57"/>
      <c r="AF53" s="64"/>
      <c r="AG53" s="58"/>
      <c r="AH53" s="188">
        <v>5796690.8099999996</v>
      </c>
      <c r="AI53" s="57"/>
      <c r="AJ53" s="64"/>
      <c r="AK53" s="64"/>
      <c r="AL53" s="58"/>
      <c r="AM53" s="188">
        <v>5782297.1100000003</v>
      </c>
      <c r="AN53" s="135"/>
      <c r="AO53" s="135"/>
      <c r="AP53" s="135"/>
    </row>
    <row r="54" spans="1:42" x14ac:dyDescent="0.25">
      <c r="A54" t="s">
        <v>53</v>
      </c>
      <c r="B54" t="s">
        <v>38</v>
      </c>
      <c r="C54" s="212" t="str">
        <f t="shared" si="0"/>
        <v>Broward Circuit Criminal</v>
      </c>
      <c r="D54" s="188">
        <v>3753631.01</v>
      </c>
      <c r="E54" s="188">
        <v>2903228.37</v>
      </c>
      <c r="F54" s="188">
        <v>2885186.95</v>
      </c>
      <c r="G54" s="188">
        <v>2989776.07</v>
      </c>
      <c r="H54" s="70"/>
      <c r="I54" s="188">
        <v>96837.3</v>
      </c>
      <c r="J54" s="188">
        <v>174513.67</v>
      </c>
      <c r="K54" s="188">
        <v>239379.04</v>
      </c>
      <c r="L54" s="188">
        <v>303174.11</v>
      </c>
      <c r="M54" s="70"/>
      <c r="N54" s="188">
        <v>81264422</v>
      </c>
      <c r="O54" s="188">
        <v>81227377.760000005</v>
      </c>
      <c r="P54" s="188">
        <v>81251589.959999993</v>
      </c>
      <c r="Q54" s="57"/>
      <c r="R54" s="58"/>
      <c r="S54" s="188">
        <v>134251.79</v>
      </c>
      <c r="T54" s="188">
        <v>246017.49</v>
      </c>
      <c r="U54" s="188">
        <v>335989.93</v>
      </c>
      <c r="V54" s="57"/>
      <c r="W54" s="58"/>
      <c r="X54" s="188">
        <v>4927428.93</v>
      </c>
      <c r="Y54" s="188">
        <v>5003326.9800000004</v>
      </c>
      <c r="Z54" s="57"/>
      <c r="AA54" s="64"/>
      <c r="AB54" s="58"/>
      <c r="AC54" s="188">
        <v>109205.28</v>
      </c>
      <c r="AD54" s="188">
        <v>182440.15</v>
      </c>
      <c r="AE54" s="57"/>
      <c r="AF54" s="64"/>
      <c r="AG54" s="58"/>
      <c r="AH54" s="188">
        <v>4071734.64</v>
      </c>
      <c r="AI54" s="57"/>
      <c r="AJ54" s="64"/>
      <c r="AK54" s="64"/>
      <c r="AL54" s="58"/>
      <c r="AM54" s="188">
        <v>118992.06</v>
      </c>
      <c r="AN54" s="135"/>
      <c r="AO54" s="135"/>
      <c r="AP54" s="135"/>
    </row>
    <row r="55" spans="1:42" x14ac:dyDescent="0.25">
      <c r="A55" t="s">
        <v>53</v>
      </c>
      <c r="B55" t="s">
        <v>265</v>
      </c>
      <c r="C55" s="212" t="str">
        <f t="shared" si="0"/>
        <v>Broward Circuit Criminal Drug Cases</v>
      </c>
      <c r="D55" s="188">
        <v>662280.38</v>
      </c>
      <c r="E55" s="188">
        <v>289735.21999999997</v>
      </c>
      <c r="F55" s="188">
        <v>237932.42</v>
      </c>
      <c r="G55" s="188">
        <v>292208.42</v>
      </c>
      <c r="I55" s="188">
        <v>1926.97</v>
      </c>
      <c r="J55" s="188">
        <v>3439.22</v>
      </c>
      <c r="K55" s="188">
        <v>4004.71</v>
      </c>
      <c r="L55" s="188">
        <v>5162.05</v>
      </c>
      <c r="N55" s="188">
        <v>49760564.899999999</v>
      </c>
      <c r="O55" s="188">
        <v>49699618.25</v>
      </c>
      <c r="P55" s="188">
        <v>49680934.450000003</v>
      </c>
      <c r="S55" s="188">
        <v>3086.94</v>
      </c>
      <c r="T55" s="188">
        <v>5124.2299999999996</v>
      </c>
      <c r="U55" s="188">
        <v>7058.92</v>
      </c>
      <c r="X55" s="188">
        <v>1701703.7</v>
      </c>
      <c r="Y55" s="188">
        <v>1755621.5</v>
      </c>
      <c r="AC55" s="188">
        <v>2394.87</v>
      </c>
      <c r="AD55" s="188">
        <v>3110.59</v>
      </c>
      <c r="AH55" s="188">
        <v>611095.63</v>
      </c>
      <c r="AM55" s="188">
        <v>1184.4000000000001</v>
      </c>
    </row>
    <row r="56" spans="1:42" x14ac:dyDescent="0.25">
      <c r="A56" t="s">
        <v>53</v>
      </c>
      <c r="B56" t="s">
        <v>44</v>
      </c>
      <c r="C56" s="212" t="str">
        <f t="shared" si="0"/>
        <v>Broward Civil Traffic</v>
      </c>
      <c r="D56" s="188">
        <v>13772066.09</v>
      </c>
      <c r="E56" s="188">
        <v>11645747.560000001</v>
      </c>
      <c r="F56" s="188">
        <v>10760543.460000001</v>
      </c>
      <c r="G56" s="188">
        <v>10948008.51</v>
      </c>
      <c r="H56" s="70"/>
      <c r="I56" s="188">
        <v>3522949.66</v>
      </c>
      <c r="J56" s="188">
        <v>5893606.7999999998</v>
      </c>
      <c r="K56" s="188">
        <v>8387255.9000000004</v>
      </c>
      <c r="L56" s="188">
        <v>9163839.3000000007</v>
      </c>
      <c r="M56" s="70"/>
      <c r="N56" s="188">
        <v>17651385.91</v>
      </c>
      <c r="O56" s="188">
        <v>14777067.289999999</v>
      </c>
      <c r="P56" s="188">
        <v>14717017.32</v>
      </c>
      <c r="Q56" s="57"/>
      <c r="R56" s="58"/>
      <c r="S56" s="188">
        <v>3900070.84</v>
      </c>
      <c r="T56" s="188">
        <v>6209665.1500000004</v>
      </c>
      <c r="U56" s="188">
        <v>8506410.2899999991</v>
      </c>
      <c r="V56" s="57"/>
      <c r="W56" s="58"/>
      <c r="X56" s="188">
        <v>11571752.33</v>
      </c>
      <c r="Y56" s="188">
        <v>9791991.75</v>
      </c>
      <c r="Z56" s="57"/>
      <c r="AA56" s="64"/>
      <c r="AB56" s="58"/>
      <c r="AC56" s="188">
        <v>3070449.95</v>
      </c>
      <c r="AD56" s="188">
        <v>5312196.37</v>
      </c>
      <c r="AE56" s="57"/>
      <c r="AF56" s="64"/>
      <c r="AG56" s="58"/>
      <c r="AH56" s="188">
        <v>11429205.4</v>
      </c>
      <c r="AI56" s="57"/>
      <c r="AJ56" s="64"/>
      <c r="AK56" s="64"/>
      <c r="AL56" s="58"/>
      <c r="AM56" s="188">
        <v>2779491.1</v>
      </c>
      <c r="AN56" s="135"/>
      <c r="AO56" s="135"/>
      <c r="AP56" s="135"/>
    </row>
    <row r="57" spans="1:42" x14ac:dyDescent="0.25">
      <c r="A57" t="s">
        <v>53</v>
      </c>
      <c r="B57" t="s">
        <v>43</v>
      </c>
      <c r="C57" s="212" t="str">
        <f t="shared" si="0"/>
        <v>Broward County Civil</v>
      </c>
      <c r="D57" s="188">
        <v>3442528.56</v>
      </c>
      <c r="E57" s="188">
        <v>3442478.56</v>
      </c>
      <c r="F57" s="188">
        <v>3442478.56</v>
      </c>
      <c r="G57" s="188">
        <v>3442478.56</v>
      </c>
      <c r="H57" s="70"/>
      <c r="I57" s="188">
        <v>3441327.56</v>
      </c>
      <c r="J57" s="188">
        <v>3440938.56</v>
      </c>
      <c r="K57" s="188">
        <v>3440938.56</v>
      </c>
      <c r="L57" s="188">
        <v>3440938.56</v>
      </c>
      <c r="M57" s="70"/>
      <c r="N57" s="188">
        <v>3531405.16</v>
      </c>
      <c r="O57" s="188">
        <v>3530020.16</v>
      </c>
      <c r="P57" s="188">
        <v>3529141.16</v>
      </c>
      <c r="Q57" s="57"/>
      <c r="R57" s="58"/>
      <c r="S57" s="188">
        <v>3530761.16</v>
      </c>
      <c r="T57" s="188">
        <v>3529376.16</v>
      </c>
      <c r="U57" s="188">
        <v>3528497.16</v>
      </c>
      <c r="V57" s="57"/>
      <c r="W57" s="58"/>
      <c r="X57" s="188">
        <v>3764575.92</v>
      </c>
      <c r="Y57" s="188">
        <v>3764490.92</v>
      </c>
      <c r="Z57" s="57"/>
      <c r="AA57" s="64"/>
      <c r="AB57" s="58"/>
      <c r="AC57" s="188">
        <v>3763710.07</v>
      </c>
      <c r="AD57" s="188">
        <v>3763039.07</v>
      </c>
      <c r="AE57" s="57"/>
      <c r="AF57" s="64"/>
      <c r="AG57" s="58"/>
      <c r="AH57" s="188">
        <v>3421647.97</v>
      </c>
      <c r="AI57" s="57"/>
      <c r="AJ57" s="64"/>
      <c r="AK57" s="64"/>
      <c r="AL57" s="58"/>
      <c r="AM57" s="188">
        <v>3419442.97</v>
      </c>
      <c r="AN57" s="135"/>
      <c r="AO57" s="135"/>
      <c r="AP57" s="135"/>
    </row>
    <row r="58" spans="1:42" x14ac:dyDescent="0.25">
      <c r="A58" t="s">
        <v>53</v>
      </c>
      <c r="B58" t="s">
        <v>39</v>
      </c>
      <c r="C58" s="212" t="str">
        <f t="shared" si="0"/>
        <v>Broward County Criminal</v>
      </c>
      <c r="D58" s="188">
        <v>2077272.17</v>
      </c>
      <c r="E58" s="188">
        <v>2097346.64</v>
      </c>
      <c r="F58" s="188">
        <v>2063252.59</v>
      </c>
      <c r="G58" s="188">
        <v>2055867.11</v>
      </c>
      <c r="H58" s="70"/>
      <c r="I58" s="188">
        <v>283628.21000000002</v>
      </c>
      <c r="J58" s="188">
        <v>528227.94999999995</v>
      </c>
      <c r="K58" s="188">
        <v>661496.87</v>
      </c>
      <c r="L58" s="188">
        <v>735662.54</v>
      </c>
      <c r="M58" s="70"/>
      <c r="N58" s="188">
        <v>9517135.5500000007</v>
      </c>
      <c r="O58" s="188">
        <v>9493916.1099999994</v>
      </c>
      <c r="P58" s="188">
        <v>9473740.0899999999</v>
      </c>
      <c r="Q58" s="57"/>
      <c r="R58" s="58"/>
      <c r="S58" s="188">
        <v>416249.32</v>
      </c>
      <c r="T58" s="188">
        <v>689051.15</v>
      </c>
      <c r="U58" s="188">
        <v>849795.67</v>
      </c>
      <c r="V58" s="57"/>
      <c r="W58" s="58"/>
      <c r="X58" s="188">
        <v>2096169.76</v>
      </c>
      <c r="Y58" s="188">
        <v>2180330.5099999998</v>
      </c>
      <c r="Z58" s="57"/>
      <c r="AA58" s="64"/>
      <c r="AB58" s="58"/>
      <c r="AC58" s="188">
        <v>327840.25</v>
      </c>
      <c r="AD58" s="188">
        <v>564826.04</v>
      </c>
      <c r="AE58" s="57"/>
      <c r="AF58" s="64"/>
      <c r="AG58" s="58"/>
      <c r="AH58" s="188">
        <v>2020258.2</v>
      </c>
      <c r="AI58" s="57"/>
      <c r="AJ58" s="64"/>
      <c r="AK58" s="64"/>
      <c r="AL58" s="58"/>
      <c r="AM58" s="188">
        <v>310409.40000000002</v>
      </c>
      <c r="AN58" s="135"/>
      <c r="AO58" s="135"/>
      <c r="AP58" s="135"/>
    </row>
    <row r="59" spans="1:42" x14ac:dyDescent="0.25">
      <c r="A59" t="s">
        <v>53</v>
      </c>
      <c r="B59" t="s">
        <v>41</v>
      </c>
      <c r="C59" s="212" t="str">
        <f t="shared" si="0"/>
        <v>Broward Criminal Traffic</v>
      </c>
      <c r="D59" s="188">
        <v>2246078.98</v>
      </c>
      <c r="E59" s="188">
        <v>1929758.54</v>
      </c>
      <c r="F59" s="188">
        <v>1898943.29</v>
      </c>
      <c r="G59" s="188">
        <v>1896461.29</v>
      </c>
      <c r="H59" s="70"/>
      <c r="I59" s="188">
        <v>272957.12</v>
      </c>
      <c r="J59" s="188">
        <v>695437.99</v>
      </c>
      <c r="K59" s="188">
        <v>899956.24</v>
      </c>
      <c r="L59" s="188">
        <v>986234.04</v>
      </c>
      <c r="M59" s="70"/>
      <c r="N59" s="188">
        <v>11229143.74</v>
      </c>
      <c r="O59" s="188">
        <v>10979553.82</v>
      </c>
      <c r="P59" s="188">
        <v>10937803.300000001</v>
      </c>
      <c r="Q59" s="57"/>
      <c r="R59" s="58"/>
      <c r="S59" s="188">
        <v>417670.2</v>
      </c>
      <c r="T59" s="188">
        <v>955918.35</v>
      </c>
      <c r="U59" s="188">
        <v>1271992.57</v>
      </c>
      <c r="V59" s="57"/>
      <c r="W59" s="58"/>
      <c r="X59" s="188">
        <v>2473884.98</v>
      </c>
      <c r="Y59" s="188">
        <v>2343894.85</v>
      </c>
      <c r="Z59" s="57"/>
      <c r="AA59" s="64"/>
      <c r="AB59" s="58"/>
      <c r="AC59" s="188">
        <v>311501.92</v>
      </c>
      <c r="AD59" s="188">
        <v>698816.07</v>
      </c>
      <c r="AE59" s="57"/>
      <c r="AF59" s="64"/>
      <c r="AG59" s="58"/>
      <c r="AH59" s="188">
        <v>2228120.7599999998</v>
      </c>
      <c r="AI59" s="57"/>
      <c r="AJ59" s="64"/>
      <c r="AK59" s="64"/>
      <c r="AL59" s="58"/>
      <c r="AM59" s="188">
        <v>266237.15000000002</v>
      </c>
      <c r="AN59" s="135"/>
      <c r="AO59" s="135"/>
      <c r="AP59" s="135"/>
    </row>
    <row r="60" spans="1:42" x14ac:dyDescent="0.25">
      <c r="A60" t="s">
        <v>53</v>
      </c>
      <c r="B60" t="s">
        <v>46</v>
      </c>
      <c r="C60" s="212" t="str">
        <f t="shared" si="0"/>
        <v>Broward Family</v>
      </c>
      <c r="D60" s="188">
        <v>1041569.1</v>
      </c>
      <c r="E60" s="188">
        <v>1041102.1</v>
      </c>
      <c r="F60" s="188">
        <v>1041102.1</v>
      </c>
      <c r="G60" s="188">
        <v>1041102.1</v>
      </c>
      <c r="H60" s="70"/>
      <c r="I60" s="188">
        <v>1027682.82</v>
      </c>
      <c r="J60" s="188">
        <v>1030762.1</v>
      </c>
      <c r="K60" s="188">
        <v>1031946.1</v>
      </c>
      <c r="L60" s="188">
        <v>1033341.1</v>
      </c>
      <c r="M60" s="70"/>
      <c r="N60" s="188">
        <v>1105189.8999999999</v>
      </c>
      <c r="O60" s="188">
        <v>1103958.8999999999</v>
      </c>
      <c r="P60" s="188">
        <v>1103958.8999999999</v>
      </c>
      <c r="Q60" s="57"/>
      <c r="R60" s="58"/>
      <c r="S60" s="188">
        <v>1089892.7</v>
      </c>
      <c r="T60" s="188">
        <v>1091866.1399999999</v>
      </c>
      <c r="U60" s="188">
        <v>1094513.7</v>
      </c>
      <c r="V60" s="57"/>
      <c r="W60" s="58"/>
      <c r="X60" s="188">
        <v>1153691.04</v>
      </c>
      <c r="Y60" s="188">
        <v>1153272.04</v>
      </c>
      <c r="Z60" s="57"/>
      <c r="AA60" s="64"/>
      <c r="AB60" s="58"/>
      <c r="AC60" s="188">
        <v>1139644.54</v>
      </c>
      <c r="AD60" s="188">
        <v>1141510.42</v>
      </c>
      <c r="AE60" s="57"/>
      <c r="AF60" s="64"/>
      <c r="AG60" s="58"/>
      <c r="AH60" s="188">
        <v>1077759.1100000001</v>
      </c>
      <c r="AI60" s="57"/>
      <c r="AJ60" s="64"/>
      <c r="AK60" s="64"/>
      <c r="AL60" s="58"/>
      <c r="AM60" s="188">
        <v>1067893.51</v>
      </c>
      <c r="AN60" s="135"/>
      <c r="AO60" s="135"/>
      <c r="AP60" s="135"/>
    </row>
    <row r="61" spans="1:42" x14ac:dyDescent="0.25">
      <c r="A61" t="s">
        <v>53</v>
      </c>
      <c r="B61" t="s">
        <v>40</v>
      </c>
      <c r="C61" s="212" t="str">
        <f t="shared" si="0"/>
        <v>Broward Juvenile Delinquency</v>
      </c>
      <c r="D61" s="188">
        <v>184368</v>
      </c>
      <c r="E61" s="188">
        <v>195152</v>
      </c>
      <c r="F61" s="188">
        <v>195602</v>
      </c>
      <c r="G61" s="188">
        <v>195538</v>
      </c>
      <c r="H61" s="71"/>
      <c r="I61" s="188">
        <v>7002</v>
      </c>
      <c r="J61" s="188">
        <v>12097</v>
      </c>
      <c r="K61" s="188">
        <v>13652</v>
      </c>
      <c r="L61" s="188">
        <v>14453</v>
      </c>
      <c r="M61" s="71"/>
      <c r="N61" s="188">
        <v>158463</v>
      </c>
      <c r="O61" s="188">
        <v>159555</v>
      </c>
      <c r="P61" s="188">
        <v>159305</v>
      </c>
      <c r="Q61" s="59"/>
      <c r="R61" s="60"/>
      <c r="S61" s="188">
        <v>5748</v>
      </c>
      <c r="T61" s="188">
        <v>9037</v>
      </c>
      <c r="U61" s="188">
        <v>10189</v>
      </c>
      <c r="V61" s="59"/>
      <c r="W61" s="60"/>
      <c r="X61" s="188">
        <v>131072</v>
      </c>
      <c r="Y61" s="188">
        <v>130991</v>
      </c>
      <c r="Z61" s="59"/>
      <c r="AA61" s="66"/>
      <c r="AB61" s="60"/>
      <c r="AC61" s="188">
        <v>5906</v>
      </c>
      <c r="AD61" s="188">
        <v>7431</v>
      </c>
      <c r="AE61" s="59"/>
      <c r="AF61" s="66"/>
      <c r="AG61" s="60"/>
      <c r="AH61" s="188">
        <v>153485</v>
      </c>
      <c r="AI61" s="59"/>
      <c r="AJ61" s="66"/>
      <c r="AK61" s="66"/>
      <c r="AL61" s="60"/>
      <c r="AM61" s="188">
        <v>3256</v>
      </c>
    </row>
    <row r="62" spans="1:42" x14ac:dyDescent="0.25">
      <c r="A62" t="s">
        <v>53</v>
      </c>
      <c r="B62" t="s">
        <v>45</v>
      </c>
      <c r="C62" s="212" t="str">
        <f t="shared" si="0"/>
        <v>Broward Probate</v>
      </c>
      <c r="D62" s="188">
        <v>503518.7</v>
      </c>
      <c r="E62" s="188">
        <v>501966.7</v>
      </c>
      <c r="F62" s="188">
        <v>499724.7</v>
      </c>
      <c r="G62" s="188">
        <v>499635.7</v>
      </c>
      <c r="H62" s="70"/>
      <c r="I62" s="188">
        <v>502083.7</v>
      </c>
      <c r="J62" s="188">
        <v>500511.7</v>
      </c>
      <c r="K62" s="188">
        <v>498269.7</v>
      </c>
      <c r="L62" s="188">
        <v>498525.7</v>
      </c>
      <c r="M62" s="70"/>
      <c r="N62" s="188">
        <v>568684.13</v>
      </c>
      <c r="O62" s="188">
        <v>567494.63</v>
      </c>
      <c r="P62" s="188">
        <v>567409.63</v>
      </c>
      <c r="Q62" s="57"/>
      <c r="R62" s="58"/>
      <c r="S62" s="188">
        <v>565574.63</v>
      </c>
      <c r="T62" s="188">
        <v>564200.13</v>
      </c>
      <c r="U62" s="188">
        <v>564158.13</v>
      </c>
      <c r="V62" s="57"/>
      <c r="W62" s="58"/>
      <c r="X62" s="188">
        <v>625145.55000000005</v>
      </c>
      <c r="Y62" s="188">
        <v>624314.55000000005</v>
      </c>
      <c r="Z62" s="57"/>
      <c r="AA62" s="64"/>
      <c r="AB62" s="58"/>
      <c r="AC62" s="188">
        <v>622983.55000000005</v>
      </c>
      <c r="AD62" s="188">
        <v>621999.55000000005</v>
      </c>
      <c r="AE62" s="57"/>
      <c r="AF62" s="64"/>
      <c r="AG62" s="58"/>
      <c r="AH62" s="188">
        <v>507527.33</v>
      </c>
      <c r="AI62" s="57"/>
      <c r="AJ62" s="64"/>
      <c r="AK62" s="64"/>
      <c r="AL62" s="58"/>
      <c r="AM62" s="188">
        <v>506374.33</v>
      </c>
      <c r="AN62" s="135"/>
      <c r="AO62" s="135"/>
      <c r="AP62" s="135"/>
    </row>
    <row r="63" spans="1:42" x14ac:dyDescent="0.25">
      <c r="A63" t="s">
        <v>54</v>
      </c>
      <c r="B63" t="s">
        <v>42</v>
      </c>
      <c r="C63" s="212" t="str">
        <f t="shared" si="0"/>
        <v>Calhoun Circuit Civil</v>
      </c>
      <c r="D63" s="188">
        <v>17988</v>
      </c>
      <c r="E63" s="188">
        <v>17988</v>
      </c>
      <c r="F63" s="188">
        <v>17988</v>
      </c>
      <c r="G63" s="188">
        <v>17988</v>
      </c>
      <c r="H63" s="70"/>
      <c r="I63" s="188">
        <v>17988</v>
      </c>
      <c r="J63" s="188">
        <v>17988</v>
      </c>
      <c r="K63" s="188">
        <v>17988</v>
      </c>
      <c r="L63" s="188">
        <v>17988</v>
      </c>
      <c r="M63" s="70"/>
      <c r="N63" s="188">
        <v>12651</v>
      </c>
      <c r="O63" s="188">
        <v>12651</v>
      </c>
      <c r="P63" s="188">
        <v>12651</v>
      </c>
      <c r="Q63" s="57"/>
      <c r="R63" s="58"/>
      <c r="S63" s="188">
        <v>12641</v>
      </c>
      <c r="T63" s="188">
        <v>12644</v>
      </c>
      <c r="U63" s="188">
        <v>12644</v>
      </c>
      <c r="V63" s="57"/>
      <c r="W63" s="58"/>
      <c r="X63" s="188">
        <v>15688</v>
      </c>
      <c r="Y63" s="188">
        <v>15688</v>
      </c>
      <c r="Z63" s="57"/>
      <c r="AA63" s="64"/>
      <c r="AB63" s="58"/>
      <c r="AC63" s="188">
        <v>15688</v>
      </c>
      <c r="AD63" s="188">
        <v>15688</v>
      </c>
      <c r="AE63" s="57"/>
      <c r="AF63" s="64"/>
      <c r="AG63" s="58"/>
      <c r="AH63" s="188">
        <v>9322</v>
      </c>
      <c r="AI63" s="57"/>
      <c r="AJ63" s="64"/>
      <c r="AK63" s="64"/>
      <c r="AL63" s="58"/>
      <c r="AM63" s="188">
        <v>9322</v>
      </c>
      <c r="AN63" s="135"/>
      <c r="AO63" s="135"/>
      <c r="AP63" s="135"/>
    </row>
    <row r="64" spans="1:42" x14ac:dyDescent="0.25">
      <c r="A64" t="s">
        <v>54</v>
      </c>
      <c r="B64" t="s">
        <v>38</v>
      </c>
      <c r="C64" s="212" t="str">
        <f t="shared" si="0"/>
        <v>Calhoun Circuit Criminal</v>
      </c>
      <c r="D64" s="188">
        <v>49254</v>
      </c>
      <c r="E64" s="188">
        <v>49254</v>
      </c>
      <c r="F64" s="188">
        <v>49254</v>
      </c>
      <c r="G64" s="188">
        <v>48854</v>
      </c>
      <c r="H64" s="70"/>
      <c r="I64" s="188">
        <v>168</v>
      </c>
      <c r="J64" s="188">
        <v>306</v>
      </c>
      <c r="K64" s="188">
        <v>775</v>
      </c>
      <c r="L64" s="188">
        <v>1548</v>
      </c>
      <c r="M64" s="70"/>
      <c r="N64" s="188">
        <v>60538</v>
      </c>
      <c r="O64" s="188">
        <v>60538</v>
      </c>
      <c r="P64" s="188">
        <v>60538</v>
      </c>
      <c r="Q64" s="57"/>
      <c r="R64" s="58"/>
      <c r="S64" s="188">
        <v>1754</v>
      </c>
      <c r="T64" s="188">
        <v>2286</v>
      </c>
      <c r="U64" s="188">
        <v>2676</v>
      </c>
      <c r="V64" s="57"/>
      <c r="W64" s="58"/>
      <c r="X64" s="188">
        <v>66482</v>
      </c>
      <c r="Y64" s="188">
        <v>66232</v>
      </c>
      <c r="Z64" s="57"/>
      <c r="AA64" s="64"/>
      <c r="AB64" s="58"/>
      <c r="AC64" s="188">
        <v>1745</v>
      </c>
      <c r="AD64" s="188">
        <v>3299</v>
      </c>
      <c r="AE64" s="57"/>
      <c r="AF64" s="64"/>
      <c r="AG64" s="58"/>
      <c r="AH64" s="188">
        <v>65775</v>
      </c>
      <c r="AI64" s="57"/>
      <c r="AJ64" s="64"/>
      <c r="AK64" s="64"/>
      <c r="AL64" s="58"/>
      <c r="AM64" s="188">
        <v>1444</v>
      </c>
      <c r="AN64" s="135"/>
      <c r="AO64" s="135"/>
      <c r="AP64" s="135"/>
    </row>
    <row r="65" spans="1:42" x14ac:dyDescent="0.25">
      <c r="A65" t="s">
        <v>54</v>
      </c>
      <c r="B65" t="s">
        <v>265</v>
      </c>
      <c r="C65" s="212" t="str">
        <f t="shared" si="0"/>
        <v>Calhoun Circuit Criminal Drug Cases</v>
      </c>
      <c r="D65" s="188"/>
      <c r="E65" s="188"/>
      <c r="F65" s="188"/>
      <c r="G65" s="188"/>
      <c r="I65" s="188"/>
      <c r="J65" s="188"/>
      <c r="K65" s="188"/>
      <c r="L65" s="188"/>
      <c r="N65" s="188"/>
      <c r="O65" s="188"/>
      <c r="P65" s="188"/>
      <c r="S65" s="188"/>
      <c r="T65" s="188"/>
      <c r="U65" s="188"/>
      <c r="X65" s="188"/>
      <c r="Y65" s="188"/>
      <c r="AC65" s="188"/>
      <c r="AD65" s="188"/>
      <c r="AH65" s="188"/>
      <c r="AM65" s="188"/>
    </row>
    <row r="66" spans="1:42" x14ac:dyDescent="0.25">
      <c r="A66" t="s">
        <v>54</v>
      </c>
      <c r="B66" t="s">
        <v>44</v>
      </c>
      <c r="C66" s="212" t="str">
        <f t="shared" si="0"/>
        <v>Calhoun Civil Traffic</v>
      </c>
      <c r="D66" s="188">
        <v>54842</v>
      </c>
      <c r="E66" s="188">
        <v>52366</v>
      </c>
      <c r="F66" s="188">
        <v>48762</v>
      </c>
      <c r="G66" s="188">
        <v>47955</v>
      </c>
      <c r="H66" s="70"/>
      <c r="I66" s="188">
        <v>25909</v>
      </c>
      <c r="J66" s="188">
        <v>40954</v>
      </c>
      <c r="K66" s="188">
        <v>42841</v>
      </c>
      <c r="L66" s="188">
        <v>43455</v>
      </c>
      <c r="M66" s="70"/>
      <c r="N66" s="188">
        <v>71832</v>
      </c>
      <c r="O66" s="188">
        <v>69191</v>
      </c>
      <c r="P66" s="188">
        <v>64534</v>
      </c>
      <c r="Q66" s="57"/>
      <c r="R66" s="58"/>
      <c r="S66" s="188">
        <v>28578</v>
      </c>
      <c r="T66" s="188">
        <v>51420</v>
      </c>
      <c r="U66" s="188">
        <v>53415</v>
      </c>
      <c r="V66" s="57"/>
      <c r="W66" s="58"/>
      <c r="X66" s="188">
        <v>44617</v>
      </c>
      <c r="Y66" s="188">
        <v>41978</v>
      </c>
      <c r="Z66" s="57"/>
      <c r="AA66" s="64"/>
      <c r="AB66" s="58"/>
      <c r="AC66" s="188">
        <v>20498</v>
      </c>
      <c r="AD66" s="188">
        <v>29563</v>
      </c>
      <c r="AE66" s="57"/>
      <c r="AF66" s="64"/>
      <c r="AG66" s="58"/>
      <c r="AH66" s="188">
        <v>44563</v>
      </c>
      <c r="AI66" s="57"/>
      <c r="AJ66" s="64"/>
      <c r="AK66" s="64"/>
      <c r="AL66" s="58"/>
      <c r="AM66" s="188">
        <v>14839</v>
      </c>
      <c r="AN66" s="135"/>
      <c r="AO66" s="135"/>
      <c r="AP66" s="135"/>
    </row>
    <row r="67" spans="1:42" x14ac:dyDescent="0.25">
      <c r="A67" t="s">
        <v>54</v>
      </c>
      <c r="B67" t="s">
        <v>43</v>
      </c>
      <c r="C67" s="212" t="str">
        <f t="shared" ref="C67:C130" si="1">A67&amp;" "&amp;B67</f>
        <v>Calhoun County Civil</v>
      </c>
      <c r="D67" s="188">
        <v>8102</v>
      </c>
      <c r="E67" s="188">
        <v>8102</v>
      </c>
      <c r="F67" s="188">
        <v>8102</v>
      </c>
      <c r="G67" s="188">
        <v>8102</v>
      </c>
      <c r="H67" s="70"/>
      <c r="I67" s="188">
        <v>8102</v>
      </c>
      <c r="J67" s="188">
        <v>8102</v>
      </c>
      <c r="K67" s="188">
        <v>8102</v>
      </c>
      <c r="L67" s="188">
        <v>8102</v>
      </c>
      <c r="M67" s="70"/>
      <c r="N67" s="188">
        <v>9565</v>
      </c>
      <c r="O67" s="188">
        <v>9565</v>
      </c>
      <c r="P67" s="188">
        <v>9565</v>
      </c>
      <c r="Q67" s="57"/>
      <c r="R67" s="58"/>
      <c r="S67" s="188">
        <v>9380</v>
      </c>
      <c r="T67" s="188">
        <v>9565</v>
      </c>
      <c r="U67" s="188">
        <v>9565</v>
      </c>
      <c r="V67" s="57"/>
      <c r="W67" s="58"/>
      <c r="X67" s="188">
        <v>10025</v>
      </c>
      <c r="Y67" s="188">
        <v>10025</v>
      </c>
      <c r="Z67" s="57"/>
      <c r="AA67" s="64"/>
      <c r="AB67" s="58"/>
      <c r="AC67" s="188">
        <v>9830</v>
      </c>
      <c r="AD67" s="188">
        <v>10025</v>
      </c>
      <c r="AE67" s="57"/>
      <c r="AF67" s="64"/>
      <c r="AG67" s="58"/>
      <c r="AH67" s="188">
        <v>11424</v>
      </c>
      <c r="AI67" s="57"/>
      <c r="AJ67" s="64"/>
      <c r="AK67" s="64"/>
      <c r="AL67" s="58"/>
      <c r="AM67" s="188">
        <v>11421</v>
      </c>
      <c r="AN67" s="135"/>
      <c r="AO67" s="135"/>
      <c r="AP67" s="135"/>
    </row>
    <row r="68" spans="1:42" x14ac:dyDescent="0.25">
      <c r="A68" t="s">
        <v>54</v>
      </c>
      <c r="B68" t="s">
        <v>39</v>
      </c>
      <c r="C68" s="212" t="str">
        <f t="shared" si="1"/>
        <v>Calhoun County Criminal</v>
      </c>
      <c r="D68" s="188">
        <v>9211</v>
      </c>
      <c r="E68" s="188">
        <v>9211</v>
      </c>
      <c r="F68" s="188">
        <v>9111</v>
      </c>
      <c r="G68" s="188">
        <v>9114</v>
      </c>
      <c r="H68" s="70"/>
      <c r="I68" s="188">
        <v>2235</v>
      </c>
      <c r="J68" s="188">
        <v>3179</v>
      </c>
      <c r="K68" s="188">
        <v>3759</v>
      </c>
      <c r="L68" s="188">
        <v>3959</v>
      </c>
      <c r="M68" s="70"/>
      <c r="N68" s="188">
        <v>12182</v>
      </c>
      <c r="O68" s="188">
        <v>12182</v>
      </c>
      <c r="P68" s="188">
        <v>12182</v>
      </c>
      <c r="Q68" s="57"/>
      <c r="R68" s="58"/>
      <c r="S68" s="188">
        <v>722</v>
      </c>
      <c r="T68" s="188">
        <v>1524</v>
      </c>
      <c r="U68" s="188">
        <v>1816</v>
      </c>
      <c r="V68" s="57"/>
      <c r="W68" s="58"/>
      <c r="X68" s="188">
        <v>8084</v>
      </c>
      <c r="Y68" s="188">
        <v>7911</v>
      </c>
      <c r="Z68" s="57"/>
      <c r="AA68" s="64"/>
      <c r="AB68" s="58"/>
      <c r="AC68" s="188">
        <v>1590</v>
      </c>
      <c r="AD68" s="188">
        <v>2262</v>
      </c>
      <c r="AE68" s="57"/>
      <c r="AF68" s="64"/>
      <c r="AG68" s="58"/>
      <c r="AH68" s="188">
        <v>15528</v>
      </c>
      <c r="AI68" s="57"/>
      <c r="AJ68" s="64"/>
      <c r="AK68" s="64"/>
      <c r="AL68" s="58"/>
      <c r="AM68" s="188">
        <v>2123</v>
      </c>
      <c r="AN68" s="135"/>
      <c r="AO68" s="135"/>
      <c r="AP68" s="135"/>
    </row>
    <row r="69" spans="1:42" x14ac:dyDescent="0.25">
      <c r="A69" t="s">
        <v>54</v>
      </c>
      <c r="B69" t="s">
        <v>41</v>
      </c>
      <c r="C69" s="212" t="str">
        <f t="shared" si="1"/>
        <v>Calhoun Criminal Traffic</v>
      </c>
      <c r="D69" s="188">
        <v>14731</v>
      </c>
      <c r="E69" s="188">
        <v>14134</v>
      </c>
      <c r="F69" s="188">
        <v>14134</v>
      </c>
      <c r="G69" s="188">
        <v>14134</v>
      </c>
      <c r="H69" s="70"/>
      <c r="I69" s="188">
        <v>3953</v>
      </c>
      <c r="J69" s="188">
        <v>6842</v>
      </c>
      <c r="K69" s="188">
        <v>8909</v>
      </c>
      <c r="L69" s="188">
        <v>9830</v>
      </c>
      <c r="M69" s="70"/>
      <c r="N69" s="188">
        <v>13091</v>
      </c>
      <c r="O69" s="188">
        <v>13091</v>
      </c>
      <c r="P69" s="188">
        <v>13066</v>
      </c>
      <c r="Q69" s="57"/>
      <c r="R69" s="58"/>
      <c r="S69" s="188">
        <v>4249</v>
      </c>
      <c r="T69" s="188">
        <v>6010</v>
      </c>
      <c r="U69" s="188">
        <v>7313</v>
      </c>
      <c r="V69" s="57"/>
      <c r="W69" s="58"/>
      <c r="X69" s="188">
        <v>9659</v>
      </c>
      <c r="Y69" s="188">
        <v>9279</v>
      </c>
      <c r="Z69" s="57"/>
      <c r="AA69" s="64"/>
      <c r="AB69" s="58"/>
      <c r="AC69" s="188">
        <v>1309</v>
      </c>
      <c r="AD69" s="188">
        <v>2771</v>
      </c>
      <c r="AE69" s="57"/>
      <c r="AF69" s="64"/>
      <c r="AG69" s="58"/>
      <c r="AH69" s="188">
        <v>12153</v>
      </c>
      <c r="AI69" s="57"/>
      <c r="AJ69" s="64"/>
      <c r="AK69" s="64"/>
      <c r="AL69" s="58"/>
      <c r="AM69" s="188">
        <v>2856</v>
      </c>
      <c r="AN69" s="135"/>
      <c r="AO69" s="135"/>
      <c r="AP69" s="135"/>
    </row>
    <row r="70" spans="1:42" x14ac:dyDescent="0.25">
      <c r="A70" t="s">
        <v>54</v>
      </c>
      <c r="B70" t="s">
        <v>46</v>
      </c>
      <c r="C70" s="212" t="str">
        <f t="shared" si="1"/>
        <v>Calhoun Family</v>
      </c>
      <c r="D70" s="188">
        <v>9338</v>
      </c>
      <c r="E70" s="188">
        <v>9338</v>
      </c>
      <c r="F70" s="188">
        <v>9338</v>
      </c>
      <c r="G70" s="188">
        <v>9338</v>
      </c>
      <c r="H70" s="70"/>
      <c r="I70" s="188">
        <v>9338</v>
      </c>
      <c r="J70" s="188">
        <v>9338</v>
      </c>
      <c r="K70" s="188">
        <v>9338</v>
      </c>
      <c r="L70" s="188">
        <v>9338</v>
      </c>
      <c r="M70" s="70"/>
      <c r="N70" s="188">
        <v>7498</v>
      </c>
      <c r="O70" s="188">
        <v>7498</v>
      </c>
      <c r="P70" s="188">
        <v>7498</v>
      </c>
      <c r="Q70" s="57"/>
      <c r="R70" s="58"/>
      <c r="S70" s="188">
        <v>7498</v>
      </c>
      <c r="T70" s="188">
        <v>7498</v>
      </c>
      <c r="U70" s="188">
        <v>7498</v>
      </c>
      <c r="V70" s="57"/>
      <c r="W70" s="58"/>
      <c r="X70" s="188">
        <v>8216</v>
      </c>
      <c r="Y70" s="188">
        <v>8216</v>
      </c>
      <c r="Z70" s="57"/>
      <c r="AA70" s="64"/>
      <c r="AB70" s="58"/>
      <c r="AC70" s="188">
        <v>8216</v>
      </c>
      <c r="AD70" s="188">
        <v>8216</v>
      </c>
      <c r="AE70" s="57"/>
      <c r="AF70" s="64"/>
      <c r="AG70" s="58"/>
      <c r="AH70" s="188">
        <v>11020</v>
      </c>
      <c r="AI70" s="57"/>
      <c r="AJ70" s="64"/>
      <c r="AK70" s="64"/>
      <c r="AL70" s="58"/>
      <c r="AM70" s="188">
        <v>10612</v>
      </c>
      <c r="AN70" s="135"/>
      <c r="AO70" s="135"/>
      <c r="AP70" s="135"/>
    </row>
    <row r="71" spans="1:42" x14ac:dyDescent="0.25">
      <c r="A71" t="s">
        <v>54</v>
      </c>
      <c r="B71" t="s">
        <v>40</v>
      </c>
      <c r="C71" s="212" t="str">
        <f t="shared" si="1"/>
        <v>Calhoun Juvenile Delinquency</v>
      </c>
      <c r="D71" s="188">
        <v>446</v>
      </c>
      <c r="E71" s="188">
        <v>446</v>
      </c>
      <c r="F71" s="188">
        <v>396</v>
      </c>
      <c r="G71" s="188">
        <v>396</v>
      </c>
      <c r="H71" s="70"/>
      <c r="I71" s="188">
        <v>0</v>
      </c>
      <c r="J71" s="188">
        <v>0</v>
      </c>
      <c r="K71" s="188">
        <v>0</v>
      </c>
      <c r="L71" s="188">
        <v>0</v>
      </c>
      <c r="M71" s="70"/>
      <c r="N71" s="188">
        <v>409</v>
      </c>
      <c r="O71" s="188">
        <v>409</v>
      </c>
      <c r="P71" s="188">
        <v>409</v>
      </c>
      <c r="Q71" s="57"/>
      <c r="R71" s="58"/>
      <c r="S71" s="188">
        <v>50</v>
      </c>
      <c r="T71" s="188">
        <v>50</v>
      </c>
      <c r="U71" s="188">
        <v>50</v>
      </c>
      <c r="V71" s="57"/>
      <c r="W71" s="58"/>
      <c r="X71" s="188">
        <v>422</v>
      </c>
      <c r="Y71" s="188">
        <v>422</v>
      </c>
      <c r="Z71" s="57"/>
      <c r="AA71" s="64"/>
      <c r="AB71" s="58"/>
      <c r="AC71" s="188">
        <v>0</v>
      </c>
      <c r="AD71" s="188">
        <v>0</v>
      </c>
      <c r="AE71" s="57"/>
      <c r="AF71" s="64"/>
      <c r="AG71" s="58"/>
      <c r="AH71" s="188">
        <v>459</v>
      </c>
      <c r="AI71" s="57"/>
      <c r="AJ71" s="64"/>
      <c r="AK71" s="64"/>
      <c r="AL71" s="58"/>
      <c r="AM71" s="188">
        <v>0</v>
      </c>
      <c r="AN71" s="135"/>
      <c r="AO71" s="135"/>
      <c r="AP71" s="135"/>
    </row>
    <row r="72" spans="1:42" x14ac:dyDescent="0.25">
      <c r="A72" t="s">
        <v>54</v>
      </c>
      <c r="B72" t="s">
        <v>45</v>
      </c>
      <c r="C72" s="212" t="str">
        <f t="shared" si="1"/>
        <v>Calhoun Probate</v>
      </c>
      <c r="D72" s="188">
        <v>2964</v>
      </c>
      <c r="E72" s="188">
        <v>2964</v>
      </c>
      <c r="F72" s="188">
        <v>2964</v>
      </c>
      <c r="G72" s="188">
        <v>2964</v>
      </c>
      <c r="H72" s="70"/>
      <c r="I72" s="188">
        <v>2964</v>
      </c>
      <c r="J72" s="188">
        <v>2964</v>
      </c>
      <c r="K72" s="188">
        <v>2964</v>
      </c>
      <c r="L72" s="188">
        <v>2964</v>
      </c>
      <c r="M72" s="70"/>
      <c r="N72" s="188">
        <v>4205</v>
      </c>
      <c r="O72" s="188">
        <v>4205</v>
      </c>
      <c r="P72" s="188">
        <v>4205</v>
      </c>
      <c r="Q72" s="57"/>
      <c r="R72" s="58"/>
      <c r="S72" s="188">
        <v>4164</v>
      </c>
      <c r="T72" s="188">
        <v>4205</v>
      </c>
      <c r="U72" s="188">
        <v>4205</v>
      </c>
      <c r="V72" s="57"/>
      <c r="W72" s="58"/>
      <c r="X72" s="188">
        <v>5679</v>
      </c>
      <c r="Y72" s="188">
        <v>5679</v>
      </c>
      <c r="Z72" s="57"/>
      <c r="AA72" s="64"/>
      <c r="AB72" s="58"/>
      <c r="AC72" s="188">
        <v>5679</v>
      </c>
      <c r="AD72" s="188">
        <v>5679</v>
      </c>
      <c r="AE72" s="57"/>
      <c r="AF72" s="64"/>
      <c r="AG72" s="58"/>
      <c r="AH72" s="188">
        <v>1673</v>
      </c>
      <c r="AI72" s="57"/>
      <c r="AJ72" s="64"/>
      <c r="AK72" s="64"/>
      <c r="AL72" s="58"/>
      <c r="AM72" s="188">
        <v>1673</v>
      </c>
      <c r="AN72" s="135"/>
      <c r="AO72" s="135"/>
      <c r="AP72" s="135"/>
    </row>
    <row r="73" spans="1:42" x14ac:dyDescent="0.25">
      <c r="A73" t="s">
        <v>55</v>
      </c>
      <c r="B73" t="s">
        <v>42</v>
      </c>
      <c r="C73" s="212" t="str">
        <f t="shared" si="1"/>
        <v>Charlotte Circuit Civil</v>
      </c>
      <c r="D73" s="188">
        <v>429798.43</v>
      </c>
      <c r="E73" s="188">
        <v>426746.93</v>
      </c>
      <c r="F73" s="188">
        <v>426746.93</v>
      </c>
      <c r="G73" s="188">
        <v>426746.93</v>
      </c>
      <c r="H73" s="125"/>
      <c r="I73" s="188">
        <v>426746.93</v>
      </c>
      <c r="J73" s="188">
        <v>426746.93</v>
      </c>
      <c r="K73" s="188">
        <v>426746.93</v>
      </c>
      <c r="L73" s="188">
        <v>426746.93</v>
      </c>
      <c r="M73" s="125"/>
      <c r="N73" s="188">
        <v>412375.34</v>
      </c>
      <c r="O73" s="188">
        <v>412375.34</v>
      </c>
      <c r="P73" s="188">
        <v>412375.34</v>
      </c>
      <c r="Q73" s="129"/>
      <c r="R73" s="67"/>
      <c r="S73" s="188">
        <v>411775.34</v>
      </c>
      <c r="T73" s="188">
        <v>411775.34</v>
      </c>
      <c r="U73" s="188">
        <v>411775.34</v>
      </c>
      <c r="V73" s="61"/>
      <c r="W73" s="58"/>
      <c r="X73" s="188">
        <v>460244.99</v>
      </c>
      <c r="Y73" s="188">
        <v>459788.78</v>
      </c>
      <c r="Z73" s="129"/>
      <c r="AA73" s="133"/>
      <c r="AB73" s="67"/>
      <c r="AC73" s="188">
        <v>459617.49</v>
      </c>
      <c r="AD73" s="188">
        <v>459617.49</v>
      </c>
      <c r="AE73" s="61"/>
      <c r="AF73" s="65"/>
      <c r="AG73" s="58"/>
      <c r="AH73" s="188">
        <v>338056.61</v>
      </c>
      <c r="AI73" s="129"/>
      <c r="AJ73" s="133"/>
      <c r="AK73" s="133"/>
      <c r="AL73" s="67"/>
      <c r="AM73" s="188">
        <v>337956.61</v>
      </c>
      <c r="AN73" s="135"/>
      <c r="AO73" s="135"/>
      <c r="AP73" s="135"/>
    </row>
    <row r="74" spans="1:42" x14ac:dyDescent="0.25">
      <c r="A74" t="s">
        <v>55</v>
      </c>
      <c r="B74" t="s">
        <v>38</v>
      </c>
      <c r="C74" s="212" t="str">
        <f t="shared" si="1"/>
        <v>Charlotte Circuit Criminal</v>
      </c>
      <c r="D74" s="188">
        <v>402302.07</v>
      </c>
      <c r="E74" s="188">
        <v>400067.38</v>
      </c>
      <c r="F74" s="188">
        <v>399389.64</v>
      </c>
      <c r="G74" s="188">
        <v>399158.09</v>
      </c>
      <c r="H74" s="70"/>
      <c r="I74" s="188">
        <v>17543.759999999998</v>
      </c>
      <c r="J74" s="188">
        <v>35552.400000000001</v>
      </c>
      <c r="K74" s="188">
        <v>49981.14</v>
      </c>
      <c r="L74" s="188">
        <v>56527.14</v>
      </c>
      <c r="M74" s="70"/>
      <c r="N74" s="188">
        <v>314196.09999999998</v>
      </c>
      <c r="O74" s="188">
        <v>311820.7</v>
      </c>
      <c r="P74" s="188">
        <v>310124.02</v>
      </c>
      <c r="Q74" s="57"/>
      <c r="R74" s="58"/>
      <c r="S74" s="188">
        <v>20573.919999999998</v>
      </c>
      <c r="T74" s="188">
        <v>38588.07</v>
      </c>
      <c r="U74" s="188">
        <v>49287.59</v>
      </c>
      <c r="V74" s="57"/>
      <c r="W74" s="58"/>
      <c r="X74" s="188">
        <v>329956.19</v>
      </c>
      <c r="Y74" s="188">
        <v>328340.96999999997</v>
      </c>
      <c r="Z74" s="57"/>
      <c r="AA74" s="64"/>
      <c r="AB74" s="58"/>
      <c r="AC74" s="188">
        <v>25633.48</v>
      </c>
      <c r="AD74" s="188">
        <v>44836.18</v>
      </c>
      <c r="AE74" s="57"/>
      <c r="AF74" s="64"/>
      <c r="AG74" s="58"/>
      <c r="AH74" s="188">
        <v>215251.67</v>
      </c>
      <c r="AI74" s="57"/>
      <c r="AJ74" s="64"/>
      <c r="AK74" s="64"/>
      <c r="AL74" s="58"/>
      <c r="AM74" s="188">
        <v>17568.189999999999</v>
      </c>
      <c r="AN74" s="135"/>
      <c r="AO74" s="135"/>
      <c r="AP74" s="135"/>
    </row>
    <row r="75" spans="1:42" x14ac:dyDescent="0.25">
      <c r="A75" t="s">
        <v>55</v>
      </c>
      <c r="B75" t="s">
        <v>265</v>
      </c>
      <c r="C75" s="212" t="str">
        <f t="shared" si="1"/>
        <v>Charlotte Circuit Criminal Drug Cases</v>
      </c>
      <c r="D75" s="188">
        <v>53897</v>
      </c>
      <c r="E75" s="188">
        <v>53897</v>
      </c>
      <c r="F75" s="188">
        <v>53897</v>
      </c>
      <c r="G75" s="188">
        <v>53897</v>
      </c>
      <c r="I75" s="188">
        <v>0</v>
      </c>
      <c r="J75" s="188">
        <v>0</v>
      </c>
      <c r="K75" s="188">
        <v>0</v>
      </c>
      <c r="L75" s="188">
        <v>0</v>
      </c>
      <c r="N75" s="188">
        <v>715</v>
      </c>
      <c r="O75" s="188">
        <v>715</v>
      </c>
      <c r="P75" s="188">
        <v>715</v>
      </c>
      <c r="S75" s="188">
        <v>0</v>
      </c>
      <c r="T75" s="188">
        <v>0</v>
      </c>
      <c r="U75" s="188">
        <v>0</v>
      </c>
      <c r="X75" s="188">
        <v>515</v>
      </c>
      <c r="Y75" s="188">
        <v>515</v>
      </c>
      <c r="AC75" s="188">
        <v>0</v>
      </c>
      <c r="AD75" s="188">
        <v>0</v>
      </c>
      <c r="AH75" s="188">
        <v>0</v>
      </c>
      <c r="AM75" s="188">
        <v>0</v>
      </c>
    </row>
    <row r="76" spans="1:42" x14ac:dyDescent="0.25">
      <c r="A76" t="s">
        <v>55</v>
      </c>
      <c r="B76" t="s">
        <v>44</v>
      </c>
      <c r="C76" s="212" t="str">
        <f t="shared" si="1"/>
        <v>Charlotte Civil Traffic</v>
      </c>
      <c r="D76" s="188">
        <v>635721.9</v>
      </c>
      <c r="E76" s="188">
        <v>561014.18999999994</v>
      </c>
      <c r="F76" s="188">
        <v>547433.85</v>
      </c>
      <c r="G76" s="188">
        <v>545770.14</v>
      </c>
      <c r="H76" s="125"/>
      <c r="I76" s="188">
        <v>290252.93</v>
      </c>
      <c r="J76" s="188">
        <v>467526.36</v>
      </c>
      <c r="K76" s="188">
        <v>486599.67</v>
      </c>
      <c r="L76" s="188">
        <v>492974.82</v>
      </c>
      <c r="M76" s="70"/>
      <c r="N76" s="188">
        <v>643943.55000000005</v>
      </c>
      <c r="O76" s="188">
        <v>580147.12</v>
      </c>
      <c r="P76" s="188">
        <v>572320.53</v>
      </c>
      <c r="Q76" s="129"/>
      <c r="R76" s="67"/>
      <c r="S76" s="188">
        <v>351697.19</v>
      </c>
      <c r="T76" s="188">
        <v>495563.39</v>
      </c>
      <c r="U76" s="188">
        <v>514412.71</v>
      </c>
      <c r="V76" s="61"/>
      <c r="W76" s="58"/>
      <c r="X76" s="188">
        <v>591198.06999999995</v>
      </c>
      <c r="Y76" s="188">
        <v>541358.18999999994</v>
      </c>
      <c r="Z76" s="129"/>
      <c r="AA76" s="133"/>
      <c r="AB76" s="67"/>
      <c r="AC76" s="188">
        <v>280876.06</v>
      </c>
      <c r="AD76" s="188">
        <v>436930.49</v>
      </c>
      <c r="AE76" s="61"/>
      <c r="AF76" s="65"/>
      <c r="AG76" s="58"/>
      <c r="AH76" s="188">
        <v>617631.85</v>
      </c>
      <c r="AI76" s="129"/>
      <c r="AJ76" s="133"/>
      <c r="AK76" s="133"/>
      <c r="AL76" s="67"/>
      <c r="AM76" s="188">
        <v>287684.27</v>
      </c>
      <c r="AN76" s="135"/>
      <c r="AO76" s="135"/>
      <c r="AP76" s="135"/>
    </row>
    <row r="77" spans="1:42" x14ac:dyDescent="0.25">
      <c r="A77" t="s">
        <v>55</v>
      </c>
      <c r="B77" t="s">
        <v>43</v>
      </c>
      <c r="C77" s="212" t="str">
        <f t="shared" si="1"/>
        <v>Charlotte County Civil</v>
      </c>
      <c r="D77" s="188">
        <v>104359.74</v>
      </c>
      <c r="E77" s="188">
        <v>104359.74</v>
      </c>
      <c r="F77" s="188">
        <v>104359.74</v>
      </c>
      <c r="G77" s="188">
        <v>104359.74</v>
      </c>
      <c r="H77" s="125"/>
      <c r="I77" s="188">
        <v>104178.26</v>
      </c>
      <c r="J77" s="188">
        <v>104178.26</v>
      </c>
      <c r="K77" s="188">
        <v>104178.26</v>
      </c>
      <c r="L77" s="188">
        <v>104178.26</v>
      </c>
      <c r="M77" s="70"/>
      <c r="N77" s="188">
        <v>134136.15</v>
      </c>
      <c r="O77" s="188">
        <v>134136.15</v>
      </c>
      <c r="P77" s="188">
        <v>134136.15</v>
      </c>
      <c r="Q77" s="129"/>
      <c r="R77" s="67"/>
      <c r="S77" s="188">
        <v>133836.15</v>
      </c>
      <c r="T77" s="188">
        <v>133836.15</v>
      </c>
      <c r="U77" s="188">
        <v>133861.65</v>
      </c>
      <c r="V77" s="61"/>
      <c r="W77" s="58"/>
      <c r="X77" s="188">
        <v>135164.47</v>
      </c>
      <c r="Y77" s="188">
        <v>134979.47</v>
      </c>
      <c r="Z77" s="129"/>
      <c r="AA77" s="133"/>
      <c r="AB77" s="67"/>
      <c r="AC77" s="188">
        <v>134979.47</v>
      </c>
      <c r="AD77" s="188">
        <v>134979.47</v>
      </c>
      <c r="AE77" s="61"/>
      <c r="AF77" s="65"/>
      <c r="AG77" s="58"/>
      <c r="AH77" s="188">
        <v>132440.47</v>
      </c>
      <c r="AI77" s="129"/>
      <c r="AJ77" s="133"/>
      <c r="AK77" s="133"/>
      <c r="AL77" s="67"/>
      <c r="AM77" s="188">
        <v>132440.47</v>
      </c>
      <c r="AN77" s="135"/>
      <c r="AO77" s="135"/>
      <c r="AP77" s="135"/>
    </row>
    <row r="78" spans="1:42" x14ac:dyDescent="0.25">
      <c r="A78" t="s">
        <v>55</v>
      </c>
      <c r="B78" t="s">
        <v>39</v>
      </c>
      <c r="C78" s="212" t="str">
        <f t="shared" si="1"/>
        <v>Charlotte County Criminal</v>
      </c>
      <c r="D78" s="188">
        <v>248692.37</v>
      </c>
      <c r="E78" s="188">
        <v>246263.44</v>
      </c>
      <c r="F78" s="188">
        <v>241524.56</v>
      </c>
      <c r="G78" s="188">
        <v>240655.19</v>
      </c>
      <c r="H78" s="70"/>
      <c r="I78" s="188">
        <v>21804.15</v>
      </c>
      <c r="J78" s="188">
        <v>50404.84</v>
      </c>
      <c r="K78" s="188">
        <v>69921.16</v>
      </c>
      <c r="L78" s="188">
        <v>81851.08</v>
      </c>
      <c r="M78" s="70"/>
      <c r="N78" s="188">
        <v>289768.55</v>
      </c>
      <c r="O78" s="188">
        <v>287253.12</v>
      </c>
      <c r="P78" s="188">
        <v>285111.19</v>
      </c>
      <c r="Q78" s="57"/>
      <c r="R78" s="58"/>
      <c r="S78" s="188">
        <v>38701.97</v>
      </c>
      <c r="T78" s="188">
        <v>69388.75</v>
      </c>
      <c r="U78" s="188">
        <v>99470.65</v>
      </c>
      <c r="V78" s="57"/>
      <c r="W78" s="58"/>
      <c r="X78" s="188">
        <v>254291.8</v>
      </c>
      <c r="Y78" s="188">
        <v>249637.3</v>
      </c>
      <c r="Z78" s="57"/>
      <c r="AA78" s="64"/>
      <c r="AB78" s="58"/>
      <c r="AC78" s="188">
        <v>30395.49</v>
      </c>
      <c r="AD78" s="188">
        <v>54989.59</v>
      </c>
      <c r="AE78" s="57"/>
      <c r="AF78" s="64"/>
      <c r="AG78" s="58"/>
      <c r="AH78" s="188">
        <v>217515.08</v>
      </c>
      <c r="AI78" s="57"/>
      <c r="AJ78" s="64"/>
      <c r="AK78" s="64"/>
      <c r="AL78" s="58"/>
      <c r="AM78" s="188">
        <v>25333.11</v>
      </c>
      <c r="AN78" s="135"/>
      <c r="AO78" s="135"/>
      <c r="AP78" s="135"/>
    </row>
    <row r="79" spans="1:42" x14ac:dyDescent="0.25">
      <c r="A79" t="s">
        <v>55</v>
      </c>
      <c r="B79" t="s">
        <v>41</v>
      </c>
      <c r="C79" s="212" t="str">
        <f t="shared" si="1"/>
        <v>Charlotte Criminal Traffic</v>
      </c>
      <c r="D79" s="188">
        <v>287914.52</v>
      </c>
      <c r="E79" s="188">
        <v>282063.68</v>
      </c>
      <c r="F79" s="188">
        <v>278417.46000000002</v>
      </c>
      <c r="G79" s="188">
        <v>275517.15000000002</v>
      </c>
      <c r="H79" s="125"/>
      <c r="I79" s="188">
        <v>56507.25</v>
      </c>
      <c r="J79" s="188">
        <v>102973.71</v>
      </c>
      <c r="K79" s="188">
        <v>146278.79999999999</v>
      </c>
      <c r="L79" s="188">
        <v>158565.63</v>
      </c>
      <c r="M79" s="125"/>
      <c r="N79" s="188">
        <v>346432.46</v>
      </c>
      <c r="O79" s="188">
        <v>335325.78999999998</v>
      </c>
      <c r="P79" s="188">
        <v>328326.27</v>
      </c>
      <c r="Q79" s="57"/>
      <c r="R79" s="67"/>
      <c r="S79" s="188">
        <v>73069.09</v>
      </c>
      <c r="T79" s="188">
        <v>111297.87</v>
      </c>
      <c r="U79" s="188">
        <v>145857.91</v>
      </c>
      <c r="V79" s="57"/>
      <c r="W79" s="62"/>
      <c r="X79" s="188">
        <v>352964.08</v>
      </c>
      <c r="Y79" s="188">
        <v>346940.46</v>
      </c>
      <c r="Z79" s="57"/>
      <c r="AA79" s="64"/>
      <c r="AB79" s="58"/>
      <c r="AC79" s="188">
        <v>79790.44</v>
      </c>
      <c r="AD79" s="188">
        <v>124938.31</v>
      </c>
      <c r="AE79" s="57"/>
      <c r="AF79" s="64"/>
      <c r="AG79" s="58"/>
      <c r="AH79" s="188">
        <v>271438.59999999998</v>
      </c>
      <c r="AI79" s="57"/>
      <c r="AJ79" s="64"/>
      <c r="AK79" s="64"/>
      <c r="AL79" s="58"/>
      <c r="AM79" s="188">
        <v>63877.75</v>
      </c>
      <c r="AN79" s="135"/>
      <c r="AO79" s="135"/>
      <c r="AP79" s="135"/>
    </row>
    <row r="80" spans="1:42" x14ac:dyDescent="0.25">
      <c r="A80" t="s">
        <v>55</v>
      </c>
      <c r="B80" t="s">
        <v>46</v>
      </c>
      <c r="C80" s="212" t="str">
        <f t="shared" si="1"/>
        <v>Charlotte Family</v>
      </c>
      <c r="D80" s="188">
        <v>68126.98</v>
      </c>
      <c r="E80" s="188">
        <v>68126.98</v>
      </c>
      <c r="F80" s="188">
        <v>68126.98</v>
      </c>
      <c r="G80" s="188">
        <v>68126.98</v>
      </c>
      <c r="H80" s="125"/>
      <c r="I80" s="188">
        <v>68086.98</v>
      </c>
      <c r="J80" s="188">
        <v>68086.98</v>
      </c>
      <c r="K80" s="188">
        <v>68086.98</v>
      </c>
      <c r="L80" s="188">
        <v>68086.98</v>
      </c>
      <c r="M80" s="70"/>
      <c r="N80" s="188">
        <v>79491.960000000006</v>
      </c>
      <c r="O80" s="188">
        <v>79491.960000000006</v>
      </c>
      <c r="P80" s="188">
        <v>79491.960000000006</v>
      </c>
      <c r="Q80" s="129"/>
      <c r="R80" s="67"/>
      <c r="S80" s="188">
        <v>79066.5</v>
      </c>
      <c r="T80" s="188">
        <v>79066.5</v>
      </c>
      <c r="U80" s="188">
        <v>79066.5</v>
      </c>
      <c r="V80" s="61"/>
      <c r="W80" s="58"/>
      <c r="X80" s="188">
        <v>79296</v>
      </c>
      <c r="Y80" s="188">
        <v>79296</v>
      </c>
      <c r="Z80" s="129"/>
      <c r="AA80" s="133"/>
      <c r="AB80" s="67"/>
      <c r="AC80" s="188">
        <v>78866</v>
      </c>
      <c r="AD80" s="188">
        <v>78866</v>
      </c>
      <c r="AE80" s="61"/>
      <c r="AF80" s="65"/>
      <c r="AG80" s="58"/>
      <c r="AH80" s="188">
        <v>74659</v>
      </c>
      <c r="AI80" s="129"/>
      <c r="AJ80" s="133"/>
      <c r="AK80" s="133"/>
      <c r="AL80" s="67"/>
      <c r="AM80" s="188">
        <v>74652</v>
      </c>
      <c r="AN80" s="135"/>
      <c r="AO80" s="135"/>
      <c r="AP80" s="135"/>
    </row>
    <row r="81" spans="1:42" x14ac:dyDescent="0.25">
      <c r="A81" t="s">
        <v>55</v>
      </c>
      <c r="B81" t="s">
        <v>40</v>
      </c>
      <c r="C81" s="212" t="str">
        <f t="shared" si="1"/>
        <v>Charlotte Juvenile Delinquency</v>
      </c>
      <c r="D81" s="188">
        <v>11563</v>
      </c>
      <c r="E81" s="188">
        <v>11563</v>
      </c>
      <c r="F81" s="188">
        <v>11563</v>
      </c>
      <c r="G81" s="188">
        <v>11563</v>
      </c>
      <c r="H81" s="70"/>
      <c r="I81" s="188">
        <v>1121</v>
      </c>
      <c r="J81" s="188">
        <v>4316</v>
      </c>
      <c r="K81" s="188">
        <v>4366</v>
      </c>
      <c r="L81" s="188">
        <v>4546</v>
      </c>
      <c r="M81" s="70"/>
      <c r="N81" s="188">
        <v>9428</v>
      </c>
      <c r="O81" s="188">
        <v>9428</v>
      </c>
      <c r="P81" s="188">
        <v>9428</v>
      </c>
      <c r="Q81" s="57"/>
      <c r="R81" s="58"/>
      <c r="S81" s="188">
        <v>334</v>
      </c>
      <c r="T81" s="188">
        <v>1439</v>
      </c>
      <c r="U81" s="188">
        <v>3084</v>
      </c>
      <c r="V81" s="57"/>
      <c r="W81" s="58"/>
      <c r="X81" s="188">
        <v>3982</v>
      </c>
      <c r="Y81" s="188">
        <v>3882</v>
      </c>
      <c r="Z81" s="57"/>
      <c r="AA81" s="64"/>
      <c r="AB81" s="58"/>
      <c r="AC81" s="188">
        <v>407</v>
      </c>
      <c r="AD81" s="188">
        <v>507</v>
      </c>
      <c r="AE81" s="57"/>
      <c r="AF81" s="64"/>
      <c r="AG81" s="58"/>
      <c r="AH81" s="188">
        <v>5254</v>
      </c>
      <c r="AI81" s="57"/>
      <c r="AJ81" s="64"/>
      <c r="AK81" s="64"/>
      <c r="AL81" s="58"/>
      <c r="AM81" s="188">
        <v>269</v>
      </c>
      <c r="AN81" s="135"/>
      <c r="AO81" s="135"/>
      <c r="AP81" s="135"/>
    </row>
    <row r="82" spans="1:42" x14ac:dyDescent="0.25">
      <c r="A82" t="s">
        <v>55</v>
      </c>
      <c r="B82" t="s">
        <v>45</v>
      </c>
      <c r="C82" s="212" t="str">
        <f t="shared" si="1"/>
        <v>Charlotte Probate</v>
      </c>
      <c r="D82" s="188">
        <v>96801.43</v>
      </c>
      <c r="E82" s="188">
        <v>96801.43</v>
      </c>
      <c r="F82" s="188">
        <v>96801.43</v>
      </c>
      <c r="G82" s="188">
        <v>96801.43</v>
      </c>
      <c r="H82" s="125"/>
      <c r="I82" s="188">
        <v>96401.43</v>
      </c>
      <c r="J82" s="188">
        <v>96801.43</v>
      </c>
      <c r="K82" s="188">
        <v>96801.43</v>
      </c>
      <c r="L82" s="188">
        <v>96801.43</v>
      </c>
      <c r="M82" s="70"/>
      <c r="N82" s="188">
        <v>111522.15</v>
      </c>
      <c r="O82" s="188">
        <v>111522.15</v>
      </c>
      <c r="P82" s="188">
        <v>111522.15</v>
      </c>
      <c r="Q82" s="129"/>
      <c r="R82" s="67"/>
      <c r="S82" s="188">
        <v>111522.15</v>
      </c>
      <c r="T82" s="188">
        <v>111522.15</v>
      </c>
      <c r="U82" s="188">
        <v>111522.15</v>
      </c>
      <c r="V82" s="61"/>
      <c r="W82" s="58"/>
      <c r="X82" s="188">
        <v>111308.43</v>
      </c>
      <c r="Y82" s="188">
        <v>111308.43</v>
      </c>
      <c r="Z82" s="129"/>
      <c r="AA82" s="133"/>
      <c r="AB82" s="67"/>
      <c r="AC82" s="188">
        <v>111308.43</v>
      </c>
      <c r="AD82" s="188">
        <v>111308.43</v>
      </c>
      <c r="AE82" s="61"/>
      <c r="AF82" s="65"/>
      <c r="AG82" s="58"/>
      <c r="AH82" s="188">
        <v>97735.32</v>
      </c>
      <c r="AI82" s="129"/>
      <c r="AJ82" s="133"/>
      <c r="AK82" s="133"/>
      <c r="AL82" s="67"/>
      <c r="AM82" s="188">
        <v>97562.32</v>
      </c>
      <c r="AN82" s="135"/>
      <c r="AO82" s="135"/>
      <c r="AP82" s="135"/>
    </row>
    <row r="83" spans="1:42" x14ac:dyDescent="0.25">
      <c r="A83" t="s">
        <v>56</v>
      </c>
      <c r="B83" t="s">
        <v>42</v>
      </c>
      <c r="C83" s="212" t="str">
        <f t="shared" si="1"/>
        <v>Citrus Circuit Civil</v>
      </c>
      <c r="D83" s="188">
        <v>290190.98</v>
      </c>
      <c r="E83" s="188">
        <v>284095.98</v>
      </c>
      <c r="F83" s="188">
        <v>283975.98</v>
      </c>
      <c r="G83" s="188">
        <v>283965.98</v>
      </c>
      <c r="H83" s="125"/>
      <c r="I83" s="188">
        <v>268078.21000000002</v>
      </c>
      <c r="J83" s="188">
        <v>283087.61</v>
      </c>
      <c r="K83" s="188">
        <v>283438.98</v>
      </c>
      <c r="L83" s="188">
        <v>283438.98</v>
      </c>
      <c r="M83" s="70"/>
      <c r="N83" s="188">
        <v>268696.57</v>
      </c>
      <c r="O83" s="188">
        <v>266316.57</v>
      </c>
      <c r="P83" s="188">
        <v>265741.57</v>
      </c>
      <c r="Q83" s="129"/>
      <c r="R83" s="67"/>
      <c r="S83" s="188">
        <v>250601.07</v>
      </c>
      <c r="T83" s="188">
        <v>263423.07</v>
      </c>
      <c r="U83" s="188">
        <v>264643.07</v>
      </c>
      <c r="V83" s="61"/>
      <c r="W83" s="58"/>
      <c r="X83" s="188">
        <v>299766.56</v>
      </c>
      <c r="Y83" s="188">
        <v>297196.56</v>
      </c>
      <c r="Z83" s="129"/>
      <c r="AA83" s="133"/>
      <c r="AB83" s="67"/>
      <c r="AC83" s="188">
        <v>285103.43</v>
      </c>
      <c r="AD83" s="188">
        <v>293631.43</v>
      </c>
      <c r="AE83" s="61"/>
      <c r="AF83" s="65"/>
      <c r="AG83" s="58"/>
      <c r="AH83" s="188">
        <v>260816.86</v>
      </c>
      <c r="AI83" s="129"/>
      <c r="AJ83" s="133"/>
      <c r="AK83" s="133"/>
      <c r="AL83" s="67"/>
      <c r="AM83" s="188">
        <v>247996.42</v>
      </c>
      <c r="AN83" s="135"/>
      <c r="AO83" s="135"/>
      <c r="AP83" s="135"/>
    </row>
    <row r="84" spans="1:42" x14ac:dyDescent="0.25">
      <c r="A84" t="s">
        <v>56</v>
      </c>
      <c r="B84" t="s">
        <v>38</v>
      </c>
      <c r="C84" s="212" t="str">
        <f t="shared" si="1"/>
        <v>Citrus Circuit Criminal</v>
      </c>
      <c r="D84" s="188">
        <v>370304.65</v>
      </c>
      <c r="E84" s="188">
        <v>365373.65</v>
      </c>
      <c r="F84" s="188">
        <v>362785.65</v>
      </c>
      <c r="G84" s="188">
        <v>362337.65</v>
      </c>
      <c r="H84" s="125"/>
      <c r="I84" s="188">
        <v>26340.89</v>
      </c>
      <c r="J84" s="188">
        <v>37966.89</v>
      </c>
      <c r="K84" s="188">
        <v>49639.199999999997</v>
      </c>
      <c r="L84" s="188">
        <v>57764.95</v>
      </c>
      <c r="M84" s="70"/>
      <c r="N84" s="188">
        <v>419337.9</v>
      </c>
      <c r="O84" s="188">
        <v>416245.9</v>
      </c>
      <c r="P84" s="188">
        <v>415797.9</v>
      </c>
      <c r="Q84" s="129"/>
      <c r="R84" s="67"/>
      <c r="S84" s="188">
        <v>35821.4</v>
      </c>
      <c r="T84" s="188">
        <v>45338.49</v>
      </c>
      <c r="U84" s="188">
        <v>52881.84</v>
      </c>
      <c r="V84" s="61"/>
      <c r="W84" s="58"/>
      <c r="X84" s="188">
        <v>475741.85</v>
      </c>
      <c r="Y84" s="188">
        <v>477299.1</v>
      </c>
      <c r="Z84" s="129"/>
      <c r="AA84" s="133"/>
      <c r="AB84" s="67"/>
      <c r="AC84" s="188">
        <v>28290.6</v>
      </c>
      <c r="AD84" s="188">
        <v>38122.85</v>
      </c>
      <c r="AE84" s="61"/>
      <c r="AF84" s="65"/>
      <c r="AG84" s="58"/>
      <c r="AH84" s="188">
        <v>650200.43000000005</v>
      </c>
      <c r="AI84" s="129"/>
      <c r="AJ84" s="133"/>
      <c r="AK84" s="133"/>
      <c r="AL84" s="67"/>
      <c r="AM84" s="188">
        <v>21925.43</v>
      </c>
      <c r="AN84" s="135"/>
      <c r="AO84" s="135"/>
      <c r="AP84" s="135"/>
    </row>
    <row r="85" spans="1:42" x14ac:dyDescent="0.25">
      <c r="A85" t="s">
        <v>56</v>
      </c>
      <c r="B85" t="s">
        <v>265</v>
      </c>
      <c r="C85" s="212" t="str">
        <f t="shared" si="1"/>
        <v>Citrus Circuit Criminal Drug Cases</v>
      </c>
      <c r="D85" s="188">
        <v>160226</v>
      </c>
      <c r="E85" s="188">
        <v>160626</v>
      </c>
      <c r="F85" s="188">
        <v>160626</v>
      </c>
      <c r="G85" s="188">
        <v>160576</v>
      </c>
      <c r="I85" s="188">
        <v>0</v>
      </c>
      <c r="J85" s="188">
        <v>0</v>
      </c>
      <c r="K85" s="188">
        <v>50</v>
      </c>
      <c r="L85" s="188">
        <v>50</v>
      </c>
      <c r="N85" s="188">
        <v>162972</v>
      </c>
      <c r="O85" s="188">
        <v>214057</v>
      </c>
      <c r="P85" s="188">
        <v>214107</v>
      </c>
      <c r="S85" s="188">
        <v>919</v>
      </c>
      <c r="T85" s="188">
        <v>919</v>
      </c>
      <c r="U85" s="188">
        <v>919</v>
      </c>
      <c r="X85" s="188">
        <v>269272</v>
      </c>
      <c r="Y85" s="188">
        <v>271272</v>
      </c>
      <c r="AC85" s="188">
        <v>126</v>
      </c>
      <c r="AD85" s="188">
        <v>2551</v>
      </c>
      <c r="AH85" s="188">
        <v>370460</v>
      </c>
      <c r="AM85" s="188">
        <v>149</v>
      </c>
    </row>
    <row r="86" spans="1:42" x14ac:dyDescent="0.25">
      <c r="A86" t="s">
        <v>56</v>
      </c>
      <c r="B86" t="s">
        <v>44</v>
      </c>
      <c r="C86" s="212" t="str">
        <f t="shared" si="1"/>
        <v>Citrus Civil Traffic</v>
      </c>
      <c r="D86" s="188">
        <v>246211.55</v>
      </c>
      <c r="E86" s="188">
        <v>240639.35</v>
      </c>
      <c r="F86" s="188">
        <v>238404.35</v>
      </c>
      <c r="G86" s="188">
        <v>238404.35</v>
      </c>
      <c r="H86" s="125"/>
      <c r="I86" s="188">
        <v>146970.04999999999</v>
      </c>
      <c r="J86" s="188">
        <v>211313.85</v>
      </c>
      <c r="K86" s="188">
        <v>218285.85</v>
      </c>
      <c r="L86" s="188">
        <v>221542.85</v>
      </c>
      <c r="M86" s="70"/>
      <c r="N86" s="188">
        <v>254407.9</v>
      </c>
      <c r="O86" s="188">
        <v>241543.4</v>
      </c>
      <c r="P86" s="188">
        <v>241377.4</v>
      </c>
      <c r="Q86" s="129"/>
      <c r="R86" s="67"/>
      <c r="S86" s="188">
        <v>148632.20000000001</v>
      </c>
      <c r="T86" s="188">
        <v>215572.9</v>
      </c>
      <c r="U86" s="188">
        <v>222850.4</v>
      </c>
      <c r="V86" s="61"/>
      <c r="W86" s="58"/>
      <c r="X86" s="188">
        <v>287793.3</v>
      </c>
      <c r="Y86" s="188">
        <v>278395.40000000002</v>
      </c>
      <c r="Z86" s="129"/>
      <c r="AA86" s="133"/>
      <c r="AB86" s="67"/>
      <c r="AC86" s="188">
        <v>176264.8</v>
      </c>
      <c r="AD86" s="188">
        <v>241574.43</v>
      </c>
      <c r="AE86" s="61"/>
      <c r="AF86" s="65"/>
      <c r="AG86" s="58"/>
      <c r="AH86" s="188">
        <v>242805.6</v>
      </c>
      <c r="AI86" s="129"/>
      <c r="AJ86" s="133"/>
      <c r="AK86" s="133"/>
      <c r="AL86" s="67"/>
      <c r="AM86" s="188">
        <v>131588.4</v>
      </c>
      <c r="AN86" s="135"/>
      <c r="AO86" s="135"/>
      <c r="AP86" s="135"/>
    </row>
    <row r="87" spans="1:42" x14ac:dyDescent="0.25">
      <c r="A87" t="s">
        <v>56</v>
      </c>
      <c r="B87" t="s">
        <v>43</v>
      </c>
      <c r="C87" s="212" t="str">
        <f t="shared" si="1"/>
        <v>Citrus County Civil</v>
      </c>
      <c r="D87" s="188">
        <v>95216.05</v>
      </c>
      <c r="E87" s="188">
        <v>95055.17</v>
      </c>
      <c r="F87" s="188">
        <v>95055.17</v>
      </c>
      <c r="G87" s="188">
        <v>95035.17</v>
      </c>
      <c r="H87" s="125"/>
      <c r="I87" s="188">
        <v>94029.17</v>
      </c>
      <c r="J87" s="188">
        <v>94594.17</v>
      </c>
      <c r="K87" s="188">
        <v>94622.17</v>
      </c>
      <c r="L87" s="188">
        <v>94622.17</v>
      </c>
      <c r="M87" s="70"/>
      <c r="N87" s="188">
        <v>104475.23</v>
      </c>
      <c r="O87" s="188">
        <v>104328.23</v>
      </c>
      <c r="P87" s="188">
        <v>104028.23</v>
      </c>
      <c r="Q87" s="129"/>
      <c r="R87" s="67"/>
      <c r="S87" s="188">
        <v>102992.23</v>
      </c>
      <c r="T87" s="188">
        <v>103074.23</v>
      </c>
      <c r="U87" s="188">
        <v>103074.23</v>
      </c>
      <c r="V87" s="61"/>
      <c r="W87" s="58"/>
      <c r="X87" s="188">
        <v>117505.34</v>
      </c>
      <c r="Y87" s="188">
        <v>117505.34</v>
      </c>
      <c r="Z87" s="129"/>
      <c r="AA87" s="133"/>
      <c r="AB87" s="67"/>
      <c r="AC87" s="188">
        <v>116861.34</v>
      </c>
      <c r="AD87" s="188">
        <v>117302.34</v>
      </c>
      <c r="AE87" s="61"/>
      <c r="AF87" s="65"/>
      <c r="AG87" s="58"/>
      <c r="AH87" s="188">
        <v>112187.42</v>
      </c>
      <c r="AI87" s="129"/>
      <c r="AJ87" s="133"/>
      <c r="AK87" s="133"/>
      <c r="AL87" s="67"/>
      <c r="AM87" s="188">
        <v>111767.42</v>
      </c>
      <c r="AN87" s="135"/>
      <c r="AO87" s="135"/>
      <c r="AP87" s="135"/>
    </row>
    <row r="88" spans="1:42" x14ac:dyDescent="0.25">
      <c r="A88" t="s">
        <v>56</v>
      </c>
      <c r="B88" t="s">
        <v>39</v>
      </c>
      <c r="C88" s="212" t="str">
        <f t="shared" si="1"/>
        <v>Citrus County Criminal</v>
      </c>
      <c r="D88" s="188">
        <v>125984.63</v>
      </c>
      <c r="E88" s="188">
        <v>124441.63</v>
      </c>
      <c r="F88" s="188">
        <v>124274.63</v>
      </c>
      <c r="G88" s="188">
        <v>124232.63</v>
      </c>
      <c r="H88" s="125"/>
      <c r="I88" s="188">
        <v>32281.48</v>
      </c>
      <c r="J88" s="188">
        <v>48886.41</v>
      </c>
      <c r="K88" s="188">
        <v>57930.91</v>
      </c>
      <c r="L88" s="188">
        <v>63412.91</v>
      </c>
      <c r="M88" s="70"/>
      <c r="N88" s="188">
        <v>131257.89000000001</v>
      </c>
      <c r="O88" s="188">
        <v>129421.39</v>
      </c>
      <c r="P88" s="188">
        <v>129772.39</v>
      </c>
      <c r="Q88" s="129"/>
      <c r="R88" s="67"/>
      <c r="S88" s="188">
        <v>28656.62</v>
      </c>
      <c r="T88" s="188">
        <v>43552.46</v>
      </c>
      <c r="U88" s="188">
        <v>53333.99</v>
      </c>
      <c r="V88" s="61"/>
      <c r="W88" s="58"/>
      <c r="X88" s="188">
        <v>143713.60999999999</v>
      </c>
      <c r="Y88" s="188">
        <v>140141.60999999999</v>
      </c>
      <c r="Z88" s="129"/>
      <c r="AA88" s="133"/>
      <c r="AB88" s="67"/>
      <c r="AC88" s="188">
        <v>38842.980000000003</v>
      </c>
      <c r="AD88" s="188">
        <v>56216.21</v>
      </c>
      <c r="AE88" s="61"/>
      <c r="AF88" s="65"/>
      <c r="AG88" s="58"/>
      <c r="AH88" s="188">
        <v>135153.48000000001</v>
      </c>
      <c r="AI88" s="129"/>
      <c r="AJ88" s="133"/>
      <c r="AK88" s="133"/>
      <c r="AL88" s="67"/>
      <c r="AM88" s="188">
        <v>42955.5</v>
      </c>
      <c r="AN88" s="135"/>
      <c r="AO88" s="135"/>
      <c r="AP88" s="135"/>
    </row>
    <row r="89" spans="1:42" x14ac:dyDescent="0.25">
      <c r="A89" t="s">
        <v>56</v>
      </c>
      <c r="B89" t="s">
        <v>41</v>
      </c>
      <c r="C89" s="212" t="str">
        <f t="shared" si="1"/>
        <v>Citrus Criminal Traffic</v>
      </c>
      <c r="D89" s="188">
        <v>121015.94</v>
      </c>
      <c r="E89" s="188">
        <v>120825.94</v>
      </c>
      <c r="F89" s="188">
        <v>120775.94</v>
      </c>
      <c r="G89" s="188">
        <v>120725.94</v>
      </c>
      <c r="H89" s="125"/>
      <c r="I89" s="188">
        <v>27255.86</v>
      </c>
      <c r="J89" s="188">
        <v>41304.53</v>
      </c>
      <c r="K89" s="188">
        <v>50337.26</v>
      </c>
      <c r="L89" s="188">
        <v>55605.89</v>
      </c>
      <c r="M89" s="70"/>
      <c r="N89" s="188">
        <v>124307.9</v>
      </c>
      <c r="O89" s="188">
        <v>126247.8</v>
      </c>
      <c r="P89" s="188">
        <v>125751.8</v>
      </c>
      <c r="Q89" s="129"/>
      <c r="R89" s="67"/>
      <c r="S89" s="188">
        <v>36576.92</v>
      </c>
      <c r="T89" s="188">
        <v>48683.839999999997</v>
      </c>
      <c r="U89" s="188">
        <v>59330.32</v>
      </c>
      <c r="V89" s="61"/>
      <c r="W89" s="58"/>
      <c r="X89" s="188">
        <v>101801.09</v>
      </c>
      <c r="Y89" s="188">
        <v>102027.09</v>
      </c>
      <c r="Z89" s="129"/>
      <c r="AA89" s="133"/>
      <c r="AB89" s="67"/>
      <c r="AC89" s="188">
        <v>28045.439999999999</v>
      </c>
      <c r="AD89" s="188">
        <v>41916.660000000003</v>
      </c>
      <c r="AE89" s="61"/>
      <c r="AF89" s="65"/>
      <c r="AG89" s="58"/>
      <c r="AH89" s="188">
        <v>87654.66</v>
      </c>
      <c r="AI89" s="129"/>
      <c r="AJ89" s="133"/>
      <c r="AK89" s="133"/>
      <c r="AL89" s="67"/>
      <c r="AM89" s="188">
        <v>24024.47</v>
      </c>
      <c r="AN89" s="135"/>
      <c r="AO89" s="135"/>
      <c r="AP89" s="135"/>
    </row>
    <row r="90" spans="1:42" x14ac:dyDescent="0.25">
      <c r="A90" t="s">
        <v>56</v>
      </c>
      <c r="B90" t="s">
        <v>46</v>
      </c>
      <c r="C90" s="212" t="str">
        <f t="shared" si="1"/>
        <v>Citrus Family</v>
      </c>
      <c r="D90" s="188">
        <v>73963.679999999993</v>
      </c>
      <c r="E90" s="188">
        <v>73261.679999999993</v>
      </c>
      <c r="F90" s="188">
        <v>73261.679999999993</v>
      </c>
      <c r="G90" s="188">
        <v>73261.679999999993</v>
      </c>
      <c r="H90" s="125"/>
      <c r="I90" s="188">
        <v>60240.53</v>
      </c>
      <c r="J90" s="188">
        <v>68090.03</v>
      </c>
      <c r="K90" s="188">
        <v>68468.03</v>
      </c>
      <c r="L90" s="188">
        <v>68675.53</v>
      </c>
      <c r="M90" s="70"/>
      <c r="N90" s="188">
        <v>84432.63</v>
      </c>
      <c r="O90" s="188">
        <v>82000.13</v>
      </c>
      <c r="P90" s="188">
        <v>81601.63</v>
      </c>
      <c r="Q90" s="129"/>
      <c r="R90" s="67"/>
      <c r="S90" s="188">
        <v>68708.149999999994</v>
      </c>
      <c r="T90" s="188">
        <v>72709.13</v>
      </c>
      <c r="U90" s="188">
        <v>73406.13</v>
      </c>
      <c r="V90" s="61"/>
      <c r="W90" s="58"/>
      <c r="X90" s="188">
        <v>82230.75</v>
      </c>
      <c r="Y90" s="188">
        <v>80400.75</v>
      </c>
      <c r="Z90" s="129"/>
      <c r="AA90" s="133"/>
      <c r="AB90" s="67"/>
      <c r="AC90" s="188">
        <v>62840.75</v>
      </c>
      <c r="AD90" s="188">
        <v>67691.25</v>
      </c>
      <c r="AE90" s="61"/>
      <c r="AF90" s="65"/>
      <c r="AG90" s="58"/>
      <c r="AH90" s="188">
        <v>76917.47</v>
      </c>
      <c r="AI90" s="129"/>
      <c r="AJ90" s="133"/>
      <c r="AK90" s="133"/>
      <c r="AL90" s="67"/>
      <c r="AM90" s="188">
        <v>61907.47</v>
      </c>
      <c r="AN90" s="135"/>
      <c r="AO90" s="135"/>
      <c r="AP90" s="135"/>
    </row>
    <row r="91" spans="1:42" x14ac:dyDescent="0.25">
      <c r="A91" t="s">
        <v>56</v>
      </c>
      <c r="B91" t="s">
        <v>40</v>
      </c>
      <c r="C91" s="212" t="str">
        <f t="shared" si="1"/>
        <v>Citrus Juvenile Delinquency</v>
      </c>
      <c r="D91" s="188">
        <v>4933</v>
      </c>
      <c r="E91" s="188">
        <v>4933</v>
      </c>
      <c r="F91" s="188">
        <v>4683</v>
      </c>
      <c r="G91" s="188">
        <v>3994</v>
      </c>
      <c r="H91" s="125"/>
      <c r="I91" s="188">
        <v>313</v>
      </c>
      <c r="J91" s="188">
        <v>688</v>
      </c>
      <c r="K91" s="188">
        <v>896</v>
      </c>
      <c r="L91" s="188">
        <v>1156</v>
      </c>
      <c r="M91" s="70"/>
      <c r="N91" s="188">
        <v>3037</v>
      </c>
      <c r="O91" s="188">
        <v>2987</v>
      </c>
      <c r="P91" s="188">
        <v>2987</v>
      </c>
      <c r="Q91" s="129"/>
      <c r="R91" s="67"/>
      <c r="S91" s="188">
        <v>722</v>
      </c>
      <c r="T91" s="188">
        <v>1103</v>
      </c>
      <c r="U91" s="188">
        <v>1103</v>
      </c>
      <c r="V91" s="61"/>
      <c r="W91" s="58"/>
      <c r="X91" s="188">
        <v>6125</v>
      </c>
      <c r="Y91" s="188">
        <v>5925</v>
      </c>
      <c r="Z91" s="129"/>
      <c r="AA91" s="133"/>
      <c r="AB91" s="67"/>
      <c r="AC91" s="188">
        <v>1014</v>
      </c>
      <c r="AD91" s="188">
        <v>1443</v>
      </c>
      <c r="AE91" s="61"/>
      <c r="AF91" s="65"/>
      <c r="AG91" s="58"/>
      <c r="AH91" s="188">
        <v>3681.5</v>
      </c>
      <c r="AI91" s="129"/>
      <c r="AJ91" s="133"/>
      <c r="AK91" s="133"/>
      <c r="AL91" s="67"/>
      <c r="AM91" s="188">
        <v>417.5</v>
      </c>
      <c r="AN91" s="135"/>
      <c r="AO91" s="135"/>
      <c r="AP91" s="135"/>
    </row>
    <row r="92" spans="1:42" x14ac:dyDescent="0.25">
      <c r="A92" t="s">
        <v>56</v>
      </c>
      <c r="B92" t="s">
        <v>45</v>
      </c>
      <c r="C92" s="212" t="str">
        <f t="shared" si="1"/>
        <v>Citrus Probate</v>
      </c>
      <c r="D92" s="188">
        <v>79289.11</v>
      </c>
      <c r="E92" s="188">
        <v>76167.600000000006</v>
      </c>
      <c r="F92" s="188">
        <v>76167.600000000006</v>
      </c>
      <c r="G92" s="188">
        <v>75536.600000000006</v>
      </c>
      <c r="H92" s="125"/>
      <c r="I92" s="188">
        <v>72299.05</v>
      </c>
      <c r="J92" s="188">
        <v>73210.070000000007</v>
      </c>
      <c r="K92" s="188">
        <v>73210.070000000007</v>
      </c>
      <c r="L92" s="188">
        <v>73210.070000000007</v>
      </c>
      <c r="M92" s="70"/>
      <c r="N92" s="188">
        <v>81672.25</v>
      </c>
      <c r="O92" s="188">
        <v>78392.210000000006</v>
      </c>
      <c r="P92" s="188">
        <v>77761.210000000006</v>
      </c>
      <c r="Q92" s="129"/>
      <c r="R92" s="67"/>
      <c r="S92" s="188">
        <v>75696</v>
      </c>
      <c r="T92" s="188">
        <v>76096</v>
      </c>
      <c r="U92" s="188">
        <v>76098.039999999994</v>
      </c>
      <c r="V92" s="61"/>
      <c r="W92" s="58"/>
      <c r="X92" s="188">
        <v>79888.210000000006</v>
      </c>
      <c r="Y92" s="188">
        <v>79888.210000000006</v>
      </c>
      <c r="Z92" s="129"/>
      <c r="AA92" s="133"/>
      <c r="AB92" s="67"/>
      <c r="AC92" s="188">
        <v>78452.19</v>
      </c>
      <c r="AD92" s="188">
        <v>78620.210000000006</v>
      </c>
      <c r="AE92" s="61"/>
      <c r="AF92" s="65"/>
      <c r="AG92" s="58"/>
      <c r="AH92" s="188">
        <v>91907.36</v>
      </c>
      <c r="AI92" s="129"/>
      <c r="AJ92" s="133"/>
      <c r="AK92" s="133"/>
      <c r="AL92" s="67"/>
      <c r="AM92" s="188">
        <v>87469.83</v>
      </c>
      <c r="AN92" s="135"/>
      <c r="AO92" s="135"/>
      <c r="AP92" s="135"/>
    </row>
    <row r="93" spans="1:42" x14ac:dyDescent="0.25">
      <c r="A93" t="s">
        <v>57</v>
      </c>
      <c r="B93" t="s">
        <v>42</v>
      </c>
      <c r="C93" s="212" t="str">
        <f t="shared" si="1"/>
        <v>Clay Circuit Civil</v>
      </c>
      <c r="D93" s="188">
        <v>408274</v>
      </c>
      <c r="E93" s="188">
        <v>407334</v>
      </c>
      <c r="F93" s="188">
        <v>405969</v>
      </c>
      <c r="G93" s="188">
        <v>404947</v>
      </c>
      <c r="H93" s="125"/>
      <c r="I93" s="188">
        <v>402917</v>
      </c>
      <c r="J93" s="188">
        <v>406029</v>
      </c>
      <c r="K93" s="188">
        <v>404614</v>
      </c>
      <c r="L93" s="188">
        <v>403591</v>
      </c>
      <c r="M93" s="70"/>
      <c r="N93" s="188">
        <v>394462</v>
      </c>
      <c r="O93" s="188">
        <v>394062</v>
      </c>
      <c r="P93" s="188">
        <v>394062</v>
      </c>
      <c r="Q93" s="129"/>
      <c r="R93" s="67"/>
      <c r="S93" s="188">
        <v>394030</v>
      </c>
      <c r="T93" s="188">
        <v>394030</v>
      </c>
      <c r="U93" s="188">
        <v>394030</v>
      </c>
      <c r="V93" s="61"/>
      <c r="W93" s="58"/>
      <c r="X93" s="188">
        <v>375720</v>
      </c>
      <c r="Y93" s="188">
        <v>373780</v>
      </c>
      <c r="Z93" s="129"/>
      <c r="AA93" s="133"/>
      <c r="AB93" s="67"/>
      <c r="AC93" s="188">
        <v>375138</v>
      </c>
      <c r="AD93" s="188">
        <v>373302</v>
      </c>
      <c r="AE93" s="61"/>
      <c r="AF93" s="65"/>
      <c r="AG93" s="58"/>
      <c r="AH93" s="188">
        <v>340771</v>
      </c>
      <c r="AI93" s="129"/>
      <c r="AJ93" s="133"/>
      <c r="AK93" s="133"/>
      <c r="AL93" s="67"/>
      <c r="AM93" s="188">
        <v>339782</v>
      </c>
      <c r="AN93" s="135"/>
      <c r="AO93" s="135"/>
      <c r="AP93" s="135"/>
    </row>
    <row r="94" spans="1:42" x14ac:dyDescent="0.25">
      <c r="A94" t="s">
        <v>57</v>
      </c>
      <c r="B94" t="s">
        <v>38</v>
      </c>
      <c r="C94" s="212" t="str">
        <f t="shared" si="1"/>
        <v>Clay Circuit Criminal</v>
      </c>
      <c r="D94" s="188">
        <v>332758</v>
      </c>
      <c r="E94" s="188">
        <v>275778</v>
      </c>
      <c r="F94" s="188">
        <v>275728</v>
      </c>
      <c r="G94" s="188">
        <v>275678</v>
      </c>
      <c r="H94" s="125"/>
      <c r="I94" s="188">
        <v>21460</v>
      </c>
      <c r="J94" s="188">
        <v>31260</v>
      </c>
      <c r="K94" s="188">
        <v>36020</v>
      </c>
      <c r="L94" s="188">
        <v>44639</v>
      </c>
      <c r="M94" s="70"/>
      <c r="N94" s="188">
        <v>1424281</v>
      </c>
      <c r="O94" s="188">
        <v>1424281</v>
      </c>
      <c r="P94" s="188">
        <v>1424069</v>
      </c>
      <c r="Q94" s="129"/>
      <c r="R94" s="67"/>
      <c r="S94" s="188">
        <v>188349</v>
      </c>
      <c r="T94" s="188">
        <v>197998</v>
      </c>
      <c r="U94" s="188">
        <v>205986</v>
      </c>
      <c r="V94" s="61"/>
      <c r="W94" s="58"/>
      <c r="X94" s="188">
        <v>980843</v>
      </c>
      <c r="Y94" s="188">
        <v>452349</v>
      </c>
      <c r="Z94" s="129"/>
      <c r="AA94" s="133"/>
      <c r="AB94" s="67"/>
      <c r="AC94" s="188">
        <v>41413</v>
      </c>
      <c r="AD94" s="188">
        <v>59903</v>
      </c>
      <c r="AE94" s="61"/>
      <c r="AF94" s="65"/>
      <c r="AG94" s="58"/>
      <c r="AH94" s="188">
        <v>914710</v>
      </c>
      <c r="AI94" s="129"/>
      <c r="AJ94" s="133"/>
      <c r="AK94" s="133"/>
      <c r="AL94" s="67"/>
      <c r="AM94" s="188">
        <v>43911</v>
      </c>
      <c r="AN94" s="135"/>
      <c r="AO94" s="135"/>
      <c r="AP94" s="135"/>
    </row>
    <row r="95" spans="1:42" x14ac:dyDescent="0.25">
      <c r="A95" t="s">
        <v>57</v>
      </c>
      <c r="B95" t="s">
        <v>265</v>
      </c>
      <c r="C95" s="212" t="str">
        <f t="shared" si="1"/>
        <v>Clay Circuit Criminal Drug Cases</v>
      </c>
      <c r="D95" s="188"/>
      <c r="E95" s="188"/>
      <c r="F95" s="188"/>
      <c r="G95" s="188"/>
      <c r="I95" s="188"/>
      <c r="J95" s="188"/>
      <c r="K95" s="188"/>
      <c r="L95" s="188"/>
      <c r="N95" s="188"/>
      <c r="O95" s="188"/>
      <c r="P95" s="188"/>
      <c r="S95" s="188"/>
      <c r="T95" s="188"/>
      <c r="U95" s="188"/>
      <c r="X95" s="188"/>
      <c r="Y95" s="188"/>
      <c r="AC95" s="188"/>
      <c r="AD95" s="188"/>
      <c r="AH95" s="188"/>
      <c r="AM95" s="188"/>
    </row>
    <row r="96" spans="1:42" x14ac:dyDescent="0.25">
      <c r="A96" t="s">
        <v>57</v>
      </c>
      <c r="B96" t="s">
        <v>44</v>
      </c>
      <c r="C96" s="212" t="str">
        <f t="shared" si="1"/>
        <v>Clay Civil Traffic</v>
      </c>
      <c r="D96" s="188">
        <v>851349</v>
      </c>
      <c r="E96" s="188">
        <v>743871</v>
      </c>
      <c r="F96" s="188">
        <v>720269</v>
      </c>
      <c r="G96" s="188">
        <v>713630</v>
      </c>
      <c r="H96" s="125"/>
      <c r="I96" s="188">
        <v>242328</v>
      </c>
      <c r="J96" s="188">
        <v>570617</v>
      </c>
      <c r="K96" s="188">
        <v>619123</v>
      </c>
      <c r="L96" s="188">
        <v>632314</v>
      </c>
      <c r="M96" s="70"/>
      <c r="N96" s="188">
        <v>855425</v>
      </c>
      <c r="O96" s="188">
        <v>760497</v>
      </c>
      <c r="P96" s="188">
        <v>735360</v>
      </c>
      <c r="Q96" s="129"/>
      <c r="R96" s="67"/>
      <c r="S96" s="188">
        <v>323349</v>
      </c>
      <c r="T96" s="188">
        <v>569737</v>
      </c>
      <c r="U96" s="188">
        <v>615292</v>
      </c>
      <c r="V96" s="61"/>
      <c r="W96" s="58"/>
      <c r="X96" s="188">
        <v>1042706</v>
      </c>
      <c r="Y96" s="188">
        <v>944823</v>
      </c>
      <c r="Z96" s="129"/>
      <c r="AA96" s="133"/>
      <c r="AB96" s="67"/>
      <c r="AC96" s="188">
        <v>326449</v>
      </c>
      <c r="AD96" s="188">
        <v>707809</v>
      </c>
      <c r="AE96" s="61"/>
      <c r="AF96" s="65"/>
      <c r="AG96" s="58"/>
      <c r="AH96" s="188">
        <v>1016165</v>
      </c>
      <c r="AI96" s="129"/>
      <c r="AJ96" s="133"/>
      <c r="AK96" s="133"/>
      <c r="AL96" s="67"/>
      <c r="AM96" s="188">
        <v>353020</v>
      </c>
      <c r="AN96" s="135"/>
      <c r="AO96" s="135"/>
      <c r="AP96" s="135"/>
    </row>
    <row r="97" spans="1:42" x14ac:dyDescent="0.25">
      <c r="A97" t="s">
        <v>57</v>
      </c>
      <c r="B97" t="s">
        <v>43</v>
      </c>
      <c r="C97" s="212" t="str">
        <f t="shared" si="1"/>
        <v>Clay County Civil</v>
      </c>
      <c r="D97" s="188">
        <v>175206</v>
      </c>
      <c r="E97" s="188">
        <v>174989</v>
      </c>
      <c r="F97" s="188">
        <v>174989</v>
      </c>
      <c r="G97" s="188">
        <v>173876</v>
      </c>
      <c r="H97" s="125"/>
      <c r="I97" s="188">
        <v>175204</v>
      </c>
      <c r="J97" s="188">
        <v>174989</v>
      </c>
      <c r="K97" s="188">
        <v>174989</v>
      </c>
      <c r="L97" s="188">
        <v>173876</v>
      </c>
      <c r="M97" s="70"/>
      <c r="N97" s="188">
        <v>135134</v>
      </c>
      <c r="O97" s="188">
        <v>135134</v>
      </c>
      <c r="P97" s="188">
        <v>134214</v>
      </c>
      <c r="Q97" s="129"/>
      <c r="R97" s="67"/>
      <c r="S97" s="188">
        <v>134913</v>
      </c>
      <c r="T97" s="188">
        <v>134923</v>
      </c>
      <c r="U97" s="188">
        <v>134208</v>
      </c>
      <c r="V97" s="61"/>
      <c r="W97" s="58"/>
      <c r="X97" s="188">
        <v>166020</v>
      </c>
      <c r="Y97" s="188">
        <v>163695</v>
      </c>
      <c r="Z97" s="129"/>
      <c r="AA97" s="133"/>
      <c r="AB97" s="67"/>
      <c r="AC97" s="188">
        <v>165350</v>
      </c>
      <c r="AD97" s="188">
        <v>163695</v>
      </c>
      <c r="AE97" s="61"/>
      <c r="AF97" s="65"/>
      <c r="AG97" s="58"/>
      <c r="AH97" s="188">
        <v>138113</v>
      </c>
      <c r="AI97" s="129"/>
      <c r="AJ97" s="133"/>
      <c r="AK97" s="133"/>
      <c r="AL97" s="67"/>
      <c r="AM97" s="188">
        <v>137704</v>
      </c>
      <c r="AN97" s="135"/>
      <c r="AO97" s="135"/>
      <c r="AP97" s="135"/>
    </row>
    <row r="98" spans="1:42" x14ac:dyDescent="0.25">
      <c r="A98" t="s">
        <v>57</v>
      </c>
      <c r="B98" t="s">
        <v>39</v>
      </c>
      <c r="C98" s="212" t="str">
        <f t="shared" si="1"/>
        <v>Clay County Criminal</v>
      </c>
      <c r="D98" s="188">
        <v>215016</v>
      </c>
      <c r="E98" s="188">
        <v>212066</v>
      </c>
      <c r="F98" s="188">
        <v>211782</v>
      </c>
      <c r="G98" s="188">
        <v>210858</v>
      </c>
      <c r="H98" s="125"/>
      <c r="I98" s="188">
        <v>38785</v>
      </c>
      <c r="J98" s="188">
        <v>83201</v>
      </c>
      <c r="K98" s="188">
        <v>101000</v>
      </c>
      <c r="L98" s="188">
        <v>114428</v>
      </c>
      <c r="M98" s="70"/>
      <c r="N98" s="188">
        <v>201516</v>
      </c>
      <c r="O98" s="188">
        <v>201449</v>
      </c>
      <c r="P98" s="188">
        <v>195236</v>
      </c>
      <c r="Q98" s="129"/>
      <c r="R98" s="67"/>
      <c r="S98" s="188">
        <v>48340</v>
      </c>
      <c r="T98" s="188">
        <v>85390</v>
      </c>
      <c r="U98" s="188">
        <v>102905</v>
      </c>
      <c r="V98" s="61"/>
      <c r="W98" s="58"/>
      <c r="X98" s="188">
        <v>203692</v>
      </c>
      <c r="Y98" s="188">
        <v>199217</v>
      </c>
      <c r="Z98" s="129"/>
      <c r="AA98" s="133"/>
      <c r="AB98" s="67"/>
      <c r="AC98" s="188">
        <v>36244</v>
      </c>
      <c r="AD98" s="188">
        <v>72041</v>
      </c>
      <c r="AE98" s="61"/>
      <c r="AF98" s="65"/>
      <c r="AG98" s="58"/>
      <c r="AH98" s="188">
        <v>245265</v>
      </c>
      <c r="AI98" s="129"/>
      <c r="AJ98" s="133"/>
      <c r="AK98" s="133"/>
      <c r="AL98" s="67"/>
      <c r="AM98" s="188">
        <v>41548</v>
      </c>
      <c r="AN98" s="135"/>
      <c r="AO98" s="135"/>
      <c r="AP98" s="135"/>
    </row>
    <row r="99" spans="1:42" x14ac:dyDescent="0.25">
      <c r="A99" t="s">
        <v>57</v>
      </c>
      <c r="B99" t="s">
        <v>41</v>
      </c>
      <c r="C99" s="212" t="str">
        <f t="shared" si="1"/>
        <v>Clay Criminal Traffic</v>
      </c>
      <c r="D99" s="188">
        <v>217755</v>
      </c>
      <c r="E99" s="188">
        <v>216694</v>
      </c>
      <c r="F99" s="188">
        <v>216615</v>
      </c>
      <c r="G99" s="188">
        <v>216551</v>
      </c>
      <c r="H99" s="125"/>
      <c r="I99" s="188">
        <v>54507</v>
      </c>
      <c r="J99" s="188">
        <v>108331</v>
      </c>
      <c r="K99" s="188">
        <v>132203</v>
      </c>
      <c r="L99" s="188">
        <v>144468</v>
      </c>
      <c r="M99" s="70"/>
      <c r="N99" s="188">
        <v>259855</v>
      </c>
      <c r="O99" s="188">
        <v>259102</v>
      </c>
      <c r="P99" s="188">
        <v>259095</v>
      </c>
      <c r="Q99" s="129"/>
      <c r="R99" s="67"/>
      <c r="S99" s="188">
        <v>72816</v>
      </c>
      <c r="T99" s="188">
        <v>129362</v>
      </c>
      <c r="U99" s="188">
        <v>155288</v>
      </c>
      <c r="V99" s="61"/>
      <c r="W99" s="58"/>
      <c r="X99" s="188">
        <v>233821</v>
      </c>
      <c r="Y99" s="188">
        <v>232963</v>
      </c>
      <c r="Z99" s="129"/>
      <c r="AA99" s="133"/>
      <c r="AB99" s="67"/>
      <c r="AC99" s="188">
        <v>51163</v>
      </c>
      <c r="AD99" s="188">
        <v>106151</v>
      </c>
      <c r="AE99" s="61"/>
      <c r="AF99" s="65"/>
      <c r="AG99" s="58"/>
      <c r="AH99" s="188">
        <v>277673</v>
      </c>
      <c r="AI99" s="129"/>
      <c r="AJ99" s="133"/>
      <c r="AK99" s="133"/>
      <c r="AL99" s="67"/>
      <c r="AM99" s="188">
        <v>71919</v>
      </c>
      <c r="AN99" s="135"/>
      <c r="AO99" s="135"/>
      <c r="AP99" s="135"/>
    </row>
    <row r="100" spans="1:42" x14ac:dyDescent="0.25">
      <c r="A100" t="s">
        <v>57</v>
      </c>
      <c r="B100" t="s">
        <v>46</v>
      </c>
      <c r="C100" s="212" t="str">
        <f t="shared" si="1"/>
        <v>Clay Family</v>
      </c>
      <c r="D100" s="188">
        <v>98032</v>
      </c>
      <c r="E100" s="188">
        <v>95440</v>
      </c>
      <c r="F100" s="188">
        <v>95390</v>
      </c>
      <c r="G100" s="188">
        <v>95390</v>
      </c>
      <c r="H100" s="125"/>
      <c r="I100" s="188">
        <v>94092</v>
      </c>
      <c r="J100" s="188">
        <v>94092</v>
      </c>
      <c r="K100" s="188">
        <v>94042</v>
      </c>
      <c r="L100" s="188">
        <v>94042</v>
      </c>
      <c r="M100" s="70"/>
      <c r="N100" s="188">
        <v>135941</v>
      </c>
      <c r="O100" s="188">
        <v>132883</v>
      </c>
      <c r="P100" s="188">
        <v>132883</v>
      </c>
      <c r="Q100" s="129"/>
      <c r="R100" s="67"/>
      <c r="S100" s="188">
        <v>132435</v>
      </c>
      <c r="T100" s="188">
        <v>132675</v>
      </c>
      <c r="U100" s="188">
        <v>132675</v>
      </c>
      <c r="V100" s="61"/>
      <c r="W100" s="58"/>
      <c r="X100" s="188">
        <v>126461</v>
      </c>
      <c r="Y100" s="188">
        <v>124169</v>
      </c>
      <c r="Z100" s="129"/>
      <c r="AA100" s="133"/>
      <c r="AB100" s="67"/>
      <c r="AC100" s="188">
        <v>124079</v>
      </c>
      <c r="AD100" s="188">
        <v>124079</v>
      </c>
      <c r="AE100" s="61"/>
      <c r="AF100" s="65"/>
      <c r="AG100" s="58"/>
      <c r="AH100" s="188">
        <v>137145</v>
      </c>
      <c r="AI100" s="129"/>
      <c r="AJ100" s="133"/>
      <c r="AK100" s="133"/>
      <c r="AL100" s="67"/>
      <c r="AM100" s="188">
        <v>136293</v>
      </c>
      <c r="AN100" s="135"/>
      <c r="AO100" s="135"/>
      <c r="AP100" s="135"/>
    </row>
    <row r="101" spans="1:42" x14ac:dyDescent="0.25">
      <c r="A101" t="s">
        <v>57</v>
      </c>
      <c r="B101" t="s">
        <v>40</v>
      </c>
      <c r="C101" s="212" t="str">
        <f t="shared" si="1"/>
        <v>Clay Juvenile Delinquency</v>
      </c>
      <c r="D101" s="188">
        <v>33631</v>
      </c>
      <c r="E101" s="188">
        <v>29881</v>
      </c>
      <c r="F101" s="188">
        <v>29881</v>
      </c>
      <c r="G101" s="188">
        <v>23342</v>
      </c>
      <c r="H101" s="125"/>
      <c r="I101" s="188">
        <v>1587</v>
      </c>
      <c r="J101" s="188">
        <v>5480</v>
      </c>
      <c r="K101" s="188">
        <v>6682</v>
      </c>
      <c r="L101" s="188">
        <v>6796</v>
      </c>
      <c r="M101" s="70"/>
      <c r="N101" s="188">
        <v>25070</v>
      </c>
      <c r="O101" s="188">
        <v>25070</v>
      </c>
      <c r="P101" s="188">
        <v>20646</v>
      </c>
      <c r="Q101" s="129"/>
      <c r="R101" s="67"/>
      <c r="S101" s="188">
        <v>3676</v>
      </c>
      <c r="T101" s="188">
        <v>6538</v>
      </c>
      <c r="U101" s="188">
        <v>9052</v>
      </c>
      <c r="V101" s="61"/>
      <c r="W101" s="58"/>
      <c r="X101" s="188">
        <v>20206</v>
      </c>
      <c r="Y101" s="188">
        <v>15653</v>
      </c>
      <c r="Z101" s="129"/>
      <c r="AA101" s="133"/>
      <c r="AB101" s="67"/>
      <c r="AC101" s="188">
        <v>2096</v>
      </c>
      <c r="AD101" s="188">
        <v>3772</v>
      </c>
      <c r="AE101" s="61"/>
      <c r="AF101" s="65"/>
      <c r="AG101" s="58"/>
      <c r="AH101" s="188">
        <v>27862</v>
      </c>
      <c r="AI101" s="129"/>
      <c r="AJ101" s="133"/>
      <c r="AK101" s="133"/>
      <c r="AL101" s="67"/>
      <c r="AM101" s="188">
        <v>3755</v>
      </c>
      <c r="AN101" s="135"/>
      <c r="AO101" s="135"/>
      <c r="AP101" s="135"/>
    </row>
    <row r="102" spans="1:42" x14ac:dyDescent="0.25">
      <c r="A102" t="s">
        <v>57</v>
      </c>
      <c r="B102" t="s">
        <v>45</v>
      </c>
      <c r="C102" s="212" t="str">
        <f t="shared" si="1"/>
        <v>Clay Probate</v>
      </c>
      <c r="D102" s="188">
        <v>47987</v>
      </c>
      <c r="E102" s="188">
        <v>46744</v>
      </c>
      <c r="F102" s="188">
        <v>46744</v>
      </c>
      <c r="G102" s="188">
        <v>46744</v>
      </c>
      <c r="H102" s="125"/>
      <c r="I102" s="188">
        <v>46694</v>
      </c>
      <c r="J102" s="188">
        <v>46744</v>
      </c>
      <c r="K102" s="188">
        <v>46744</v>
      </c>
      <c r="L102" s="188">
        <v>46744</v>
      </c>
      <c r="M102" s="70"/>
      <c r="N102" s="188">
        <v>41269</v>
      </c>
      <c r="O102" s="188">
        <v>41267</v>
      </c>
      <c r="P102" s="188">
        <v>41258</v>
      </c>
      <c r="Q102" s="129"/>
      <c r="R102" s="67"/>
      <c r="S102" s="188">
        <v>41202</v>
      </c>
      <c r="T102" s="188">
        <v>41258</v>
      </c>
      <c r="U102" s="188">
        <v>41258</v>
      </c>
      <c r="V102" s="61"/>
      <c r="W102" s="58"/>
      <c r="X102" s="188">
        <v>49787</v>
      </c>
      <c r="Y102" s="188">
        <v>49787</v>
      </c>
      <c r="Z102" s="129"/>
      <c r="AA102" s="133"/>
      <c r="AB102" s="67"/>
      <c r="AC102" s="188">
        <v>49777</v>
      </c>
      <c r="AD102" s="188">
        <v>49787</v>
      </c>
      <c r="AE102" s="61"/>
      <c r="AF102" s="65"/>
      <c r="AG102" s="58"/>
      <c r="AH102" s="188">
        <v>41299</v>
      </c>
      <c r="AI102" s="129"/>
      <c r="AJ102" s="133"/>
      <c r="AK102" s="133"/>
      <c r="AL102" s="67"/>
      <c r="AM102" s="188">
        <v>41285</v>
      </c>
      <c r="AN102" s="135"/>
      <c r="AO102" s="135"/>
      <c r="AP102" s="135"/>
    </row>
    <row r="103" spans="1:42" x14ac:dyDescent="0.25">
      <c r="A103" t="s">
        <v>58</v>
      </c>
      <c r="B103" t="s">
        <v>42</v>
      </c>
      <c r="C103" s="212" t="str">
        <f t="shared" si="1"/>
        <v>Collier Circuit Civil</v>
      </c>
      <c r="D103" s="188">
        <v>2526327.13</v>
      </c>
      <c r="E103" s="188">
        <v>2522190.6800000002</v>
      </c>
      <c r="F103" s="188">
        <v>2519312.4300000002</v>
      </c>
      <c r="G103" s="188">
        <v>2519968.2000000002</v>
      </c>
      <c r="H103" s="125"/>
      <c r="I103" s="188">
        <v>2499171.4900000002</v>
      </c>
      <c r="J103" s="188">
        <v>2498714.14</v>
      </c>
      <c r="K103" s="188">
        <v>2496833.4</v>
      </c>
      <c r="L103" s="188">
        <v>2498070.67</v>
      </c>
      <c r="M103" s="70"/>
      <c r="N103" s="188">
        <v>1707733.52</v>
      </c>
      <c r="O103" s="188">
        <v>1706160.04</v>
      </c>
      <c r="P103" s="188">
        <v>1710316.72</v>
      </c>
      <c r="Q103" s="129"/>
      <c r="R103" s="67"/>
      <c r="S103" s="188">
        <v>1683235.5</v>
      </c>
      <c r="T103" s="188">
        <v>1686639.22</v>
      </c>
      <c r="U103" s="188">
        <v>1693245.9</v>
      </c>
      <c r="V103" s="61"/>
      <c r="W103" s="58"/>
      <c r="X103" s="188">
        <v>2373169.6800000002</v>
      </c>
      <c r="Y103" s="188">
        <v>2377360.06</v>
      </c>
      <c r="Z103" s="129"/>
      <c r="AA103" s="133"/>
      <c r="AB103" s="67"/>
      <c r="AC103" s="188">
        <v>2324251.42</v>
      </c>
      <c r="AD103" s="188">
        <v>2347376.16</v>
      </c>
      <c r="AE103" s="61"/>
      <c r="AF103" s="65"/>
      <c r="AG103" s="58"/>
      <c r="AH103" s="188">
        <v>3871110.32</v>
      </c>
      <c r="AI103" s="129"/>
      <c r="AJ103" s="133"/>
      <c r="AK103" s="133"/>
      <c r="AL103" s="67"/>
      <c r="AM103" s="188">
        <v>3830760.28</v>
      </c>
      <c r="AN103" s="135"/>
      <c r="AO103" s="135"/>
      <c r="AP103" s="135"/>
    </row>
    <row r="104" spans="1:42" x14ac:dyDescent="0.25">
      <c r="A104" t="s">
        <v>58</v>
      </c>
      <c r="B104" t="s">
        <v>38</v>
      </c>
      <c r="C104" s="212" t="str">
        <f t="shared" si="1"/>
        <v>Collier Circuit Criminal</v>
      </c>
      <c r="D104" s="188">
        <v>507685.63</v>
      </c>
      <c r="E104" s="188">
        <v>506751.13</v>
      </c>
      <c r="F104" s="188">
        <v>505573.47</v>
      </c>
      <c r="G104" s="188">
        <v>500616.52</v>
      </c>
      <c r="H104" s="125"/>
      <c r="I104" s="188">
        <v>63476.29</v>
      </c>
      <c r="J104" s="188">
        <v>77951.89</v>
      </c>
      <c r="K104" s="188">
        <v>89179.03</v>
      </c>
      <c r="L104" s="188">
        <v>97522.08</v>
      </c>
      <c r="M104" s="70"/>
      <c r="N104" s="188">
        <v>591319.6</v>
      </c>
      <c r="O104" s="188">
        <v>586279.19999999995</v>
      </c>
      <c r="P104" s="188">
        <v>584769.78</v>
      </c>
      <c r="Q104" s="129"/>
      <c r="R104" s="67"/>
      <c r="S104" s="188">
        <v>18204</v>
      </c>
      <c r="T104" s="188">
        <v>30751.4</v>
      </c>
      <c r="U104" s="188">
        <v>39058.879999999997</v>
      </c>
      <c r="V104" s="61"/>
      <c r="W104" s="58"/>
      <c r="X104" s="188">
        <v>1423007.95</v>
      </c>
      <c r="Y104" s="188">
        <v>1339863.49</v>
      </c>
      <c r="Z104" s="129"/>
      <c r="AA104" s="133"/>
      <c r="AB104" s="67"/>
      <c r="AC104" s="188">
        <v>30947.72</v>
      </c>
      <c r="AD104" s="188">
        <v>64884.86</v>
      </c>
      <c r="AE104" s="61"/>
      <c r="AF104" s="65"/>
      <c r="AG104" s="58"/>
      <c r="AH104" s="188">
        <v>456526.6</v>
      </c>
      <c r="AI104" s="129"/>
      <c r="AJ104" s="133"/>
      <c r="AK104" s="133"/>
      <c r="AL104" s="67"/>
      <c r="AM104" s="188">
        <v>52024.13</v>
      </c>
      <c r="AN104" s="135"/>
      <c r="AO104" s="135"/>
      <c r="AP104" s="135"/>
    </row>
    <row r="105" spans="1:42" x14ac:dyDescent="0.25">
      <c r="A105" t="s">
        <v>58</v>
      </c>
      <c r="B105" t="s">
        <v>265</v>
      </c>
      <c r="C105" s="212" t="str">
        <f t="shared" si="1"/>
        <v>Collier Circuit Criminal Drug Cases</v>
      </c>
      <c r="D105" s="188">
        <v>163690</v>
      </c>
      <c r="E105" s="188">
        <v>163598</v>
      </c>
      <c r="F105" s="188">
        <v>163640</v>
      </c>
      <c r="G105" s="188">
        <v>163640</v>
      </c>
      <c r="I105" s="188">
        <v>42</v>
      </c>
      <c r="J105" s="188">
        <v>42</v>
      </c>
      <c r="K105" s="188">
        <v>92</v>
      </c>
      <c r="L105" s="188">
        <v>92</v>
      </c>
      <c r="N105" s="188">
        <v>319535</v>
      </c>
      <c r="O105" s="188">
        <v>319420.74</v>
      </c>
      <c r="P105" s="188">
        <v>319420.74</v>
      </c>
      <c r="S105" s="188">
        <v>0</v>
      </c>
      <c r="T105" s="188">
        <v>233.74</v>
      </c>
      <c r="U105" s="188">
        <v>233.74</v>
      </c>
      <c r="X105" s="188">
        <v>1060023.3</v>
      </c>
      <c r="Y105" s="188">
        <v>985166.5</v>
      </c>
      <c r="AC105" s="188">
        <v>607.29999999999995</v>
      </c>
      <c r="AD105" s="188">
        <v>27712.5</v>
      </c>
      <c r="AH105" s="188">
        <v>160286.43</v>
      </c>
      <c r="AM105" s="188">
        <v>86.03</v>
      </c>
    </row>
    <row r="106" spans="1:42" x14ac:dyDescent="0.25">
      <c r="A106" t="s">
        <v>58</v>
      </c>
      <c r="B106" t="s">
        <v>44</v>
      </c>
      <c r="C106" s="212" t="str">
        <f t="shared" si="1"/>
        <v>Collier Civil Traffic</v>
      </c>
      <c r="D106" s="188">
        <v>1747986.31</v>
      </c>
      <c r="E106" s="188">
        <v>1778563.11</v>
      </c>
      <c r="F106" s="188">
        <v>1787606.74</v>
      </c>
      <c r="G106" s="188">
        <v>1796853.11</v>
      </c>
      <c r="H106" s="125"/>
      <c r="I106" s="188">
        <v>878728.38</v>
      </c>
      <c r="J106" s="188">
        <v>1581304.14</v>
      </c>
      <c r="K106" s="188">
        <v>1654910.46</v>
      </c>
      <c r="L106" s="188">
        <v>1686078.7</v>
      </c>
      <c r="M106" s="70"/>
      <c r="N106" s="188">
        <v>1610752.07</v>
      </c>
      <c r="O106" s="188">
        <v>1623338.88</v>
      </c>
      <c r="P106" s="188">
        <v>1633399.68</v>
      </c>
      <c r="Q106" s="129"/>
      <c r="R106" s="67"/>
      <c r="S106" s="188">
        <v>876923.86</v>
      </c>
      <c r="T106" s="188">
        <v>1445673.08</v>
      </c>
      <c r="U106" s="188">
        <v>1514028.37</v>
      </c>
      <c r="V106" s="61"/>
      <c r="W106" s="58"/>
      <c r="X106" s="188">
        <v>1804137.73</v>
      </c>
      <c r="Y106" s="188">
        <v>1802734.24</v>
      </c>
      <c r="Z106" s="129"/>
      <c r="AA106" s="133"/>
      <c r="AB106" s="67"/>
      <c r="AC106" s="188">
        <v>873369.12</v>
      </c>
      <c r="AD106" s="188">
        <v>1574293.84</v>
      </c>
      <c r="AE106" s="61"/>
      <c r="AF106" s="65"/>
      <c r="AG106" s="58"/>
      <c r="AH106" s="188">
        <v>1753785.7</v>
      </c>
      <c r="AI106" s="129"/>
      <c r="AJ106" s="133"/>
      <c r="AK106" s="133"/>
      <c r="AL106" s="67"/>
      <c r="AM106" s="188">
        <v>859716.06</v>
      </c>
      <c r="AN106" s="135"/>
      <c r="AO106" s="135"/>
      <c r="AP106" s="135"/>
    </row>
    <row r="107" spans="1:42" x14ac:dyDescent="0.25">
      <c r="A107" t="s">
        <v>58</v>
      </c>
      <c r="B107" t="s">
        <v>43</v>
      </c>
      <c r="C107" s="212" t="str">
        <f t="shared" si="1"/>
        <v>Collier County Civil</v>
      </c>
      <c r="D107" s="188">
        <v>391802.04</v>
      </c>
      <c r="E107" s="188">
        <v>391242.04</v>
      </c>
      <c r="F107" s="188">
        <v>390912.04</v>
      </c>
      <c r="G107" s="188">
        <v>390862.04</v>
      </c>
      <c r="H107" s="125"/>
      <c r="I107" s="188">
        <v>386125.04</v>
      </c>
      <c r="J107" s="188">
        <v>386025.04</v>
      </c>
      <c r="K107" s="188">
        <v>386265.04</v>
      </c>
      <c r="L107" s="188">
        <v>386265.04</v>
      </c>
      <c r="M107" s="70"/>
      <c r="N107" s="188">
        <v>297926.78999999998</v>
      </c>
      <c r="O107" s="188">
        <v>298251.78999999998</v>
      </c>
      <c r="P107" s="188">
        <v>298226.78999999998</v>
      </c>
      <c r="Q107" s="129"/>
      <c r="R107" s="67"/>
      <c r="S107" s="188">
        <v>294058.71000000002</v>
      </c>
      <c r="T107" s="188">
        <v>294706.21000000002</v>
      </c>
      <c r="U107" s="188">
        <v>294706.21000000002</v>
      </c>
      <c r="V107" s="61"/>
      <c r="W107" s="58"/>
      <c r="X107" s="188">
        <v>290633.36</v>
      </c>
      <c r="Y107" s="188">
        <v>289663.35999999999</v>
      </c>
      <c r="Z107" s="129"/>
      <c r="AA107" s="133"/>
      <c r="AB107" s="67"/>
      <c r="AC107" s="188">
        <v>286201.36</v>
      </c>
      <c r="AD107" s="188">
        <v>285886.36</v>
      </c>
      <c r="AE107" s="61"/>
      <c r="AF107" s="65"/>
      <c r="AG107" s="58"/>
      <c r="AH107" s="188">
        <v>297413.43</v>
      </c>
      <c r="AI107" s="129"/>
      <c r="AJ107" s="133"/>
      <c r="AK107" s="133"/>
      <c r="AL107" s="67"/>
      <c r="AM107" s="188">
        <v>292639.93</v>
      </c>
      <c r="AN107" s="135"/>
      <c r="AO107" s="135"/>
      <c r="AP107" s="135"/>
    </row>
    <row r="108" spans="1:42" x14ac:dyDescent="0.25">
      <c r="A108" t="s">
        <v>58</v>
      </c>
      <c r="B108" t="s">
        <v>39</v>
      </c>
      <c r="C108" s="212" t="str">
        <f t="shared" si="1"/>
        <v>Collier County Criminal</v>
      </c>
      <c r="D108" s="188">
        <v>228889.13</v>
      </c>
      <c r="E108" s="188">
        <v>230028.19</v>
      </c>
      <c r="F108" s="188">
        <v>229016.23</v>
      </c>
      <c r="G108" s="188">
        <v>229575.47</v>
      </c>
      <c r="H108" s="125"/>
      <c r="I108" s="188">
        <v>59584.23</v>
      </c>
      <c r="J108" s="188">
        <v>88162.11</v>
      </c>
      <c r="K108" s="188">
        <v>106705.17</v>
      </c>
      <c r="L108" s="188">
        <v>113875.29</v>
      </c>
      <c r="M108" s="70"/>
      <c r="N108" s="188">
        <v>271865.33</v>
      </c>
      <c r="O108" s="188">
        <v>269805.3</v>
      </c>
      <c r="P108" s="188">
        <v>265230.71000000002</v>
      </c>
      <c r="Q108" s="129"/>
      <c r="R108" s="67"/>
      <c r="S108" s="188">
        <v>88932.08</v>
      </c>
      <c r="T108" s="188">
        <v>114702.29</v>
      </c>
      <c r="U108" s="188">
        <v>128364.78</v>
      </c>
      <c r="V108" s="61"/>
      <c r="W108" s="58"/>
      <c r="X108" s="188">
        <v>257803.05</v>
      </c>
      <c r="Y108" s="188">
        <v>256885.18</v>
      </c>
      <c r="Z108" s="129"/>
      <c r="AA108" s="133"/>
      <c r="AB108" s="67"/>
      <c r="AC108" s="188">
        <v>71589.55</v>
      </c>
      <c r="AD108" s="188">
        <v>97457.08</v>
      </c>
      <c r="AE108" s="61"/>
      <c r="AF108" s="65"/>
      <c r="AG108" s="58"/>
      <c r="AH108" s="188">
        <v>265961.65999999997</v>
      </c>
      <c r="AI108" s="129"/>
      <c r="AJ108" s="133"/>
      <c r="AK108" s="133"/>
      <c r="AL108" s="67"/>
      <c r="AM108" s="188">
        <v>66015.31</v>
      </c>
      <c r="AN108" s="135"/>
      <c r="AO108" s="135"/>
      <c r="AP108" s="135"/>
    </row>
    <row r="109" spans="1:42" x14ac:dyDescent="0.25">
      <c r="A109" t="s">
        <v>58</v>
      </c>
      <c r="B109" t="s">
        <v>41</v>
      </c>
      <c r="C109" s="212" t="str">
        <f t="shared" si="1"/>
        <v>Collier Criminal Traffic</v>
      </c>
      <c r="D109" s="188">
        <v>529709.18999999994</v>
      </c>
      <c r="E109" s="188">
        <v>513644.67</v>
      </c>
      <c r="F109" s="188">
        <v>520226.38</v>
      </c>
      <c r="G109" s="188">
        <v>522377.87</v>
      </c>
      <c r="H109" s="125"/>
      <c r="I109" s="188">
        <v>173270.48</v>
      </c>
      <c r="J109" s="188">
        <v>277846.84999999998</v>
      </c>
      <c r="K109" s="188">
        <v>337956.66</v>
      </c>
      <c r="L109" s="188">
        <v>368170.6</v>
      </c>
      <c r="M109" s="70"/>
      <c r="N109" s="188">
        <v>591142.78</v>
      </c>
      <c r="O109" s="188">
        <v>581149.06999999995</v>
      </c>
      <c r="P109" s="188">
        <v>576221.43999999994</v>
      </c>
      <c r="Q109" s="129"/>
      <c r="R109" s="67"/>
      <c r="S109" s="188">
        <v>224117.66</v>
      </c>
      <c r="T109" s="188">
        <v>315177.55</v>
      </c>
      <c r="U109" s="188">
        <v>353914.87</v>
      </c>
      <c r="V109" s="61"/>
      <c r="W109" s="58"/>
      <c r="X109" s="188">
        <v>628092</v>
      </c>
      <c r="Y109" s="188">
        <v>630785.48</v>
      </c>
      <c r="Z109" s="129"/>
      <c r="AA109" s="133"/>
      <c r="AB109" s="67"/>
      <c r="AC109" s="188">
        <v>223753.60000000001</v>
      </c>
      <c r="AD109" s="188">
        <v>346653.28</v>
      </c>
      <c r="AE109" s="61"/>
      <c r="AF109" s="65"/>
      <c r="AG109" s="58"/>
      <c r="AH109" s="188">
        <v>613872.84</v>
      </c>
      <c r="AI109" s="129"/>
      <c r="AJ109" s="133"/>
      <c r="AK109" s="133"/>
      <c r="AL109" s="67"/>
      <c r="AM109" s="188">
        <v>224243.4</v>
      </c>
      <c r="AN109" s="135"/>
      <c r="AO109" s="135"/>
      <c r="AP109" s="135"/>
    </row>
    <row r="110" spans="1:42" x14ac:dyDescent="0.25">
      <c r="A110" t="s">
        <v>58</v>
      </c>
      <c r="B110" t="s">
        <v>46</v>
      </c>
      <c r="C110" s="212" t="str">
        <f t="shared" si="1"/>
        <v>Collier Family</v>
      </c>
      <c r="D110" s="188">
        <v>173261.02</v>
      </c>
      <c r="E110" s="188">
        <v>170547.52</v>
      </c>
      <c r="F110" s="188">
        <v>170283</v>
      </c>
      <c r="G110" s="188">
        <v>169491.83</v>
      </c>
      <c r="H110" s="125"/>
      <c r="I110" s="188">
        <v>150883.04</v>
      </c>
      <c r="J110" s="188">
        <v>151751.04000000001</v>
      </c>
      <c r="K110" s="188">
        <v>152487.01999999999</v>
      </c>
      <c r="L110" s="188">
        <v>152741.35</v>
      </c>
      <c r="M110" s="70"/>
      <c r="N110" s="188">
        <v>191625.25</v>
      </c>
      <c r="O110" s="188">
        <v>188264.89</v>
      </c>
      <c r="P110" s="188">
        <v>187002.06</v>
      </c>
      <c r="Q110" s="129"/>
      <c r="R110" s="67"/>
      <c r="S110" s="188">
        <v>174797.75</v>
      </c>
      <c r="T110" s="188">
        <v>174207.39</v>
      </c>
      <c r="U110" s="188">
        <v>174259.56</v>
      </c>
      <c r="V110" s="61"/>
      <c r="W110" s="58"/>
      <c r="X110" s="188">
        <v>198472</v>
      </c>
      <c r="Y110" s="188">
        <v>196150.13</v>
      </c>
      <c r="Z110" s="129"/>
      <c r="AA110" s="133"/>
      <c r="AB110" s="67"/>
      <c r="AC110" s="188">
        <v>178620</v>
      </c>
      <c r="AD110" s="188">
        <v>179713.63</v>
      </c>
      <c r="AE110" s="61"/>
      <c r="AF110" s="65"/>
      <c r="AG110" s="58"/>
      <c r="AH110" s="188">
        <v>200261.78</v>
      </c>
      <c r="AI110" s="129"/>
      <c r="AJ110" s="133"/>
      <c r="AK110" s="133"/>
      <c r="AL110" s="67"/>
      <c r="AM110" s="188">
        <v>182594.28</v>
      </c>
      <c r="AN110" s="135"/>
      <c r="AO110" s="135"/>
      <c r="AP110" s="135"/>
    </row>
    <row r="111" spans="1:42" x14ac:dyDescent="0.25">
      <c r="A111" t="s">
        <v>58</v>
      </c>
      <c r="B111" t="s">
        <v>40</v>
      </c>
      <c r="C111" s="212" t="str">
        <f t="shared" si="1"/>
        <v>Collier Juvenile Delinquency</v>
      </c>
      <c r="D111" s="188">
        <v>13874.5</v>
      </c>
      <c r="E111" s="188">
        <v>13979.49</v>
      </c>
      <c r="F111" s="188">
        <v>13691.99</v>
      </c>
      <c r="G111" s="188">
        <v>13641.99</v>
      </c>
      <c r="H111" s="125"/>
      <c r="I111" s="188">
        <v>894.5</v>
      </c>
      <c r="J111" s="188">
        <v>1839.49</v>
      </c>
      <c r="K111" s="188">
        <v>2321.9899999999998</v>
      </c>
      <c r="L111" s="188">
        <v>2321.9899999999998</v>
      </c>
      <c r="M111" s="70"/>
      <c r="N111" s="188">
        <v>17447.150000000001</v>
      </c>
      <c r="O111" s="188">
        <v>17109.650000000001</v>
      </c>
      <c r="P111" s="188">
        <v>16734.689999999999</v>
      </c>
      <c r="Q111" s="129"/>
      <c r="R111" s="67"/>
      <c r="S111" s="188">
        <v>1238.23</v>
      </c>
      <c r="T111" s="188">
        <v>3070.73</v>
      </c>
      <c r="U111" s="188">
        <v>3270.73</v>
      </c>
      <c r="V111" s="61"/>
      <c r="W111" s="58"/>
      <c r="X111" s="188">
        <v>19228.400000000001</v>
      </c>
      <c r="Y111" s="188">
        <v>18871.560000000001</v>
      </c>
      <c r="Z111" s="129"/>
      <c r="AA111" s="133"/>
      <c r="AB111" s="67"/>
      <c r="AC111" s="188">
        <v>1083</v>
      </c>
      <c r="AD111" s="188">
        <v>1926.56</v>
      </c>
      <c r="AE111" s="61"/>
      <c r="AF111" s="65"/>
      <c r="AG111" s="58"/>
      <c r="AH111" s="188">
        <v>18472.75</v>
      </c>
      <c r="AI111" s="129"/>
      <c r="AJ111" s="133"/>
      <c r="AK111" s="133"/>
      <c r="AL111" s="67"/>
      <c r="AM111" s="188">
        <v>1290</v>
      </c>
      <c r="AN111" s="135"/>
      <c r="AO111" s="135"/>
      <c r="AP111" s="135"/>
    </row>
    <row r="112" spans="1:42" x14ac:dyDescent="0.25">
      <c r="A112" t="s">
        <v>58</v>
      </c>
      <c r="B112" t="s">
        <v>45</v>
      </c>
      <c r="C112" s="212" t="str">
        <f t="shared" si="1"/>
        <v>Collier Probate</v>
      </c>
      <c r="D112" s="188">
        <v>144775.54</v>
      </c>
      <c r="E112" s="188">
        <v>144910.74</v>
      </c>
      <c r="F112" s="188">
        <v>144910.74</v>
      </c>
      <c r="G112" s="188">
        <v>144899.32</v>
      </c>
      <c r="H112" s="125"/>
      <c r="I112" s="188">
        <v>143213.74</v>
      </c>
      <c r="J112" s="188">
        <v>143448.74</v>
      </c>
      <c r="K112" s="188">
        <v>143448.74</v>
      </c>
      <c r="L112" s="188">
        <v>143457.32</v>
      </c>
      <c r="M112" s="70"/>
      <c r="N112" s="188">
        <v>165838.5</v>
      </c>
      <c r="O112" s="188">
        <v>165879.5</v>
      </c>
      <c r="P112" s="188">
        <v>165879.5</v>
      </c>
      <c r="Q112" s="129"/>
      <c r="R112" s="67"/>
      <c r="S112" s="188">
        <v>163802.5</v>
      </c>
      <c r="T112" s="188">
        <v>164159.5</v>
      </c>
      <c r="U112" s="188">
        <v>164159.5</v>
      </c>
      <c r="V112" s="61"/>
      <c r="W112" s="58"/>
      <c r="X112" s="188">
        <v>161590.82999999999</v>
      </c>
      <c r="Y112" s="188">
        <v>161690.82999999999</v>
      </c>
      <c r="Z112" s="129"/>
      <c r="AA112" s="133"/>
      <c r="AB112" s="67"/>
      <c r="AC112" s="188">
        <v>159570.82999999999</v>
      </c>
      <c r="AD112" s="188">
        <v>160367.82999999999</v>
      </c>
      <c r="AE112" s="61"/>
      <c r="AF112" s="65"/>
      <c r="AG112" s="58"/>
      <c r="AH112" s="188">
        <v>170923.34</v>
      </c>
      <c r="AI112" s="129"/>
      <c r="AJ112" s="133"/>
      <c r="AK112" s="133"/>
      <c r="AL112" s="67"/>
      <c r="AM112" s="188">
        <v>168331.34</v>
      </c>
      <c r="AN112" s="135"/>
      <c r="AO112" s="135"/>
      <c r="AP112" s="135"/>
    </row>
    <row r="113" spans="1:42" x14ac:dyDescent="0.25">
      <c r="A113" t="s">
        <v>59</v>
      </c>
      <c r="B113" t="s">
        <v>42</v>
      </c>
      <c r="C113" s="212" t="str">
        <f t="shared" si="1"/>
        <v>Columbia Circuit Civil</v>
      </c>
      <c r="D113" s="188">
        <v>90263.5</v>
      </c>
      <c r="E113" s="188">
        <v>90263.5</v>
      </c>
      <c r="F113" s="188">
        <v>90263.5</v>
      </c>
      <c r="G113" s="188">
        <v>90263.5</v>
      </c>
      <c r="H113" s="125"/>
      <c r="I113" s="188">
        <v>87796</v>
      </c>
      <c r="J113" s="188">
        <v>89863.5</v>
      </c>
      <c r="K113" s="188">
        <v>89863.5</v>
      </c>
      <c r="L113" s="188">
        <v>89863.5</v>
      </c>
      <c r="M113" s="70"/>
      <c r="N113" s="188">
        <v>77056.399999999994</v>
      </c>
      <c r="O113" s="188">
        <v>77056.399999999994</v>
      </c>
      <c r="P113" s="188">
        <v>77056.399999999994</v>
      </c>
      <c r="Q113" s="129"/>
      <c r="R113" s="67"/>
      <c r="S113" s="188">
        <v>74414.5</v>
      </c>
      <c r="T113" s="188">
        <v>75471.399999999994</v>
      </c>
      <c r="U113" s="188">
        <v>75535.97</v>
      </c>
      <c r="V113" s="61"/>
      <c r="W113" s="58"/>
      <c r="X113" s="188">
        <v>96712.98</v>
      </c>
      <c r="Y113" s="188">
        <v>96312.98</v>
      </c>
      <c r="Z113" s="129"/>
      <c r="AA113" s="133"/>
      <c r="AB113" s="67"/>
      <c r="AC113" s="188">
        <v>94157.27</v>
      </c>
      <c r="AD113" s="188">
        <v>95102.27</v>
      </c>
      <c r="AE113" s="61"/>
      <c r="AF113" s="65"/>
      <c r="AG113" s="58"/>
      <c r="AH113" s="188">
        <v>85355.79</v>
      </c>
      <c r="AI113" s="129"/>
      <c r="AJ113" s="133"/>
      <c r="AK113" s="133"/>
      <c r="AL113" s="67"/>
      <c r="AM113" s="188">
        <v>81297.289999999994</v>
      </c>
      <c r="AN113" s="135"/>
      <c r="AO113" s="135"/>
      <c r="AP113" s="135"/>
    </row>
    <row r="114" spans="1:42" x14ac:dyDescent="0.25">
      <c r="A114" t="s">
        <v>59</v>
      </c>
      <c r="B114" t="s">
        <v>38</v>
      </c>
      <c r="C114" s="212" t="str">
        <f t="shared" si="1"/>
        <v>Columbia Circuit Criminal</v>
      </c>
      <c r="D114" s="188">
        <v>156416.26999999999</v>
      </c>
      <c r="E114" s="188">
        <v>155490.57</v>
      </c>
      <c r="F114" s="188">
        <v>155490.57</v>
      </c>
      <c r="G114" s="188">
        <v>155490.57</v>
      </c>
      <c r="H114" s="125"/>
      <c r="I114" s="188">
        <v>2093.88</v>
      </c>
      <c r="J114" s="188">
        <v>7143.51</v>
      </c>
      <c r="K114" s="188">
        <v>13746.33</v>
      </c>
      <c r="L114" s="188">
        <v>17359.14</v>
      </c>
      <c r="M114" s="70"/>
      <c r="N114" s="188">
        <v>160524.04</v>
      </c>
      <c r="O114" s="188">
        <v>163243.04</v>
      </c>
      <c r="P114" s="188">
        <v>163243.04</v>
      </c>
      <c r="Q114" s="129"/>
      <c r="R114" s="67"/>
      <c r="S114" s="188">
        <v>3408.04</v>
      </c>
      <c r="T114" s="188">
        <v>7251.58</v>
      </c>
      <c r="U114" s="188">
        <v>10853.7</v>
      </c>
      <c r="V114" s="61"/>
      <c r="W114" s="58"/>
      <c r="X114" s="188">
        <v>179703.89</v>
      </c>
      <c r="Y114" s="188">
        <v>179253.89</v>
      </c>
      <c r="Z114" s="129"/>
      <c r="AA114" s="133"/>
      <c r="AB114" s="67"/>
      <c r="AC114" s="188">
        <v>5621.38</v>
      </c>
      <c r="AD114" s="188">
        <v>8948.86</v>
      </c>
      <c r="AE114" s="61"/>
      <c r="AF114" s="65"/>
      <c r="AG114" s="58"/>
      <c r="AH114" s="188">
        <v>168209.73</v>
      </c>
      <c r="AI114" s="129"/>
      <c r="AJ114" s="133"/>
      <c r="AK114" s="133"/>
      <c r="AL114" s="67"/>
      <c r="AM114" s="188">
        <v>1959.73</v>
      </c>
      <c r="AN114" s="135"/>
      <c r="AO114" s="135"/>
      <c r="AP114" s="135"/>
    </row>
    <row r="115" spans="1:42" x14ac:dyDescent="0.25">
      <c r="A115" t="s">
        <v>59</v>
      </c>
      <c r="B115" t="s">
        <v>265</v>
      </c>
      <c r="C115" s="212" t="str">
        <f t="shared" si="1"/>
        <v>Columbia Circuit Criminal Drug Cases</v>
      </c>
      <c r="D115" s="188">
        <v>0</v>
      </c>
      <c r="E115" s="188">
        <v>0</v>
      </c>
      <c r="F115" s="188">
        <v>0</v>
      </c>
      <c r="G115" s="188">
        <v>0</v>
      </c>
      <c r="I115" s="188">
        <v>0</v>
      </c>
      <c r="J115" s="188">
        <v>0</v>
      </c>
      <c r="K115" s="188">
        <v>0</v>
      </c>
      <c r="L115" s="188">
        <v>0</v>
      </c>
      <c r="N115" s="188">
        <v>0</v>
      </c>
      <c r="O115" s="188">
        <v>0</v>
      </c>
      <c r="P115" s="188">
        <v>0</v>
      </c>
      <c r="S115" s="188">
        <v>0</v>
      </c>
      <c r="T115" s="188">
        <v>0</v>
      </c>
      <c r="U115" s="188">
        <v>0</v>
      </c>
      <c r="X115" s="188"/>
      <c r="Y115" s="188"/>
      <c r="AC115" s="188"/>
      <c r="AD115" s="188"/>
      <c r="AH115" s="188"/>
      <c r="AM115" s="188"/>
    </row>
    <row r="116" spans="1:42" x14ac:dyDescent="0.25">
      <c r="A116" t="s">
        <v>59</v>
      </c>
      <c r="B116" t="s">
        <v>44</v>
      </c>
      <c r="C116" s="212" t="str">
        <f t="shared" si="1"/>
        <v>Columbia Civil Traffic</v>
      </c>
      <c r="D116" s="188">
        <v>590115.75</v>
      </c>
      <c r="E116" s="188">
        <v>573154.75</v>
      </c>
      <c r="F116" s="188">
        <v>571441.75</v>
      </c>
      <c r="G116" s="188">
        <v>571327.75</v>
      </c>
      <c r="H116" s="125"/>
      <c r="I116" s="188">
        <v>295275.75</v>
      </c>
      <c r="J116" s="188">
        <v>484279.5</v>
      </c>
      <c r="K116" s="188">
        <v>519281.5</v>
      </c>
      <c r="L116" s="188">
        <v>526288.5</v>
      </c>
      <c r="M116" s="70"/>
      <c r="N116" s="188">
        <v>490540.5</v>
      </c>
      <c r="O116" s="188">
        <v>476561.75</v>
      </c>
      <c r="P116" s="188">
        <v>475058.75</v>
      </c>
      <c r="Q116" s="129"/>
      <c r="R116" s="67"/>
      <c r="S116" s="188">
        <v>269437</v>
      </c>
      <c r="T116" s="188">
        <v>397822.5</v>
      </c>
      <c r="U116" s="188">
        <v>414308.75</v>
      </c>
      <c r="V116" s="61"/>
      <c r="W116" s="58"/>
      <c r="X116" s="188">
        <v>649534</v>
      </c>
      <c r="Y116" s="188">
        <v>627645.5</v>
      </c>
      <c r="Z116" s="129"/>
      <c r="AA116" s="133"/>
      <c r="AB116" s="67"/>
      <c r="AC116" s="188">
        <v>313975.74</v>
      </c>
      <c r="AD116" s="188">
        <v>513314.02</v>
      </c>
      <c r="AE116" s="61"/>
      <c r="AF116" s="65"/>
      <c r="AG116" s="58"/>
      <c r="AH116" s="188">
        <v>473592</v>
      </c>
      <c r="AI116" s="129"/>
      <c r="AJ116" s="133"/>
      <c r="AK116" s="133"/>
      <c r="AL116" s="67"/>
      <c r="AM116" s="188">
        <v>201450.92</v>
      </c>
      <c r="AN116" s="135"/>
      <c r="AO116" s="135"/>
      <c r="AP116" s="135"/>
    </row>
    <row r="117" spans="1:42" x14ac:dyDescent="0.25">
      <c r="A117" t="s">
        <v>59</v>
      </c>
      <c r="B117" t="s">
        <v>43</v>
      </c>
      <c r="C117" s="212" t="str">
        <f t="shared" si="1"/>
        <v>Columbia County Civil</v>
      </c>
      <c r="D117" s="188">
        <v>62707.4</v>
      </c>
      <c r="E117" s="188">
        <v>62187.4</v>
      </c>
      <c r="F117" s="188">
        <v>62187.4</v>
      </c>
      <c r="G117" s="188">
        <v>62187.4</v>
      </c>
      <c r="H117" s="125"/>
      <c r="I117" s="188">
        <v>60004.9</v>
      </c>
      <c r="J117" s="188">
        <v>61444.9</v>
      </c>
      <c r="K117" s="188">
        <v>61444.9</v>
      </c>
      <c r="L117" s="188">
        <v>61444.9</v>
      </c>
      <c r="M117" s="70"/>
      <c r="N117" s="188">
        <v>65232.63</v>
      </c>
      <c r="O117" s="188">
        <v>65437.63</v>
      </c>
      <c r="P117" s="188">
        <v>65437.63</v>
      </c>
      <c r="Q117" s="129"/>
      <c r="R117" s="67"/>
      <c r="S117" s="188">
        <v>65097.63</v>
      </c>
      <c r="T117" s="188">
        <v>65437.63</v>
      </c>
      <c r="U117" s="188">
        <v>65437.63</v>
      </c>
      <c r="V117" s="61"/>
      <c r="W117" s="58"/>
      <c r="X117" s="188">
        <v>74134.25</v>
      </c>
      <c r="Y117" s="188">
        <v>74134.25</v>
      </c>
      <c r="Z117" s="129"/>
      <c r="AA117" s="133"/>
      <c r="AB117" s="67"/>
      <c r="AC117" s="188">
        <v>72258.75</v>
      </c>
      <c r="AD117" s="188">
        <v>73493.75</v>
      </c>
      <c r="AE117" s="61"/>
      <c r="AF117" s="65"/>
      <c r="AG117" s="58"/>
      <c r="AH117" s="188">
        <v>74857.22</v>
      </c>
      <c r="AI117" s="129"/>
      <c r="AJ117" s="133"/>
      <c r="AK117" s="133"/>
      <c r="AL117" s="67"/>
      <c r="AM117" s="188">
        <v>74257.22</v>
      </c>
      <c r="AN117" s="135"/>
      <c r="AO117" s="135"/>
      <c r="AP117" s="135"/>
    </row>
    <row r="118" spans="1:42" x14ac:dyDescent="0.25">
      <c r="A118" t="s">
        <v>59</v>
      </c>
      <c r="B118" t="s">
        <v>39</v>
      </c>
      <c r="C118" s="212" t="str">
        <f t="shared" si="1"/>
        <v>Columbia County Criminal</v>
      </c>
      <c r="D118" s="188">
        <v>82712.25</v>
      </c>
      <c r="E118" s="188">
        <v>81170.25</v>
      </c>
      <c r="F118" s="188">
        <v>79295.25</v>
      </c>
      <c r="G118" s="188">
        <v>78562.25</v>
      </c>
      <c r="H118" s="125"/>
      <c r="I118" s="188">
        <v>4929.5</v>
      </c>
      <c r="J118" s="188">
        <v>10841</v>
      </c>
      <c r="K118" s="188">
        <v>19227</v>
      </c>
      <c r="L118" s="188">
        <v>20574</v>
      </c>
      <c r="M118" s="70"/>
      <c r="N118" s="188">
        <v>82525.5</v>
      </c>
      <c r="O118" s="188">
        <v>80990</v>
      </c>
      <c r="P118" s="188">
        <v>80950</v>
      </c>
      <c r="Q118" s="129"/>
      <c r="R118" s="67"/>
      <c r="S118" s="188">
        <v>10247.25</v>
      </c>
      <c r="T118" s="188">
        <v>16973.25</v>
      </c>
      <c r="U118" s="188">
        <v>18453.25</v>
      </c>
      <c r="V118" s="61"/>
      <c r="W118" s="58"/>
      <c r="X118" s="188">
        <v>86087.75</v>
      </c>
      <c r="Y118" s="188">
        <v>85823.75</v>
      </c>
      <c r="Z118" s="129"/>
      <c r="AA118" s="133"/>
      <c r="AB118" s="67"/>
      <c r="AC118" s="188">
        <v>11261.75</v>
      </c>
      <c r="AD118" s="188">
        <v>14570</v>
      </c>
      <c r="AE118" s="61"/>
      <c r="AF118" s="65"/>
      <c r="AG118" s="58"/>
      <c r="AH118" s="188">
        <v>95731.25</v>
      </c>
      <c r="AI118" s="129"/>
      <c r="AJ118" s="133"/>
      <c r="AK118" s="133"/>
      <c r="AL118" s="67"/>
      <c r="AM118" s="188">
        <v>8027.25</v>
      </c>
      <c r="AN118" s="135"/>
      <c r="AO118" s="135"/>
      <c r="AP118" s="135"/>
    </row>
    <row r="119" spans="1:42" x14ac:dyDescent="0.25">
      <c r="A119" t="s">
        <v>59</v>
      </c>
      <c r="B119" t="s">
        <v>41</v>
      </c>
      <c r="C119" s="212" t="str">
        <f t="shared" si="1"/>
        <v>Columbia Criminal Traffic</v>
      </c>
      <c r="D119" s="188">
        <v>105066.3</v>
      </c>
      <c r="E119" s="188">
        <v>104334.8</v>
      </c>
      <c r="F119" s="188">
        <v>103973.8</v>
      </c>
      <c r="G119" s="188">
        <v>102581.8</v>
      </c>
      <c r="H119" s="125"/>
      <c r="I119" s="188">
        <v>18810.5</v>
      </c>
      <c r="J119" s="188">
        <v>31734.75</v>
      </c>
      <c r="K119" s="188">
        <v>44024</v>
      </c>
      <c r="L119" s="188">
        <v>46621.7</v>
      </c>
      <c r="M119" s="70"/>
      <c r="N119" s="188">
        <v>112543</v>
      </c>
      <c r="O119" s="188">
        <v>113491.75</v>
      </c>
      <c r="P119" s="188">
        <v>112171.5</v>
      </c>
      <c r="Q119" s="129"/>
      <c r="R119" s="67"/>
      <c r="S119" s="188">
        <v>21420.75</v>
      </c>
      <c r="T119" s="188">
        <v>38512.25</v>
      </c>
      <c r="U119" s="188">
        <v>43315</v>
      </c>
      <c r="V119" s="61"/>
      <c r="W119" s="58"/>
      <c r="X119" s="188">
        <v>116237</v>
      </c>
      <c r="Y119" s="188">
        <v>115712</v>
      </c>
      <c r="Z119" s="129"/>
      <c r="AA119" s="133"/>
      <c r="AB119" s="67"/>
      <c r="AC119" s="188">
        <v>25972.25</v>
      </c>
      <c r="AD119" s="188">
        <v>35218.25</v>
      </c>
      <c r="AE119" s="61"/>
      <c r="AF119" s="65"/>
      <c r="AG119" s="58"/>
      <c r="AH119" s="188">
        <v>128520.5</v>
      </c>
      <c r="AI119" s="129"/>
      <c r="AJ119" s="133"/>
      <c r="AK119" s="133"/>
      <c r="AL119" s="67"/>
      <c r="AM119" s="188">
        <v>19969.75</v>
      </c>
      <c r="AN119" s="135"/>
      <c r="AO119" s="135"/>
      <c r="AP119" s="135"/>
    </row>
    <row r="120" spans="1:42" x14ac:dyDescent="0.25">
      <c r="A120" t="s">
        <v>59</v>
      </c>
      <c r="B120" t="s">
        <v>46</v>
      </c>
      <c r="C120" s="212" t="str">
        <f t="shared" si="1"/>
        <v>Columbia Family</v>
      </c>
      <c r="D120" s="188">
        <v>26786</v>
      </c>
      <c r="E120" s="188">
        <v>26368</v>
      </c>
      <c r="F120" s="188">
        <v>26368</v>
      </c>
      <c r="G120" s="188">
        <v>26368</v>
      </c>
      <c r="H120" s="125"/>
      <c r="I120" s="188">
        <v>25900</v>
      </c>
      <c r="J120" s="188">
        <v>26318</v>
      </c>
      <c r="K120" s="188">
        <v>26318</v>
      </c>
      <c r="L120" s="188">
        <v>26318</v>
      </c>
      <c r="M120" s="70"/>
      <c r="N120" s="188">
        <v>36589</v>
      </c>
      <c r="O120" s="188">
        <v>36181</v>
      </c>
      <c r="P120" s="188">
        <v>36181</v>
      </c>
      <c r="Q120" s="129"/>
      <c r="R120" s="67"/>
      <c r="S120" s="188">
        <v>35473</v>
      </c>
      <c r="T120" s="188">
        <v>35473</v>
      </c>
      <c r="U120" s="188">
        <v>35473</v>
      </c>
      <c r="V120" s="61"/>
      <c r="W120" s="58"/>
      <c r="X120" s="188">
        <v>51257</v>
      </c>
      <c r="Y120" s="188">
        <v>51317</v>
      </c>
      <c r="Z120" s="129"/>
      <c r="AA120" s="133"/>
      <c r="AB120" s="67"/>
      <c r="AC120" s="188">
        <v>50231</v>
      </c>
      <c r="AD120" s="188">
        <v>50339</v>
      </c>
      <c r="AE120" s="61"/>
      <c r="AF120" s="65"/>
      <c r="AG120" s="58"/>
      <c r="AH120" s="188">
        <v>48357</v>
      </c>
      <c r="AI120" s="129"/>
      <c r="AJ120" s="133"/>
      <c r="AK120" s="133"/>
      <c r="AL120" s="67"/>
      <c r="AM120" s="188">
        <v>44618</v>
      </c>
      <c r="AN120" s="135"/>
      <c r="AO120" s="135"/>
      <c r="AP120" s="135"/>
    </row>
    <row r="121" spans="1:42" x14ac:dyDescent="0.25">
      <c r="A121" t="s">
        <v>59</v>
      </c>
      <c r="B121" t="s">
        <v>40</v>
      </c>
      <c r="C121" s="212" t="str">
        <f t="shared" si="1"/>
        <v>Columbia Juvenile Delinquency</v>
      </c>
      <c r="D121" s="188">
        <v>547</v>
      </c>
      <c r="E121" s="188">
        <v>547</v>
      </c>
      <c r="F121" s="188">
        <v>547</v>
      </c>
      <c r="G121" s="188">
        <v>547</v>
      </c>
      <c r="H121" s="125"/>
      <c r="I121" s="188">
        <v>107</v>
      </c>
      <c r="J121" s="188">
        <v>127</v>
      </c>
      <c r="K121" s="188">
        <v>127</v>
      </c>
      <c r="L121" s="188">
        <v>127</v>
      </c>
      <c r="M121" s="70"/>
      <c r="N121" s="188">
        <v>316</v>
      </c>
      <c r="O121" s="188">
        <v>316</v>
      </c>
      <c r="P121" s="188">
        <v>316</v>
      </c>
      <c r="Q121" s="129"/>
      <c r="R121" s="67"/>
      <c r="S121" s="188">
        <v>100</v>
      </c>
      <c r="T121" s="188">
        <v>150</v>
      </c>
      <c r="U121" s="188">
        <v>150</v>
      </c>
      <c r="V121" s="61"/>
      <c r="W121" s="58"/>
      <c r="X121" s="188">
        <v>1750</v>
      </c>
      <c r="Y121" s="188">
        <v>1750</v>
      </c>
      <c r="Z121" s="129"/>
      <c r="AA121" s="133"/>
      <c r="AB121" s="67"/>
      <c r="AC121" s="188">
        <v>900</v>
      </c>
      <c r="AD121" s="188">
        <v>900</v>
      </c>
      <c r="AE121" s="61"/>
      <c r="AF121" s="65"/>
      <c r="AG121" s="58"/>
      <c r="AH121" s="188">
        <v>2357</v>
      </c>
      <c r="AI121" s="129"/>
      <c r="AJ121" s="133"/>
      <c r="AK121" s="133"/>
      <c r="AL121" s="67"/>
      <c r="AM121" s="188">
        <v>128.5</v>
      </c>
      <c r="AN121" s="135"/>
      <c r="AO121" s="135"/>
      <c r="AP121" s="135"/>
    </row>
    <row r="122" spans="1:42" x14ac:dyDescent="0.25">
      <c r="A122" t="s">
        <v>59</v>
      </c>
      <c r="B122" t="s">
        <v>45</v>
      </c>
      <c r="C122" s="212" t="str">
        <f t="shared" si="1"/>
        <v>Columbia Probate</v>
      </c>
      <c r="D122" s="188">
        <v>20900</v>
      </c>
      <c r="E122" s="188">
        <v>20900</v>
      </c>
      <c r="F122" s="188">
        <v>20900</v>
      </c>
      <c r="G122" s="188">
        <v>20900</v>
      </c>
      <c r="H122" s="125"/>
      <c r="I122" s="188">
        <v>20438</v>
      </c>
      <c r="J122" s="188">
        <v>20438</v>
      </c>
      <c r="K122" s="188">
        <v>20438</v>
      </c>
      <c r="L122" s="188">
        <v>20438</v>
      </c>
      <c r="M122" s="70"/>
      <c r="N122" s="188">
        <v>20760.91</v>
      </c>
      <c r="O122" s="188">
        <v>20760.91</v>
      </c>
      <c r="P122" s="188">
        <v>20760.91</v>
      </c>
      <c r="Q122" s="129"/>
      <c r="R122" s="67"/>
      <c r="S122" s="188">
        <v>20298.91</v>
      </c>
      <c r="T122" s="188">
        <v>20298.91</v>
      </c>
      <c r="U122" s="188">
        <v>20298.91</v>
      </c>
      <c r="V122" s="61"/>
      <c r="W122" s="58"/>
      <c r="X122" s="188">
        <v>27654</v>
      </c>
      <c r="Y122" s="188">
        <v>27564</v>
      </c>
      <c r="Z122" s="129"/>
      <c r="AA122" s="133"/>
      <c r="AB122" s="67"/>
      <c r="AC122" s="188">
        <v>27564</v>
      </c>
      <c r="AD122" s="188">
        <v>27564</v>
      </c>
      <c r="AE122" s="61"/>
      <c r="AF122" s="65"/>
      <c r="AG122" s="58"/>
      <c r="AH122" s="188">
        <v>22896</v>
      </c>
      <c r="AI122" s="129"/>
      <c r="AJ122" s="133"/>
      <c r="AK122" s="133"/>
      <c r="AL122" s="67"/>
      <c r="AM122" s="188">
        <v>22551</v>
      </c>
      <c r="AN122" s="135"/>
      <c r="AO122" s="135"/>
      <c r="AP122" s="135"/>
    </row>
    <row r="123" spans="1:42" x14ac:dyDescent="0.25">
      <c r="A123" t="s">
        <v>60</v>
      </c>
      <c r="B123" t="s">
        <v>42</v>
      </c>
      <c r="C123" s="212" t="str">
        <f t="shared" si="1"/>
        <v>Dade Circuit Civil</v>
      </c>
      <c r="D123" s="188">
        <v>4580878</v>
      </c>
      <c r="E123" s="188">
        <v>4580878</v>
      </c>
      <c r="F123" s="188">
        <v>4580878</v>
      </c>
      <c r="G123" s="188">
        <v>4580878</v>
      </c>
      <c r="H123" s="125"/>
      <c r="I123" s="188">
        <v>4580878</v>
      </c>
      <c r="J123" s="188">
        <v>4580878</v>
      </c>
      <c r="K123" s="188">
        <v>4580878</v>
      </c>
      <c r="L123" s="188">
        <v>4580878</v>
      </c>
      <c r="M123" s="70"/>
      <c r="N123" s="188">
        <v>4359440</v>
      </c>
      <c r="O123" s="188">
        <v>4359440</v>
      </c>
      <c r="P123" s="188">
        <v>4359440</v>
      </c>
      <c r="Q123" s="129"/>
      <c r="R123" s="67"/>
      <c r="S123" s="188">
        <v>4359440</v>
      </c>
      <c r="T123" s="188">
        <v>4359440</v>
      </c>
      <c r="U123" s="188">
        <v>4359440</v>
      </c>
      <c r="V123" s="61"/>
      <c r="W123" s="58"/>
      <c r="X123" s="188">
        <v>4363165</v>
      </c>
      <c r="Y123" s="188">
        <v>4363165</v>
      </c>
      <c r="Z123" s="129"/>
      <c r="AA123" s="133"/>
      <c r="AB123" s="67"/>
      <c r="AC123" s="188">
        <v>4363165</v>
      </c>
      <c r="AD123" s="188">
        <v>4363165</v>
      </c>
      <c r="AE123" s="61"/>
      <c r="AF123" s="65"/>
      <c r="AG123" s="58"/>
      <c r="AH123" s="188">
        <v>4653856</v>
      </c>
      <c r="AI123" s="129"/>
      <c r="AJ123" s="133"/>
      <c r="AK123" s="133"/>
      <c r="AL123" s="67"/>
      <c r="AM123" s="188">
        <v>4653856</v>
      </c>
      <c r="AN123" s="135"/>
      <c r="AO123" s="135"/>
      <c r="AP123" s="135"/>
    </row>
    <row r="124" spans="1:42" x14ac:dyDescent="0.25">
      <c r="A124" t="s">
        <v>60</v>
      </c>
      <c r="B124" t="s">
        <v>38</v>
      </c>
      <c r="C124" s="212" t="str">
        <f t="shared" si="1"/>
        <v>Dade Circuit Criminal</v>
      </c>
      <c r="D124" s="188">
        <v>2864015</v>
      </c>
      <c r="E124" s="188">
        <v>2864015</v>
      </c>
      <c r="F124" s="188">
        <v>2864015</v>
      </c>
      <c r="G124" s="188">
        <v>2864015</v>
      </c>
      <c r="H124" s="125"/>
      <c r="I124" s="188">
        <v>103132</v>
      </c>
      <c r="J124" s="188">
        <v>182107</v>
      </c>
      <c r="K124" s="188">
        <v>243774</v>
      </c>
      <c r="L124" s="188">
        <v>294168</v>
      </c>
      <c r="M124" s="70"/>
      <c r="N124" s="188">
        <v>3060414</v>
      </c>
      <c r="O124" s="188">
        <v>3060414</v>
      </c>
      <c r="P124" s="188">
        <v>3060414</v>
      </c>
      <c r="Q124" s="129"/>
      <c r="R124" s="67"/>
      <c r="S124" s="188">
        <v>143362</v>
      </c>
      <c r="T124" s="188">
        <v>228058</v>
      </c>
      <c r="U124" s="188">
        <v>285849</v>
      </c>
      <c r="V124" s="61"/>
      <c r="W124" s="58"/>
      <c r="X124" s="188">
        <v>4356462</v>
      </c>
      <c r="Y124" s="188">
        <v>4356462</v>
      </c>
      <c r="Z124" s="129"/>
      <c r="AA124" s="133"/>
      <c r="AB124" s="67"/>
      <c r="AC124" s="188">
        <v>112659</v>
      </c>
      <c r="AD124" s="188">
        <v>195772</v>
      </c>
      <c r="AE124" s="61"/>
      <c r="AF124" s="65"/>
      <c r="AG124" s="58"/>
      <c r="AH124" s="188">
        <v>2643864</v>
      </c>
      <c r="AI124" s="129"/>
      <c r="AJ124" s="133"/>
      <c r="AK124" s="133"/>
      <c r="AL124" s="67"/>
      <c r="AM124" s="188">
        <v>100008</v>
      </c>
      <c r="AN124" s="135"/>
      <c r="AO124" s="135"/>
      <c r="AP124" s="135"/>
    </row>
    <row r="125" spans="1:42" x14ac:dyDescent="0.25">
      <c r="A125" t="s">
        <v>60</v>
      </c>
      <c r="B125" t="s">
        <v>265</v>
      </c>
      <c r="C125" s="212" t="str">
        <f t="shared" si="1"/>
        <v>Dade Circuit Criminal Drug Cases</v>
      </c>
      <c r="D125" s="188">
        <v>555485</v>
      </c>
      <c r="E125" s="188">
        <v>555485</v>
      </c>
      <c r="F125" s="188">
        <v>555485</v>
      </c>
      <c r="G125" s="188">
        <v>555485</v>
      </c>
      <c r="I125" s="188">
        <v>3337</v>
      </c>
      <c r="J125" s="188">
        <v>5779</v>
      </c>
      <c r="K125" s="188">
        <v>8263</v>
      </c>
      <c r="L125" s="188">
        <v>10785</v>
      </c>
      <c r="N125" s="188">
        <v>582585</v>
      </c>
      <c r="O125" s="188">
        <v>582585</v>
      </c>
      <c r="P125" s="188">
        <v>582585</v>
      </c>
      <c r="S125" s="188">
        <v>1118</v>
      </c>
      <c r="T125" s="188">
        <v>4316</v>
      </c>
      <c r="U125" s="188">
        <v>5575</v>
      </c>
      <c r="X125" s="188">
        <v>1715067</v>
      </c>
      <c r="Y125" s="188">
        <v>1715067</v>
      </c>
      <c r="AC125" s="188">
        <v>2028</v>
      </c>
      <c r="AD125" s="188">
        <v>3509</v>
      </c>
      <c r="AH125" s="188">
        <v>110169</v>
      </c>
      <c r="AM125" s="188">
        <v>1746</v>
      </c>
    </row>
    <row r="126" spans="1:42" x14ac:dyDescent="0.25">
      <c r="A126" t="s">
        <v>60</v>
      </c>
      <c r="B126" t="s">
        <v>44</v>
      </c>
      <c r="C126" s="212" t="str">
        <f t="shared" si="1"/>
        <v>Dade Civil Traffic</v>
      </c>
      <c r="D126" s="188">
        <v>14681584.5</v>
      </c>
      <c r="E126" s="188">
        <v>14681584.5</v>
      </c>
      <c r="F126" s="188">
        <v>14681584.5</v>
      </c>
      <c r="G126" s="188">
        <v>14681584.5</v>
      </c>
      <c r="H126" s="125"/>
      <c r="I126" s="188">
        <v>6473163.0499999998</v>
      </c>
      <c r="J126" s="188">
        <v>10100599.33</v>
      </c>
      <c r="K126" s="188">
        <v>10860854.279999999</v>
      </c>
      <c r="L126" s="188">
        <v>11269587.689999999</v>
      </c>
      <c r="M126" s="70"/>
      <c r="N126" s="188">
        <v>14297819.529999999</v>
      </c>
      <c r="O126" s="188">
        <v>14297819.529999999</v>
      </c>
      <c r="P126" s="188">
        <v>14297819.529999999</v>
      </c>
      <c r="Q126" s="129"/>
      <c r="R126" s="67"/>
      <c r="S126" s="188">
        <v>7285385.0499999998</v>
      </c>
      <c r="T126" s="188">
        <v>10676800.859999999</v>
      </c>
      <c r="U126" s="188">
        <v>11377824.880000001</v>
      </c>
      <c r="V126" s="61"/>
      <c r="W126" s="58"/>
      <c r="X126" s="188">
        <v>15885482.119999999</v>
      </c>
      <c r="Y126" s="188">
        <v>15885482.119999999</v>
      </c>
      <c r="Z126" s="129"/>
      <c r="AA126" s="133"/>
      <c r="AB126" s="67"/>
      <c r="AC126" s="188">
        <v>6639384.0999999996</v>
      </c>
      <c r="AD126" s="188">
        <v>10333984.199999999</v>
      </c>
      <c r="AE126" s="61"/>
      <c r="AF126" s="65"/>
      <c r="AG126" s="58"/>
      <c r="AH126" s="188">
        <v>17922836.710000001</v>
      </c>
      <c r="AI126" s="129"/>
      <c r="AJ126" s="133"/>
      <c r="AK126" s="133"/>
      <c r="AL126" s="67"/>
      <c r="AM126" s="188">
        <v>6949556.4900000002</v>
      </c>
      <c r="AN126" s="135"/>
      <c r="AO126" s="135"/>
      <c r="AP126" s="135"/>
    </row>
    <row r="127" spans="1:42" x14ac:dyDescent="0.25">
      <c r="A127" t="s">
        <v>60</v>
      </c>
      <c r="B127" t="s">
        <v>43</v>
      </c>
      <c r="C127" s="212" t="str">
        <f t="shared" si="1"/>
        <v>Dade County Civil</v>
      </c>
      <c r="D127" s="188">
        <v>4012578</v>
      </c>
      <c r="E127" s="188">
        <v>4012578</v>
      </c>
      <c r="F127" s="188">
        <v>4012578</v>
      </c>
      <c r="G127" s="188">
        <v>4012578</v>
      </c>
      <c r="H127" s="125"/>
      <c r="I127" s="188">
        <v>4012578</v>
      </c>
      <c r="J127" s="188">
        <v>4012578</v>
      </c>
      <c r="K127" s="188">
        <v>4012578</v>
      </c>
      <c r="L127" s="188">
        <v>4012578</v>
      </c>
      <c r="M127" s="70"/>
      <c r="N127" s="188">
        <v>3579361</v>
      </c>
      <c r="O127" s="188">
        <v>3579361</v>
      </c>
      <c r="P127" s="188">
        <v>3579361</v>
      </c>
      <c r="Q127" s="129"/>
      <c r="R127" s="67"/>
      <c r="S127" s="188">
        <v>3579361</v>
      </c>
      <c r="T127" s="188">
        <v>3579361</v>
      </c>
      <c r="U127" s="188">
        <v>3579361</v>
      </c>
      <c r="V127" s="61"/>
      <c r="W127" s="58"/>
      <c r="X127" s="188">
        <v>4185885</v>
      </c>
      <c r="Y127" s="188">
        <v>4185885</v>
      </c>
      <c r="Z127" s="129"/>
      <c r="AA127" s="133"/>
      <c r="AB127" s="67"/>
      <c r="AC127" s="188">
        <v>4185885</v>
      </c>
      <c r="AD127" s="188">
        <v>4185885</v>
      </c>
      <c r="AE127" s="61"/>
      <c r="AF127" s="65"/>
      <c r="AG127" s="58"/>
      <c r="AH127" s="188">
        <v>4018564</v>
      </c>
      <c r="AI127" s="129"/>
      <c r="AJ127" s="133"/>
      <c r="AK127" s="133"/>
      <c r="AL127" s="67"/>
      <c r="AM127" s="188">
        <v>4018564</v>
      </c>
      <c r="AN127" s="135"/>
      <c r="AO127" s="135"/>
      <c r="AP127" s="135"/>
    </row>
    <row r="128" spans="1:42" x14ac:dyDescent="0.25">
      <c r="A128" t="s">
        <v>60</v>
      </c>
      <c r="B128" t="s">
        <v>39</v>
      </c>
      <c r="C128" s="212" t="str">
        <f t="shared" si="1"/>
        <v>Dade County Criminal</v>
      </c>
      <c r="D128" s="188">
        <v>1594064</v>
      </c>
      <c r="E128" s="188">
        <v>1594064</v>
      </c>
      <c r="F128" s="188">
        <v>1594064</v>
      </c>
      <c r="G128" s="188">
        <v>1594064</v>
      </c>
      <c r="H128" s="125"/>
      <c r="I128" s="188">
        <v>130986</v>
      </c>
      <c r="J128" s="188">
        <v>268722</v>
      </c>
      <c r="K128" s="188">
        <v>330134</v>
      </c>
      <c r="L128" s="188">
        <v>361026</v>
      </c>
      <c r="M128" s="70"/>
      <c r="N128" s="188">
        <v>1622802</v>
      </c>
      <c r="O128" s="188">
        <v>1622802</v>
      </c>
      <c r="P128" s="188">
        <v>1622802</v>
      </c>
      <c r="Q128" s="129"/>
      <c r="R128" s="67"/>
      <c r="S128" s="188">
        <v>165363</v>
      </c>
      <c r="T128" s="188">
        <v>309959</v>
      </c>
      <c r="U128" s="188">
        <v>380199</v>
      </c>
      <c r="V128" s="61"/>
      <c r="W128" s="58"/>
      <c r="X128" s="188">
        <v>1472741</v>
      </c>
      <c r="Y128" s="188">
        <v>1472741</v>
      </c>
      <c r="Z128" s="129"/>
      <c r="AA128" s="133"/>
      <c r="AB128" s="67"/>
      <c r="AC128" s="188">
        <v>156718</v>
      </c>
      <c r="AD128" s="188">
        <v>275035</v>
      </c>
      <c r="AE128" s="61"/>
      <c r="AF128" s="65"/>
      <c r="AG128" s="58"/>
      <c r="AH128" s="188">
        <v>1350382</v>
      </c>
      <c r="AI128" s="129"/>
      <c r="AJ128" s="133"/>
      <c r="AK128" s="133"/>
      <c r="AL128" s="67"/>
      <c r="AM128" s="188">
        <v>135329</v>
      </c>
      <c r="AN128" s="135"/>
      <c r="AO128" s="135"/>
      <c r="AP128" s="135"/>
    </row>
    <row r="129" spans="1:42" x14ac:dyDescent="0.25">
      <c r="A129" t="s">
        <v>60</v>
      </c>
      <c r="B129" t="s">
        <v>41</v>
      </c>
      <c r="C129" s="212" t="str">
        <f t="shared" si="1"/>
        <v>Dade Criminal Traffic</v>
      </c>
      <c r="D129" s="188">
        <v>2186747.02</v>
      </c>
      <c r="E129" s="188">
        <v>2186747.02</v>
      </c>
      <c r="F129" s="188">
        <v>2186747.02</v>
      </c>
      <c r="G129" s="188">
        <v>2186747.02</v>
      </c>
      <c r="H129" s="125"/>
      <c r="I129" s="188">
        <v>291246.53000000003</v>
      </c>
      <c r="J129" s="188">
        <v>702240.36</v>
      </c>
      <c r="K129" s="188">
        <v>874963.01</v>
      </c>
      <c r="L129" s="188">
        <v>953172.55</v>
      </c>
      <c r="M129" s="70"/>
      <c r="N129" s="188">
        <v>2574312.23</v>
      </c>
      <c r="O129" s="188">
        <v>2574312.23</v>
      </c>
      <c r="P129" s="188">
        <v>2574312.23</v>
      </c>
      <c r="Q129" s="129"/>
      <c r="R129" s="67"/>
      <c r="S129" s="188">
        <v>433960.59</v>
      </c>
      <c r="T129" s="188">
        <v>886322.58</v>
      </c>
      <c r="U129" s="188">
        <v>1053872.05</v>
      </c>
      <c r="V129" s="61"/>
      <c r="W129" s="58"/>
      <c r="X129" s="188">
        <v>2416191.21</v>
      </c>
      <c r="Y129" s="188">
        <v>2416191.21</v>
      </c>
      <c r="Z129" s="129"/>
      <c r="AA129" s="133"/>
      <c r="AB129" s="67"/>
      <c r="AC129" s="188">
        <v>409332.93</v>
      </c>
      <c r="AD129" s="188">
        <v>785360.92</v>
      </c>
      <c r="AE129" s="61"/>
      <c r="AF129" s="65"/>
      <c r="AG129" s="58"/>
      <c r="AH129" s="188">
        <v>2055064.28</v>
      </c>
      <c r="AI129" s="129"/>
      <c r="AJ129" s="133"/>
      <c r="AK129" s="133"/>
      <c r="AL129" s="67"/>
      <c r="AM129" s="188">
        <v>293226.42</v>
      </c>
      <c r="AN129" s="135"/>
      <c r="AO129" s="135"/>
      <c r="AP129" s="135"/>
    </row>
    <row r="130" spans="1:42" x14ac:dyDescent="0.25">
      <c r="A130" t="s">
        <v>60</v>
      </c>
      <c r="B130" t="s">
        <v>46</v>
      </c>
      <c r="C130" s="212" t="str">
        <f t="shared" si="1"/>
        <v>Dade Family</v>
      </c>
      <c r="D130" s="188">
        <v>1362942</v>
      </c>
      <c r="E130" s="188">
        <v>1362942</v>
      </c>
      <c r="F130" s="188">
        <v>1362942</v>
      </c>
      <c r="G130" s="188">
        <v>1362942</v>
      </c>
      <c r="H130" s="125"/>
      <c r="I130" s="188">
        <v>1362942</v>
      </c>
      <c r="J130" s="188">
        <v>1362942</v>
      </c>
      <c r="K130" s="188">
        <v>1362942</v>
      </c>
      <c r="L130" s="188">
        <v>1362942</v>
      </c>
      <c r="M130" s="70"/>
      <c r="N130" s="188">
        <v>1562536</v>
      </c>
      <c r="O130" s="188">
        <v>1562536</v>
      </c>
      <c r="P130" s="188">
        <v>1562536</v>
      </c>
      <c r="Q130" s="129"/>
      <c r="R130" s="67"/>
      <c r="S130" s="188">
        <v>1562536</v>
      </c>
      <c r="T130" s="188">
        <v>1562536</v>
      </c>
      <c r="U130" s="188">
        <v>1562536</v>
      </c>
      <c r="V130" s="61"/>
      <c r="W130" s="58"/>
      <c r="X130" s="188">
        <v>1621660</v>
      </c>
      <c r="Y130" s="188">
        <v>1621660</v>
      </c>
      <c r="Z130" s="129"/>
      <c r="AA130" s="133"/>
      <c r="AB130" s="67"/>
      <c r="AC130" s="188">
        <v>1621660</v>
      </c>
      <c r="AD130" s="188">
        <v>1621660</v>
      </c>
      <c r="AE130" s="61"/>
      <c r="AF130" s="65"/>
      <c r="AG130" s="58"/>
      <c r="AH130" s="188">
        <v>1430056</v>
      </c>
      <c r="AI130" s="129"/>
      <c r="AJ130" s="133"/>
      <c r="AK130" s="133"/>
      <c r="AL130" s="67"/>
      <c r="AM130" s="188">
        <v>1430056</v>
      </c>
      <c r="AN130" s="135"/>
      <c r="AO130" s="135"/>
      <c r="AP130" s="135"/>
    </row>
    <row r="131" spans="1:42" x14ac:dyDescent="0.25">
      <c r="A131" t="s">
        <v>60</v>
      </c>
      <c r="B131" t="s">
        <v>40</v>
      </c>
      <c r="C131" s="212" t="str">
        <f t="shared" ref="C131:C194" si="2">A131&amp;" "&amp;B131</f>
        <v>Dade Juvenile Delinquency</v>
      </c>
      <c r="D131" s="188">
        <v>80031</v>
      </c>
      <c r="E131" s="188">
        <v>80031</v>
      </c>
      <c r="F131" s="188">
        <v>80031</v>
      </c>
      <c r="G131" s="188">
        <v>80031</v>
      </c>
      <c r="H131" s="125"/>
      <c r="I131" s="188">
        <v>6718</v>
      </c>
      <c r="J131" s="188">
        <v>10501</v>
      </c>
      <c r="K131" s="188">
        <v>11160</v>
      </c>
      <c r="L131" s="188">
        <v>10909</v>
      </c>
      <c r="M131" s="70"/>
      <c r="N131" s="188">
        <v>70165</v>
      </c>
      <c r="O131" s="188">
        <v>70165</v>
      </c>
      <c r="P131" s="188">
        <v>70165</v>
      </c>
      <c r="Q131" s="129"/>
      <c r="R131" s="67"/>
      <c r="S131" s="188">
        <v>5850</v>
      </c>
      <c r="T131" s="188">
        <v>9338</v>
      </c>
      <c r="U131" s="188">
        <v>9936</v>
      </c>
      <c r="V131" s="61"/>
      <c r="W131" s="58"/>
      <c r="X131" s="188">
        <v>81652</v>
      </c>
      <c r="Y131" s="188">
        <v>81652</v>
      </c>
      <c r="Z131" s="129"/>
      <c r="AA131" s="133"/>
      <c r="AB131" s="67"/>
      <c r="AC131" s="188">
        <v>6783</v>
      </c>
      <c r="AD131" s="188">
        <v>9534</v>
      </c>
      <c r="AE131" s="61"/>
      <c r="AF131" s="65"/>
      <c r="AG131" s="58"/>
      <c r="AH131" s="188">
        <v>73488</v>
      </c>
      <c r="AI131" s="129"/>
      <c r="AJ131" s="133"/>
      <c r="AK131" s="133"/>
      <c r="AL131" s="67"/>
      <c r="AM131" s="188">
        <v>6609</v>
      </c>
      <c r="AN131" s="135"/>
      <c r="AO131" s="135"/>
      <c r="AP131" s="135"/>
    </row>
    <row r="132" spans="1:42" x14ac:dyDescent="0.25">
      <c r="A132" t="s">
        <v>60</v>
      </c>
      <c r="B132" t="s">
        <v>45</v>
      </c>
      <c r="C132" s="212" t="str">
        <f t="shared" si="2"/>
        <v>Dade Probate</v>
      </c>
      <c r="D132" s="188">
        <v>429271</v>
      </c>
      <c r="E132" s="188">
        <v>429271</v>
      </c>
      <c r="F132" s="188">
        <v>429271</v>
      </c>
      <c r="G132" s="188">
        <v>429271</v>
      </c>
      <c r="H132" s="125"/>
      <c r="I132" s="188">
        <v>429271</v>
      </c>
      <c r="J132" s="188">
        <v>429271</v>
      </c>
      <c r="K132" s="188">
        <v>429271</v>
      </c>
      <c r="L132" s="188">
        <v>429271</v>
      </c>
      <c r="M132" s="70"/>
      <c r="N132" s="188">
        <v>476346</v>
      </c>
      <c r="O132" s="188">
        <v>476346</v>
      </c>
      <c r="P132" s="188">
        <v>476346</v>
      </c>
      <c r="Q132" s="129"/>
      <c r="R132" s="67"/>
      <c r="S132" s="188">
        <v>476346</v>
      </c>
      <c r="T132" s="188">
        <v>476346</v>
      </c>
      <c r="U132" s="188">
        <v>476346</v>
      </c>
      <c r="V132" s="61"/>
      <c r="W132" s="58"/>
      <c r="X132" s="188">
        <v>515979</v>
      </c>
      <c r="Y132" s="188">
        <v>515979</v>
      </c>
      <c r="Z132" s="129"/>
      <c r="AA132" s="133"/>
      <c r="AB132" s="67"/>
      <c r="AC132" s="188">
        <v>515979</v>
      </c>
      <c r="AD132" s="188">
        <v>515979</v>
      </c>
      <c r="AE132" s="61"/>
      <c r="AF132" s="65"/>
      <c r="AG132" s="58"/>
      <c r="AH132" s="188">
        <v>476963</v>
      </c>
      <c r="AI132" s="129"/>
      <c r="AJ132" s="133"/>
      <c r="AK132" s="133"/>
      <c r="AL132" s="67"/>
      <c r="AM132" s="188">
        <v>476963</v>
      </c>
      <c r="AN132" s="135"/>
      <c r="AO132" s="135"/>
      <c r="AP132" s="135"/>
    </row>
    <row r="133" spans="1:42" x14ac:dyDescent="0.25">
      <c r="A133" t="s">
        <v>61</v>
      </c>
      <c r="B133" t="s">
        <v>42</v>
      </c>
      <c r="C133" s="212" t="str">
        <f t="shared" si="2"/>
        <v>Desoto Circuit Civil</v>
      </c>
      <c r="D133" s="188">
        <v>28464.95</v>
      </c>
      <c r="E133" s="188">
        <v>28464.95</v>
      </c>
      <c r="F133" s="188">
        <v>28464.95</v>
      </c>
      <c r="G133" s="188">
        <v>28464.95</v>
      </c>
      <c r="H133" s="125"/>
      <c r="I133" s="188">
        <v>27119.95</v>
      </c>
      <c r="J133" s="188">
        <v>28064.95</v>
      </c>
      <c r="K133" s="188">
        <v>28064.95</v>
      </c>
      <c r="L133" s="188">
        <v>28064.95</v>
      </c>
      <c r="M133" s="70"/>
      <c r="N133" s="188">
        <v>34670.5</v>
      </c>
      <c r="O133" s="188">
        <v>34670.5</v>
      </c>
      <c r="P133" s="188">
        <v>34670.5</v>
      </c>
      <c r="Q133" s="129"/>
      <c r="R133" s="67"/>
      <c r="S133" s="188">
        <v>34270.5</v>
      </c>
      <c r="T133" s="188">
        <v>34270.5</v>
      </c>
      <c r="U133" s="188">
        <v>34270.5</v>
      </c>
      <c r="V133" s="61"/>
      <c r="W133" s="58"/>
      <c r="X133" s="188">
        <v>28167.5</v>
      </c>
      <c r="Y133" s="188">
        <v>28167.5</v>
      </c>
      <c r="Z133" s="129"/>
      <c r="AA133" s="133"/>
      <c r="AB133" s="67"/>
      <c r="AC133" s="188">
        <v>27232.5</v>
      </c>
      <c r="AD133" s="188">
        <v>28167.5</v>
      </c>
      <c r="AE133" s="61"/>
      <c r="AF133" s="65"/>
      <c r="AG133" s="58"/>
      <c r="AH133" s="188">
        <v>29542.5</v>
      </c>
      <c r="AI133" s="129"/>
      <c r="AJ133" s="133"/>
      <c r="AK133" s="133"/>
      <c r="AL133" s="67"/>
      <c r="AM133" s="188">
        <v>29542.5</v>
      </c>
      <c r="AN133" s="135"/>
      <c r="AO133" s="135"/>
      <c r="AP133" s="135"/>
    </row>
    <row r="134" spans="1:42" x14ac:dyDescent="0.25">
      <c r="A134" t="s">
        <v>61</v>
      </c>
      <c r="B134" t="s">
        <v>38</v>
      </c>
      <c r="C134" s="212" t="str">
        <f t="shared" si="2"/>
        <v>Desoto Circuit Criminal</v>
      </c>
      <c r="D134" s="188">
        <v>385243.12</v>
      </c>
      <c r="E134" s="188">
        <v>409616.69</v>
      </c>
      <c r="F134" s="188">
        <v>409616.69</v>
      </c>
      <c r="G134" s="188">
        <v>409616.69</v>
      </c>
      <c r="H134" s="125"/>
      <c r="I134" s="188">
        <v>11025.77</v>
      </c>
      <c r="J134" s="188">
        <v>14935.45</v>
      </c>
      <c r="K134" s="188">
        <v>19299.09</v>
      </c>
      <c r="L134" s="188">
        <v>23671.54</v>
      </c>
      <c r="M134" s="70"/>
      <c r="N134" s="188">
        <v>268832.34999999998</v>
      </c>
      <c r="O134" s="188">
        <v>271294.34999999998</v>
      </c>
      <c r="P134" s="188">
        <v>271294.34999999998</v>
      </c>
      <c r="Q134" s="129"/>
      <c r="R134" s="67"/>
      <c r="S134" s="188">
        <v>9223.3799999999992</v>
      </c>
      <c r="T134" s="188">
        <v>13307.83</v>
      </c>
      <c r="U134" s="188">
        <v>18175.810000000001</v>
      </c>
      <c r="V134" s="61"/>
      <c r="W134" s="58"/>
      <c r="X134" s="188">
        <v>165096.95000000001</v>
      </c>
      <c r="Y134" s="188">
        <v>165096.95000000001</v>
      </c>
      <c r="Z134" s="129"/>
      <c r="AA134" s="133"/>
      <c r="AB134" s="67"/>
      <c r="AC134" s="188">
        <v>7108.95</v>
      </c>
      <c r="AD134" s="188">
        <v>10579.89</v>
      </c>
      <c r="AE134" s="61"/>
      <c r="AF134" s="65"/>
      <c r="AG134" s="58"/>
      <c r="AH134" s="188">
        <v>124657.39</v>
      </c>
      <c r="AI134" s="129"/>
      <c r="AJ134" s="133"/>
      <c r="AK134" s="133"/>
      <c r="AL134" s="67"/>
      <c r="AM134" s="188">
        <v>6795.23</v>
      </c>
      <c r="AN134" s="135"/>
      <c r="AO134" s="135"/>
      <c r="AP134" s="135"/>
    </row>
    <row r="135" spans="1:42" x14ac:dyDescent="0.25">
      <c r="A135" t="s">
        <v>61</v>
      </c>
      <c r="B135" t="s">
        <v>265</v>
      </c>
      <c r="C135" s="212" t="str">
        <f t="shared" si="2"/>
        <v>Desoto Circuit Criminal Drug Cases</v>
      </c>
      <c r="D135" s="188"/>
      <c r="E135" s="188"/>
      <c r="F135" s="188"/>
      <c r="G135" s="188"/>
      <c r="I135" s="188"/>
      <c r="J135" s="188"/>
      <c r="K135" s="188"/>
      <c r="L135" s="188"/>
      <c r="N135" s="188"/>
      <c r="O135" s="188"/>
      <c r="P135" s="188"/>
      <c r="S135" s="188"/>
      <c r="T135" s="188"/>
      <c r="U135" s="188"/>
      <c r="X135" s="188"/>
      <c r="Y135" s="188"/>
      <c r="AC135" s="188"/>
      <c r="AD135" s="188"/>
      <c r="AH135" s="188"/>
      <c r="AM135" s="188"/>
    </row>
    <row r="136" spans="1:42" x14ac:dyDescent="0.25">
      <c r="A136" t="s">
        <v>61</v>
      </c>
      <c r="B136" t="s">
        <v>44</v>
      </c>
      <c r="C136" s="212" t="str">
        <f t="shared" si="2"/>
        <v>Desoto Civil Traffic</v>
      </c>
      <c r="D136" s="188">
        <v>272862</v>
      </c>
      <c r="E136" s="188">
        <v>264420.8</v>
      </c>
      <c r="F136" s="188">
        <v>261793.05</v>
      </c>
      <c r="G136" s="188">
        <v>261632.05</v>
      </c>
      <c r="H136" s="125"/>
      <c r="I136" s="188">
        <v>127285.46</v>
      </c>
      <c r="J136" s="188">
        <v>230371.82</v>
      </c>
      <c r="K136" s="188">
        <v>241591.9</v>
      </c>
      <c r="L136" s="188">
        <v>245405.4</v>
      </c>
      <c r="M136" s="70"/>
      <c r="N136" s="188">
        <v>235641.9</v>
      </c>
      <c r="O136" s="188">
        <v>231735.45</v>
      </c>
      <c r="P136" s="188">
        <v>231533.45</v>
      </c>
      <c r="Q136" s="129"/>
      <c r="R136" s="67"/>
      <c r="S136" s="188">
        <v>139854.79999999999</v>
      </c>
      <c r="T136" s="188">
        <v>208246.45</v>
      </c>
      <c r="U136" s="188">
        <v>217117.45</v>
      </c>
      <c r="V136" s="61"/>
      <c r="W136" s="58"/>
      <c r="X136" s="188">
        <v>271490.15000000002</v>
      </c>
      <c r="Y136" s="188">
        <v>265683.8</v>
      </c>
      <c r="Z136" s="129"/>
      <c r="AA136" s="133"/>
      <c r="AB136" s="67"/>
      <c r="AC136" s="188">
        <v>127317.25</v>
      </c>
      <c r="AD136" s="188">
        <v>227842.8</v>
      </c>
      <c r="AE136" s="61"/>
      <c r="AF136" s="65"/>
      <c r="AG136" s="58"/>
      <c r="AH136" s="188">
        <v>146939.20000000001</v>
      </c>
      <c r="AI136" s="129"/>
      <c r="AJ136" s="133"/>
      <c r="AK136" s="133"/>
      <c r="AL136" s="67"/>
      <c r="AM136" s="188">
        <v>75944.95</v>
      </c>
      <c r="AN136" s="135"/>
      <c r="AO136" s="135"/>
      <c r="AP136" s="135"/>
    </row>
    <row r="137" spans="1:42" x14ac:dyDescent="0.25">
      <c r="A137" t="s">
        <v>61</v>
      </c>
      <c r="B137" t="s">
        <v>43</v>
      </c>
      <c r="C137" s="212" t="str">
        <f t="shared" si="2"/>
        <v>Desoto County Civil</v>
      </c>
      <c r="D137" s="188">
        <v>19662</v>
      </c>
      <c r="E137" s="188">
        <v>19662</v>
      </c>
      <c r="F137" s="188">
        <v>19662</v>
      </c>
      <c r="G137" s="188">
        <v>19662</v>
      </c>
      <c r="H137" s="125"/>
      <c r="I137" s="188">
        <v>19358.150000000001</v>
      </c>
      <c r="J137" s="188">
        <v>19553.150000000001</v>
      </c>
      <c r="K137" s="188">
        <v>19553.150000000001</v>
      </c>
      <c r="L137" s="188">
        <v>19553.150000000001</v>
      </c>
      <c r="M137" s="70"/>
      <c r="N137" s="188">
        <v>19151</v>
      </c>
      <c r="O137" s="188">
        <v>19151</v>
      </c>
      <c r="P137" s="188">
        <v>19151</v>
      </c>
      <c r="Q137" s="129"/>
      <c r="R137" s="67"/>
      <c r="S137" s="188">
        <v>19151</v>
      </c>
      <c r="T137" s="188">
        <v>19151</v>
      </c>
      <c r="U137" s="188">
        <v>19151</v>
      </c>
      <c r="V137" s="61"/>
      <c r="W137" s="58"/>
      <c r="X137" s="188">
        <v>22334.5</v>
      </c>
      <c r="Y137" s="188">
        <v>22334.5</v>
      </c>
      <c r="Z137" s="129"/>
      <c r="AA137" s="133"/>
      <c r="AB137" s="67"/>
      <c r="AC137" s="188">
        <v>22334.5</v>
      </c>
      <c r="AD137" s="188">
        <v>22334.5</v>
      </c>
      <c r="AE137" s="61"/>
      <c r="AF137" s="65"/>
      <c r="AG137" s="58"/>
      <c r="AH137" s="188">
        <v>22206.5</v>
      </c>
      <c r="AI137" s="129"/>
      <c r="AJ137" s="133"/>
      <c r="AK137" s="133"/>
      <c r="AL137" s="67"/>
      <c r="AM137" s="188">
        <v>22206.5</v>
      </c>
      <c r="AN137" s="135"/>
      <c r="AO137" s="135"/>
      <c r="AP137" s="135"/>
    </row>
    <row r="138" spans="1:42" x14ac:dyDescent="0.25">
      <c r="A138" t="s">
        <v>61</v>
      </c>
      <c r="B138" t="s">
        <v>39</v>
      </c>
      <c r="C138" s="212" t="str">
        <f t="shared" si="2"/>
        <v>Desoto County Criminal</v>
      </c>
      <c r="D138" s="188">
        <v>67171</v>
      </c>
      <c r="E138" s="188">
        <v>67254.17</v>
      </c>
      <c r="F138" s="188">
        <v>67004.17</v>
      </c>
      <c r="G138" s="188">
        <v>67004.17</v>
      </c>
      <c r="H138" s="125"/>
      <c r="I138" s="188">
        <v>10215.59</v>
      </c>
      <c r="J138" s="188">
        <v>13894.9</v>
      </c>
      <c r="K138" s="188">
        <v>18389.03</v>
      </c>
      <c r="L138" s="188">
        <v>23218.99</v>
      </c>
      <c r="M138" s="70"/>
      <c r="N138" s="188">
        <v>65659.31</v>
      </c>
      <c r="O138" s="188">
        <v>65656.31</v>
      </c>
      <c r="P138" s="188">
        <v>66081.31</v>
      </c>
      <c r="Q138" s="129"/>
      <c r="R138" s="67"/>
      <c r="S138" s="188">
        <v>15141.5</v>
      </c>
      <c r="T138" s="188">
        <v>19172.5</v>
      </c>
      <c r="U138" s="188">
        <v>21562</v>
      </c>
      <c r="V138" s="61"/>
      <c r="W138" s="58"/>
      <c r="X138" s="188">
        <v>67167.240000000005</v>
      </c>
      <c r="Y138" s="188">
        <v>67030.740000000005</v>
      </c>
      <c r="Z138" s="129"/>
      <c r="AA138" s="133"/>
      <c r="AB138" s="67"/>
      <c r="AC138" s="188">
        <v>11682.25</v>
      </c>
      <c r="AD138" s="188">
        <v>18480.5</v>
      </c>
      <c r="AE138" s="61"/>
      <c r="AF138" s="65"/>
      <c r="AG138" s="58"/>
      <c r="AH138" s="188">
        <v>60100.23</v>
      </c>
      <c r="AI138" s="129"/>
      <c r="AJ138" s="133"/>
      <c r="AK138" s="133"/>
      <c r="AL138" s="67"/>
      <c r="AM138" s="188">
        <v>7762</v>
      </c>
      <c r="AN138" s="135"/>
      <c r="AO138" s="135"/>
      <c r="AP138" s="135"/>
    </row>
    <row r="139" spans="1:42" x14ac:dyDescent="0.25">
      <c r="A139" t="s">
        <v>61</v>
      </c>
      <c r="B139" t="s">
        <v>41</v>
      </c>
      <c r="C139" s="212" t="str">
        <f t="shared" si="2"/>
        <v>Desoto Criminal Traffic</v>
      </c>
      <c r="D139" s="188">
        <v>50430.7</v>
      </c>
      <c r="E139" s="188">
        <v>50405.7</v>
      </c>
      <c r="F139" s="188">
        <v>50405.7</v>
      </c>
      <c r="G139" s="188">
        <v>50405.7</v>
      </c>
      <c r="H139" s="125"/>
      <c r="I139" s="188">
        <v>17548.560000000001</v>
      </c>
      <c r="J139" s="188">
        <v>21160.560000000001</v>
      </c>
      <c r="K139" s="188">
        <v>27799.56</v>
      </c>
      <c r="L139" s="188">
        <v>29643.13</v>
      </c>
      <c r="M139" s="70"/>
      <c r="N139" s="188">
        <v>54496.28</v>
      </c>
      <c r="O139" s="188">
        <v>54496.28</v>
      </c>
      <c r="P139" s="188">
        <v>54930.78</v>
      </c>
      <c r="Q139" s="129"/>
      <c r="R139" s="67"/>
      <c r="S139" s="188">
        <v>18465.96</v>
      </c>
      <c r="T139" s="188">
        <v>26240.880000000001</v>
      </c>
      <c r="U139" s="188">
        <v>29535.88</v>
      </c>
      <c r="V139" s="61"/>
      <c r="W139" s="58"/>
      <c r="X139" s="188">
        <v>55679.67</v>
      </c>
      <c r="Y139" s="188">
        <v>55654.67</v>
      </c>
      <c r="Z139" s="129"/>
      <c r="AA139" s="133"/>
      <c r="AB139" s="67"/>
      <c r="AC139" s="188">
        <v>21065.93</v>
      </c>
      <c r="AD139" s="188">
        <v>25800.57</v>
      </c>
      <c r="AE139" s="61"/>
      <c r="AF139" s="65"/>
      <c r="AG139" s="58"/>
      <c r="AH139" s="188">
        <v>41129.480000000003</v>
      </c>
      <c r="AI139" s="129"/>
      <c r="AJ139" s="133"/>
      <c r="AK139" s="133"/>
      <c r="AL139" s="67"/>
      <c r="AM139" s="188">
        <v>10661.45</v>
      </c>
      <c r="AN139" s="135"/>
      <c r="AO139" s="135"/>
      <c r="AP139" s="135"/>
    </row>
    <row r="140" spans="1:42" x14ac:dyDescent="0.25">
      <c r="A140" t="s">
        <v>61</v>
      </c>
      <c r="B140" t="s">
        <v>46</v>
      </c>
      <c r="C140" s="212" t="str">
        <f t="shared" si="2"/>
        <v>Desoto Family</v>
      </c>
      <c r="D140" s="188">
        <v>19238</v>
      </c>
      <c r="E140" s="188">
        <v>18938</v>
      </c>
      <c r="F140" s="188">
        <v>18938</v>
      </c>
      <c r="G140" s="188">
        <v>18938</v>
      </c>
      <c r="H140" s="125"/>
      <c r="I140" s="188">
        <v>16640.73</v>
      </c>
      <c r="J140" s="188">
        <v>16818.73</v>
      </c>
      <c r="K140" s="188">
        <v>16818.73</v>
      </c>
      <c r="L140" s="188">
        <v>16818.73</v>
      </c>
      <c r="M140" s="70"/>
      <c r="N140" s="188">
        <v>24433.5</v>
      </c>
      <c r="O140" s="188">
        <v>24833.5</v>
      </c>
      <c r="P140" s="188">
        <v>24833.5</v>
      </c>
      <c r="Q140" s="129"/>
      <c r="R140" s="67"/>
      <c r="S140" s="188">
        <v>21833</v>
      </c>
      <c r="T140" s="188">
        <v>22538</v>
      </c>
      <c r="U140" s="188">
        <v>22938</v>
      </c>
      <c r="V140" s="61"/>
      <c r="W140" s="58"/>
      <c r="X140" s="188">
        <v>20159</v>
      </c>
      <c r="Y140" s="188">
        <v>20159</v>
      </c>
      <c r="Z140" s="129"/>
      <c r="AA140" s="133"/>
      <c r="AB140" s="67"/>
      <c r="AC140" s="188">
        <v>18166</v>
      </c>
      <c r="AD140" s="188">
        <v>18456</v>
      </c>
      <c r="AE140" s="61"/>
      <c r="AF140" s="65"/>
      <c r="AG140" s="58"/>
      <c r="AH140" s="188">
        <v>17182</v>
      </c>
      <c r="AI140" s="129"/>
      <c r="AJ140" s="133"/>
      <c r="AK140" s="133"/>
      <c r="AL140" s="67"/>
      <c r="AM140" s="188">
        <v>15550.5</v>
      </c>
      <c r="AN140" s="135"/>
      <c r="AO140" s="135"/>
      <c r="AP140" s="135"/>
    </row>
    <row r="141" spans="1:42" x14ac:dyDescent="0.25">
      <c r="A141" t="s">
        <v>61</v>
      </c>
      <c r="B141" t="s">
        <v>40</v>
      </c>
      <c r="C141" s="212" t="str">
        <f t="shared" si="2"/>
        <v>Desoto Juvenile Delinquency</v>
      </c>
      <c r="D141" s="188">
        <v>6542</v>
      </c>
      <c r="E141" s="188">
        <v>6542</v>
      </c>
      <c r="F141" s="188">
        <v>6542</v>
      </c>
      <c r="G141" s="188">
        <v>6542</v>
      </c>
      <c r="H141" s="125"/>
      <c r="I141" s="188">
        <v>442</v>
      </c>
      <c r="J141" s="188">
        <v>442</v>
      </c>
      <c r="K141" s="188">
        <v>442</v>
      </c>
      <c r="L141" s="188">
        <v>442</v>
      </c>
      <c r="M141" s="70"/>
      <c r="N141" s="188">
        <v>6099.5</v>
      </c>
      <c r="O141" s="188">
        <v>6099.5</v>
      </c>
      <c r="P141" s="188">
        <v>6099.5</v>
      </c>
      <c r="Q141" s="129"/>
      <c r="R141" s="67"/>
      <c r="S141" s="188">
        <v>934.5</v>
      </c>
      <c r="T141" s="188">
        <v>1289.5</v>
      </c>
      <c r="U141" s="188">
        <v>1409.5</v>
      </c>
      <c r="V141" s="61"/>
      <c r="W141" s="58"/>
      <c r="X141" s="188">
        <v>2965</v>
      </c>
      <c r="Y141" s="188">
        <v>2965</v>
      </c>
      <c r="Z141" s="129"/>
      <c r="AA141" s="133"/>
      <c r="AB141" s="67"/>
      <c r="AC141" s="188">
        <v>145</v>
      </c>
      <c r="AD141" s="188">
        <v>685</v>
      </c>
      <c r="AE141" s="61"/>
      <c r="AF141" s="65"/>
      <c r="AG141" s="58"/>
      <c r="AH141" s="188">
        <v>8559</v>
      </c>
      <c r="AI141" s="129"/>
      <c r="AJ141" s="133"/>
      <c r="AK141" s="133"/>
      <c r="AL141" s="67"/>
      <c r="AM141" s="188">
        <v>179</v>
      </c>
      <c r="AN141" s="135"/>
      <c r="AO141" s="135"/>
      <c r="AP141" s="135"/>
    </row>
    <row r="142" spans="1:42" x14ac:dyDescent="0.25">
      <c r="A142" t="s">
        <v>61</v>
      </c>
      <c r="B142" t="s">
        <v>45</v>
      </c>
      <c r="C142" s="212" t="str">
        <f t="shared" si="2"/>
        <v>Desoto Probate</v>
      </c>
      <c r="D142" s="188">
        <v>9216</v>
      </c>
      <c r="E142" s="188">
        <v>9216</v>
      </c>
      <c r="F142" s="188">
        <v>9216</v>
      </c>
      <c r="G142" s="188">
        <v>9216</v>
      </c>
      <c r="H142" s="125"/>
      <c r="I142" s="188">
        <v>8816</v>
      </c>
      <c r="J142" s="188">
        <v>8816</v>
      </c>
      <c r="K142" s="188">
        <v>8816</v>
      </c>
      <c r="L142" s="188">
        <v>8816</v>
      </c>
      <c r="M142" s="70"/>
      <c r="N142" s="188">
        <v>8889</v>
      </c>
      <c r="O142" s="188">
        <v>8889</v>
      </c>
      <c r="P142" s="188">
        <v>8889</v>
      </c>
      <c r="Q142" s="129"/>
      <c r="R142" s="67"/>
      <c r="S142" s="188">
        <v>8889</v>
      </c>
      <c r="T142" s="188">
        <v>8889</v>
      </c>
      <c r="U142" s="188">
        <v>8889</v>
      </c>
      <c r="V142" s="61"/>
      <c r="W142" s="58"/>
      <c r="X142" s="188">
        <v>11215</v>
      </c>
      <c r="Y142" s="188">
        <v>11215</v>
      </c>
      <c r="Z142" s="129"/>
      <c r="AA142" s="133"/>
      <c r="AB142" s="67"/>
      <c r="AC142" s="188">
        <v>11215</v>
      </c>
      <c r="AD142" s="188">
        <v>11215</v>
      </c>
      <c r="AE142" s="61"/>
      <c r="AF142" s="65"/>
      <c r="AG142" s="58"/>
      <c r="AH142" s="188">
        <v>9736</v>
      </c>
      <c r="AI142" s="129"/>
      <c r="AJ142" s="133"/>
      <c r="AK142" s="133"/>
      <c r="AL142" s="67"/>
      <c r="AM142" s="188">
        <v>9736</v>
      </c>
      <c r="AN142" s="135"/>
      <c r="AO142" s="135"/>
      <c r="AP142" s="135"/>
    </row>
    <row r="143" spans="1:42" x14ac:dyDescent="0.25">
      <c r="A143" t="s">
        <v>62</v>
      </c>
      <c r="B143" t="s">
        <v>42</v>
      </c>
      <c r="C143" s="212" t="str">
        <f t="shared" si="2"/>
        <v>Dixie Circuit Civil</v>
      </c>
      <c r="D143" s="188">
        <v>21164</v>
      </c>
      <c r="E143" s="188">
        <v>25543</v>
      </c>
      <c r="F143" s="188">
        <v>21164</v>
      </c>
      <c r="G143" s="188">
        <v>21164</v>
      </c>
      <c r="H143" s="125"/>
      <c r="I143" s="188">
        <v>211634</v>
      </c>
      <c r="J143" s="188">
        <v>25543</v>
      </c>
      <c r="K143" s="188">
        <v>21164</v>
      </c>
      <c r="L143" s="188">
        <v>21164</v>
      </c>
      <c r="M143" s="70"/>
      <c r="N143" s="188">
        <v>4380</v>
      </c>
      <c r="O143" s="188">
        <v>4780</v>
      </c>
      <c r="P143" s="188">
        <v>4780</v>
      </c>
      <c r="Q143" s="129"/>
      <c r="R143" s="67"/>
      <c r="S143" s="188">
        <v>4380</v>
      </c>
      <c r="T143" s="188">
        <v>4780</v>
      </c>
      <c r="U143" s="188">
        <v>4780</v>
      </c>
      <c r="V143" s="61"/>
      <c r="W143" s="58"/>
      <c r="X143" s="188">
        <v>13404</v>
      </c>
      <c r="Y143" s="188">
        <v>13404</v>
      </c>
      <c r="Z143" s="129"/>
      <c r="AA143" s="133"/>
      <c r="AB143" s="67"/>
      <c r="AC143" s="188">
        <v>13404</v>
      </c>
      <c r="AD143" s="188">
        <v>13404</v>
      </c>
      <c r="AE143" s="61"/>
      <c r="AF143" s="65"/>
      <c r="AG143" s="58"/>
      <c r="AH143" s="188">
        <v>57784</v>
      </c>
      <c r="AI143" s="129"/>
      <c r="AJ143" s="133"/>
      <c r="AK143" s="133"/>
      <c r="AL143" s="67"/>
      <c r="AM143" s="188">
        <v>57784</v>
      </c>
      <c r="AN143" s="135"/>
      <c r="AO143" s="135"/>
      <c r="AP143" s="135"/>
    </row>
    <row r="144" spans="1:42" x14ac:dyDescent="0.25">
      <c r="A144" t="s">
        <v>62</v>
      </c>
      <c r="B144" t="s">
        <v>38</v>
      </c>
      <c r="C144" s="212" t="str">
        <f t="shared" si="2"/>
        <v>Dixie Circuit Criminal</v>
      </c>
      <c r="D144" s="188">
        <v>56088</v>
      </c>
      <c r="E144" s="188">
        <v>111881</v>
      </c>
      <c r="F144" s="188">
        <v>56098</v>
      </c>
      <c r="G144" s="188">
        <v>56098</v>
      </c>
      <c r="H144" s="125"/>
      <c r="I144" s="188">
        <v>3017</v>
      </c>
      <c r="J144" s="188">
        <v>12780</v>
      </c>
      <c r="K144" s="188">
        <v>8640</v>
      </c>
      <c r="L144" s="188">
        <v>8882</v>
      </c>
      <c r="M144" s="70"/>
      <c r="N144" s="188">
        <v>55783</v>
      </c>
      <c r="O144" s="188">
        <v>55783</v>
      </c>
      <c r="P144" s="188">
        <v>55783</v>
      </c>
      <c r="Q144" s="129"/>
      <c r="R144" s="67"/>
      <c r="S144" s="188">
        <v>6486</v>
      </c>
      <c r="T144" s="188">
        <v>8964</v>
      </c>
      <c r="U144" s="188" t="s">
        <v>239</v>
      </c>
      <c r="V144" s="61"/>
      <c r="W144" s="58"/>
      <c r="X144" s="188">
        <v>35844</v>
      </c>
      <c r="Y144" s="188">
        <v>35844</v>
      </c>
      <c r="Z144" s="129"/>
      <c r="AA144" s="133"/>
      <c r="AB144" s="67"/>
      <c r="AC144" s="188">
        <v>6430</v>
      </c>
      <c r="AD144" s="188">
        <v>6488</v>
      </c>
      <c r="AE144" s="61"/>
      <c r="AF144" s="65"/>
      <c r="AG144" s="58"/>
      <c r="AH144" s="188">
        <v>16755</v>
      </c>
      <c r="AI144" s="129"/>
      <c r="AJ144" s="133"/>
      <c r="AK144" s="133"/>
      <c r="AL144" s="67"/>
      <c r="AM144" s="188">
        <v>1566</v>
      </c>
      <c r="AN144" s="135"/>
      <c r="AO144" s="135"/>
      <c r="AP144" s="135"/>
    </row>
    <row r="145" spans="1:42" x14ac:dyDescent="0.25">
      <c r="A145" t="s">
        <v>62</v>
      </c>
      <c r="B145" t="s">
        <v>265</v>
      </c>
      <c r="C145" s="212" t="str">
        <f t="shared" si="2"/>
        <v>Dixie Circuit Criminal Drug Cases</v>
      </c>
      <c r="D145" s="188"/>
      <c r="E145" s="188"/>
      <c r="F145" s="188"/>
      <c r="G145" s="188"/>
      <c r="I145" s="188"/>
      <c r="J145" s="188"/>
      <c r="K145" s="188"/>
      <c r="L145" s="188"/>
      <c r="N145" s="188"/>
      <c r="O145" s="188"/>
      <c r="P145" s="188"/>
      <c r="S145" s="188"/>
      <c r="T145" s="188"/>
      <c r="U145" s="188"/>
      <c r="X145" s="188"/>
      <c r="Y145" s="188"/>
      <c r="AC145" s="188"/>
      <c r="AD145" s="188"/>
      <c r="AH145" s="188"/>
      <c r="AM145" s="188"/>
    </row>
    <row r="146" spans="1:42" x14ac:dyDescent="0.25">
      <c r="A146" t="s">
        <v>62</v>
      </c>
      <c r="B146" t="s">
        <v>44</v>
      </c>
      <c r="C146" s="212" t="str">
        <f t="shared" si="2"/>
        <v>Dixie Civil Traffic</v>
      </c>
      <c r="D146" s="188">
        <v>54679</v>
      </c>
      <c r="E146" s="188">
        <v>105807</v>
      </c>
      <c r="F146" s="188">
        <v>52816</v>
      </c>
      <c r="G146" s="188">
        <v>53170</v>
      </c>
      <c r="H146" s="125"/>
      <c r="I146" s="188">
        <v>23047</v>
      </c>
      <c r="J146" s="188">
        <v>69160</v>
      </c>
      <c r="K146" s="188">
        <v>44231</v>
      </c>
      <c r="L146" s="188">
        <v>45113</v>
      </c>
      <c r="M146" s="70"/>
      <c r="N146" s="188">
        <v>53039</v>
      </c>
      <c r="O146" s="188">
        <v>51519</v>
      </c>
      <c r="P146" s="188">
        <v>50834</v>
      </c>
      <c r="Q146" s="129"/>
      <c r="R146" s="67"/>
      <c r="S146" s="188">
        <v>27292</v>
      </c>
      <c r="T146" s="188">
        <v>38003</v>
      </c>
      <c r="U146" s="188">
        <v>41943</v>
      </c>
      <c r="V146" s="61"/>
      <c r="W146" s="58"/>
      <c r="X146" s="188">
        <v>66878</v>
      </c>
      <c r="Y146" s="188">
        <v>62174</v>
      </c>
      <c r="Z146" s="129"/>
      <c r="AA146" s="133"/>
      <c r="AB146" s="67"/>
      <c r="AC146" s="188">
        <v>27851</v>
      </c>
      <c r="AD146" s="188">
        <v>42176</v>
      </c>
      <c r="AE146" s="61"/>
      <c r="AF146" s="65"/>
      <c r="AG146" s="58"/>
      <c r="AH146" s="188">
        <v>66086</v>
      </c>
      <c r="AI146" s="129"/>
      <c r="AJ146" s="133"/>
      <c r="AK146" s="133"/>
      <c r="AL146" s="67"/>
      <c r="AM146" s="188">
        <v>27583</v>
      </c>
      <c r="AN146" s="135"/>
      <c r="AO146" s="135"/>
      <c r="AP146" s="135"/>
    </row>
    <row r="147" spans="1:42" x14ac:dyDescent="0.25">
      <c r="A147" t="s">
        <v>62</v>
      </c>
      <c r="B147" t="s">
        <v>43</v>
      </c>
      <c r="C147" s="212" t="str">
        <f t="shared" si="2"/>
        <v>Dixie County Civil</v>
      </c>
      <c r="D147" s="188">
        <v>8221</v>
      </c>
      <c r="E147" s="188">
        <v>18286</v>
      </c>
      <c r="F147" s="188">
        <v>8521</v>
      </c>
      <c r="G147" s="188">
        <v>8521</v>
      </c>
      <c r="H147" s="125"/>
      <c r="I147" s="188">
        <v>8221</v>
      </c>
      <c r="J147" s="188">
        <v>18286</v>
      </c>
      <c r="K147" s="188">
        <v>8521</v>
      </c>
      <c r="L147" s="188">
        <v>8521</v>
      </c>
      <c r="M147" s="70"/>
      <c r="N147" s="188">
        <v>9764</v>
      </c>
      <c r="O147" s="188">
        <v>10064</v>
      </c>
      <c r="P147" s="188">
        <v>10064</v>
      </c>
      <c r="Q147" s="129"/>
      <c r="R147" s="67"/>
      <c r="S147" s="188">
        <v>9764</v>
      </c>
      <c r="T147" s="188">
        <v>10064</v>
      </c>
      <c r="U147" s="188">
        <v>10064</v>
      </c>
      <c r="V147" s="61"/>
      <c r="W147" s="58"/>
      <c r="X147" s="188">
        <v>7505</v>
      </c>
      <c r="Y147" s="188">
        <v>7805</v>
      </c>
      <c r="Z147" s="129"/>
      <c r="AA147" s="133"/>
      <c r="AB147" s="67"/>
      <c r="AC147" s="188">
        <v>7505</v>
      </c>
      <c r="AD147" s="188">
        <v>7805</v>
      </c>
      <c r="AE147" s="61"/>
      <c r="AF147" s="65"/>
      <c r="AG147" s="58"/>
      <c r="AH147" s="188">
        <v>8400</v>
      </c>
      <c r="AI147" s="129"/>
      <c r="AJ147" s="133"/>
      <c r="AK147" s="133"/>
      <c r="AL147" s="67"/>
      <c r="AM147" s="188">
        <v>8400</v>
      </c>
      <c r="AN147" s="135"/>
      <c r="AO147" s="135"/>
      <c r="AP147" s="135"/>
    </row>
    <row r="148" spans="1:42" x14ac:dyDescent="0.25">
      <c r="A148" t="s">
        <v>62</v>
      </c>
      <c r="B148" t="s">
        <v>39</v>
      </c>
      <c r="C148" s="212" t="str">
        <f t="shared" si="2"/>
        <v>Dixie County Criminal</v>
      </c>
      <c r="D148" s="188">
        <v>10505</v>
      </c>
      <c r="E148" s="188">
        <v>19683</v>
      </c>
      <c r="F148" s="188">
        <v>8832</v>
      </c>
      <c r="G148" s="188">
        <v>8832</v>
      </c>
      <c r="H148" s="125"/>
      <c r="I148" s="188">
        <v>1604</v>
      </c>
      <c r="J148" s="188">
        <v>4386</v>
      </c>
      <c r="K148" s="188">
        <v>2574</v>
      </c>
      <c r="L148" s="188">
        <v>4064</v>
      </c>
      <c r="M148" s="70"/>
      <c r="N148" s="188">
        <v>10851</v>
      </c>
      <c r="O148" s="188">
        <v>10851</v>
      </c>
      <c r="P148" s="188">
        <v>10851</v>
      </c>
      <c r="Q148" s="129"/>
      <c r="R148" s="67"/>
      <c r="S148" s="188">
        <v>2292</v>
      </c>
      <c r="T148" s="188">
        <v>2292</v>
      </c>
      <c r="U148" s="188">
        <v>3402</v>
      </c>
      <c r="V148" s="61"/>
      <c r="W148" s="58"/>
      <c r="X148" s="188">
        <v>18381</v>
      </c>
      <c r="Y148" s="188">
        <v>18381</v>
      </c>
      <c r="Z148" s="129"/>
      <c r="AA148" s="133"/>
      <c r="AB148" s="67"/>
      <c r="AC148" s="188">
        <v>1865</v>
      </c>
      <c r="AD148" s="188">
        <v>2155</v>
      </c>
      <c r="AE148" s="61"/>
      <c r="AF148" s="65"/>
      <c r="AG148" s="58"/>
      <c r="AH148" s="188">
        <v>15383</v>
      </c>
      <c r="AI148" s="129"/>
      <c r="AJ148" s="133"/>
      <c r="AK148" s="133"/>
      <c r="AL148" s="67"/>
      <c r="AM148" s="188">
        <v>2044</v>
      </c>
      <c r="AN148" s="135"/>
      <c r="AO148" s="135"/>
      <c r="AP148" s="135"/>
    </row>
    <row r="149" spans="1:42" x14ac:dyDescent="0.25">
      <c r="A149" t="s">
        <v>62</v>
      </c>
      <c r="B149" t="s">
        <v>41</v>
      </c>
      <c r="C149" s="212" t="str">
        <f t="shared" si="2"/>
        <v>Dixie Criminal Traffic</v>
      </c>
      <c r="D149" s="188">
        <v>17600</v>
      </c>
      <c r="E149" s="188">
        <v>30579</v>
      </c>
      <c r="F149" s="188">
        <v>17500</v>
      </c>
      <c r="G149" s="188">
        <v>17500</v>
      </c>
      <c r="H149" s="125"/>
      <c r="I149" s="188">
        <v>2766</v>
      </c>
      <c r="J149" s="188">
        <v>7628</v>
      </c>
      <c r="K149" s="188">
        <v>6114</v>
      </c>
      <c r="L149" s="188">
        <v>6507</v>
      </c>
      <c r="M149" s="70"/>
      <c r="N149" s="188">
        <v>13079</v>
      </c>
      <c r="O149" s="188">
        <v>13079</v>
      </c>
      <c r="P149" s="188">
        <v>12741</v>
      </c>
      <c r="Q149" s="129"/>
      <c r="R149" s="67"/>
      <c r="S149" s="188">
        <v>2815</v>
      </c>
      <c r="T149" s="188">
        <v>4708</v>
      </c>
      <c r="U149" s="188">
        <v>5838</v>
      </c>
      <c r="V149" s="61"/>
      <c r="W149" s="58"/>
      <c r="X149" s="188">
        <v>21551</v>
      </c>
      <c r="Y149" s="188">
        <v>21551</v>
      </c>
      <c r="Z149" s="129"/>
      <c r="AA149" s="133"/>
      <c r="AB149" s="67"/>
      <c r="AC149" s="188">
        <v>3193</v>
      </c>
      <c r="AD149" s="188">
        <v>4010</v>
      </c>
      <c r="AE149" s="61"/>
      <c r="AF149" s="65"/>
      <c r="AG149" s="58"/>
      <c r="AH149" s="188">
        <v>13053</v>
      </c>
      <c r="AI149" s="129"/>
      <c r="AJ149" s="133"/>
      <c r="AK149" s="133"/>
      <c r="AL149" s="67"/>
      <c r="AM149" s="188">
        <v>1399</v>
      </c>
      <c r="AN149" s="135"/>
      <c r="AO149" s="135"/>
      <c r="AP149" s="135"/>
    </row>
    <row r="150" spans="1:42" x14ac:dyDescent="0.25">
      <c r="A150" t="s">
        <v>62</v>
      </c>
      <c r="B150" t="s">
        <v>46</v>
      </c>
      <c r="C150" s="212" t="str">
        <f t="shared" si="2"/>
        <v>Dixie Family</v>
      </c>
      <c r="D150" s="188">
        <v>2747</v>
      </c>
      <c r="E150" s="188">
        <v>8889</v>
      </c>
      <c r="F150" s="188">
        <v>2747</v>
      </c>
      <c r="G150" s="188">
        <v>2747</v>
      </c>
      <c r="H150" s="125"/>
      <c r="I150" s="188">
        <v>2747</v>
      </c>
      <c r="J150" s="188">
        <v>8889</v>
      </c>
      <c r="K150" s="188">
        <v>2747</v>
      </c>
      <c r="L150" s="188">
        <v>2747</v>
      </c>
      <c r="M150" s="70"/>
      <c r="N150" s="188">
        <v>6142</v>
      </c>
      <c r="O150" s="188">
        <v>6142</v>
      </c>
      <c r="P150" s="188">
        <v>6142</v>
      </c>
      <c r="Q150" s="129"/>
      <c r="R150" s="67"/>
      <c r="S150" s="188">
        <v>6142</v>
      </c>
      <c r="T150" s="188">
        <v>6142</v>
      </c>
      <c r="U150" s="188">
        <v>61420</v>
      </c>
      <c r="V150" s="61"/>
      <c r="W150" s="58"/>
      <c r="X150" s="188">
        <v>9622</v>
      </c>
      <c r="Y150" s="188">
        <v>9622</v>
      </c>
      <c r="Z150" s="129"/>
      <c r="AA150" s="133"/>
      <c r="AB150" s="67"/>
      <c r="AC150" s="188">
        <v>9622</v>
      </c>
      <c r="AD150" s="188">
        <v>9622</v>
      </c>
      <c r="AE150" s="61"/>
      <c r="AF150" s="65"/>
      <c r="AG150" s="58"/>
      <c r="AH150" s="188">
        <v>6785</v>
      </c>
      <c r="AI150" s="129"/>
      <c r="AJ150" s="133"/>
      <c r="AK150" s="133"/>
      <c r="AL150" s="67"/>
      <c r="AM150" s="188">
        <v>6785</v>
      </c>
      <c r="AN150" s="135"/>
      <c r="AO150" s="135"/>
      <c r="AP150" s="135"/>
    </row>
    <row r="151" spans="1:42" x14ac:dyDescent="0.25">
      <c r="A151" t="s">
        <v>62</v>
      </c>
      <c r="B151" t="s">
        <v>40</v>
      </c>
      <c r="C151" s="212" t="str">
        <f t="shared" si="2"/>
        <v>Dixie Juvenile Delinquency</v>
      </c>
      <c r="D151" s="188">
        <v>0</v>
      </c>
      <c r="E151" s="188">
        <v>1740</v>
      </c>
      <c r="F151" s="188">
        <v>200</v>
      </c>
      <c r="G151" s="188">
        <v>200</v>
      </c>
      <c r="H151" s="125"/>
      <c r="I151" s="188">
        <v>0</v>
      </c>
      <c r="J151" s="188">
        <v>0</v>
      </c>
      <c r="K151" s="188">
        <v>0</v>
      </c>
      <c r="L151" s="188">
        <v>40</v>
      </c>
      <c r="N151" s="188">
        <v>1264</v>
      </c>
      <c r="O151" s="188">
        <v>1264</v>
      </c>
      <c r="P151" s="188">
        <v>1014</v>
      </c>
      <c r="Q151" s="129"/>
      <c r="R151" s="67"/>
      <c r="S151" s="188">
        <v>0</v>
      </c>
      <c r="T151" s="188">
        <v>0</v>
      </c>
      <c r="U151" s="188">
        <v>0</v>
      </c>
      <c r="X151" s="188">
        <v>1378</v>
      </c>
      <c r="Y151" s="188">
        <v>1210</v>
      </c>
      <c r="Z151" s="129"/>
      <c r="AA151" s="133"/>
      <c r="AB151" s="67"/>
      <c r="AC151" s="188">
        <v>0</v>
      </c>
      <c r="AD151" s="188">
        <v>0</v>
      </c>
      <c r="AH151" s="188">
        <v>1282</v>
      </c>
      <c r="AI151" s="129"/>
      <c r="AJ151" s="133"/>
      <c r="AK151" s="133"/>
      <c r="AL151" s="67"/>
      <c r="AM151" s="188">
        <v>0</v>
      </c>
      <c r="AO151" s="135"/>
      <c r="AP151" s="135"/>
    </row>
    <row r="152" spans="1:42" x14ac:dyDescent="0.25">
      <c r="A152" t="s">
        <v>62</v>
      </c>
      <c r="B152" t="s">
        <v>45</v>
      </c>
      <c r="C152" s="212" t="str">
        <f t="shared" si="2"/>
        <v>Dixie Probate</v>
      </c>
      <c r="D152" s="188">
        <v>5580</v>
      </c>
      <c r="E152" s="188">
        <v>11765</v>
      </c>
      <c r="F152" s="188">
        <v>5580</v>
      </c>
      <c r="G152" s="188">
        <v>5580</v>
      </c>
      <c r="H152" s="125"/>
      <c r="I152" s="188">
        <v>5580</v>
      </c>
      <c r="J152" s="188">
        <v>11765</v>
      </c>
      <c r="K152" s="188">
        <v>5580</v>
      </c>
      <c r="L152" s="188">
        <v>5580</v>
      </c>
      <c r="M152" s="70"/>
      <c r="N152" s="188">
        <v>6185</v>
      </c>
      <c r="O152" s="188">
        <v>6185</v>
      </c>
      <c r="P152" s="188">
        <v>6185</v>
      </c>
      <c r="Q152" s="129"/>
      <c r="R152" s="67"/>
      <c r="S152" s="188">
        <v>6185</v>
      </c>
      <c r="T152" s="188">
        <v>6185</v>
      </c>
      <c r="U152" s="188">
        <v>6185</v>
      </c>
      <c r="V152" s="61"/>
      <c r="W152" s="58"/>
      <c r="X152" s="188">
        <v>4926</v>
      </c>
      <c r="Y152" s="188">
        <v>4926</v>
      </c>
      <c r="Z152" s="129"/>
      <c r="AA152" s="133"/>
      <c r="AB152" s="67"/>
      <c r="AC152" s="188">
        <v>4926</v>
      </c>
      <c r="AD152" s="188">
        <v>4926</v>
      </c>
      <c r="AE152" s="61"/>
      <c r="AF152" s="65"/>
      <c r="AG152" s="58"/>
      <c r="AH152" s="188">
        <v>4926</v>
      </c>
      <c r="AI152" s="129"/>
      <c r="AJ152" s="133"/>
      <c r="AK152" s="133"/>
      <c r="AL152" s="67"/>
      <c r="AM152" s="188">
        <v>4926</v>
      </c>
      <c r="AN152" s="135"/>
      <c r="AO152" s="135"/>
      <c r="AP152" s="135"/>
    </row>
    <row r="153" spans="1:42" x14ac:dyDescent="0.25">
      <c r="A153" t="s">
        <v>63</v>
      </c>
      <c r="B153" t="s">
        <v>42</v>
      </c>
      <c r="C153" s="212" t="str">
        <f t="shared" si="2"/>
        <v>Duval Circuit Civil</v>
      </c>
      <c r="D153" s="188">
        <v>2117486.64</v>
      </c>
      <c r="E153" s="188">
        <v>2115527.64</v>
      </c>
      <c r="F153" s="188">
        <v>2114793.64</v>
      </c>
      <c r="G153" s="188">
        <v>2389683.04</v>
      </c>
      <c r="H153" s="125"/>
      <c r="I153" s="188">
        <v>2082392.26</v>
      </c>
      <c r="J153" s="188">
        <v>2082874.37</v>
      </c>
      <c r="K153" s="188">
        <v>2082808.37</v>
      </c>
      <c r="L153" s="188">
        <v>2344365.13</v>
      </c>
      <c r="M153" s="70"/>
      <c r="N153" s="188">
        <v>1950610.29</v>
      </c>
      <c r="O153" s="188">
        <v>1948688.84</v>
      </c>
      <c r="P153" s="188">
        <v>2105187.64</v>
      </c>
      <c r="Q153" s="129"/>
      <c r="R153" s="67"/>
      <c r="S153" s="188">
        <v>1913160.82</v>
      </c>
      <c r="T153" s="188">
        <v>1919756.13</v>
      </c>
      <c r="U153" s="188">
        <v>2073164.97</v>
      </c>
      <c r="V153" s="61"/>
      <c r="W153" s="58"/>
      <c r="X153" s="188">
        <v>1990475.74</v>
      </c>
      <c r="Y153" s="188">
        <v>1934086.84</v>
      </c>
      <c r="Z153" s="129"/>
      <c r="AA153" s="133"/>
      <c r="AB153" s="67"/>
      <c r="AC153" s="188">
        <v>1944730.7</v>
      </c>
      <c r="AD153" s="188">
        <v>1908070.13</v>
      </c>
      <c r="AE153" s="61"/>
      <c r="AF153" s="65"/>
      <c r="AG153" s="58"/>
      <c r="AH153" s="188">
        <v>1901511.8</v>
      </c>
      <c r="AI153" s="129"/>
      <c r="AJ153" s="133"/>
      <c r="AK153" s="133"/>
      <c r="AL153" s="67"/>
      <c r="AM153" s="188">
        <v>1848286.2</v>
      </c>
      <c r="AN153" s="135"/>
      <c r="AO153" s="135"/>
      <c r="AP153" s="135"/>
    </row>
    <row r="154" spans="1:42" x14ac:dyDescent="0.25">
      <c r="A154" t="s">
        <v>63</v>
      </c>
      <c r="B154" t="s">
        <v>38</v>
      </c>
      <c r="C154" s="212" t="str">
        <f t="shared" si="2"/>
        <v>Duval Circuit Criminal</v>
      </c>
      <c r="D154" s="188">
        <v>2493457.42</v>
      </c>
      <c r="E154" s="188">
        <v>1201274.6000000001</v>
      </c>
      <c r="F154" s="188">
        <v>1197868.6000000001</v>
      </c>
      <c r="G154" s="188">
        <v>1196531.6000000001</v>
      </c>
      <c r="H154" s="125"/>
      <c r="I154" s="188">
        <v>21090.52</v>
      </c>
      <c r="J154" s="188">
        <v>49458.64</v>
      </c>
      <c r="K154" s="188">
        <v>69511.399999999994</v>
      </c>
      <c r="L154" s="188">
        <v>86520.43</v>
      </c>
      <c r="M154" s="70"/>
      <c r="N154" s="188">
        <v>1285379.08</v>
      </c>
      <c r="O154" s="188">
        <v>1276518.08</v>
      </c>
      <c r="P154" s="188">
        <v>1274107.08</v>
      </c>
      <c r="Q154" s="129"/>
      <c r="R154" s="67"/>
      <c r="S154" s="188">
        <v>26509.43</v>
      </c>
      <c r="T154" s="188">
        <v>55654.05</v>
      </c>
      <c r="U154" s="188">
        <v>78913.22</v>
      </c>
      <c r="V154" s="61"/>
      <c r="W154" s="58"/>
      <c r="X154" s="188">
        <v>1386770.92</v>
      </c>
      <c r="Y154" s="188">
        <v>1377939.42</v>
      </c>
      <c r="Z154" s="129"/>
      <c r="AA154" s="133"/>
      <c r="AB154" s="67"/>
      <c r="AC154" s="188">
        <v>31368.27</v>
      </c>
      <c r="AD154" s="188">
        <v>64629.38</v>
      </c>
      <c r="AE154" s="61"/>
      <c r="AF154" s="65"/>
      <c r="AG154" s="58"/>
      <c r="AH154" s="188">
        <v>1482206.51</v>
      </c>
      <c r="AI154" s="129"/>
      <c r="AJ154" s="133"/>
      <c r="AK154" s="133"/>
      <c r="AL154" s="67"/>
      <c r="AM154" s="188">
        <v>31688.78</v>
      </c>
      <c r="AN154" s="135"/>
      <c r="AO154" s="135"/>
      <c r="AP154" s="135"/>
    </row>
    <row r="155" spans="1:42" x14ac:dyDescent="0.25">
      <c r="A155" t="s">
        <v>63</v>
      </c>
      <c r="B155" t="s">
        <v>265</v>
      </c>
      <c r="C155" s="212" t="str">
        <f t="shared" si="2"/>
        <v>Duval Circuit Criminal Drug Cases</v>
      </c>
      <c r="D155" s="188">
        <v>4052</v>
      </c>
      <c r="E155" s="188">
        <v>1282533.8700000001</v>
      </c>
      <c r="F155" s="188">
        <v>1282382.8700000001</v>
      </c>
      <c r="G155" s="188">
        <v>1282333.8700000001</v>
      </c>
      <c r="I155" s="188">
        <v>25.06</v>
      </c>
      <c r="J155" s="188">
        <v>507.1</v>
      </c>
      <c r="K155" s="188">
        <v>961.61</v>
      </c>
      <c r="L155" s="188">
        <v>2029.15</v>
      </c>
      <c r="N155" s="188">
        <v>1403997</v>
      </c>
      <c r="O155" s="188">
        <v>1403897</v>
      </c>
      <c r="P155" s="188">
        <v>1403797</v>
      </c>
      <c r="S155" s="188">
        <v>789.56</v>
      </c>
      <c r="T155" s="188">
        <v>1398.75</v>
      </c>
      <c r="U155" s="188">
        <v>1753.51</v>
      </c>
      <c r="X155" s="188">
        <v>522064</v>
      </c>
      <c r="Y155" s="188">
        <v>521814</v>
      </c>
      <c r="AC155" s="188">
        <v>385</v>
      </c>
      <c r="AD155" s="188">
        <v>385</v>
      </c>
      <c r="AH155" s="188">
        <v>916915.89</v>
      </c>
      <c r="AM155" s="188">
        <v>431.39</v>
      </c>
    </row>
    <row r="156" spans="1:42" x14ac:dyDescent="0.25">
      <c r="A156" t="s">
        <v>63</v>
      </c>
      <c r="B156" t="s">
        <v>44</v>
      </c>
      <c r="C156" s="212" t="str">
        <f t="shared" si="2"/>
        <v>Duval Civil Traffic</v>
      </c>
      <c r="D156" s="188">
        <v>3950514.45</v>
      </c>
      <c r="E156" s="188">
        <v>3989960.95</v>
      </c>
      <c r="F156" s="188">
        <v>3991102.95</v>
      </c>
      <c r="G156" s="188">
        <v>3992061.45</v>
      </c>
      <c r="H156" s="125"/>
      <c r="I156" s="188">
        <v>1641039.54</v>
      </c>
      <c r="J156" s="188">
        <v>3006639.81</v>
      </c>
      <c r="K156" s="188">
        <v>3292693.63</v>
      </c>
      <c r="L156" s="188">
        <v>3380154.81</v>
      </c>
      <c r="M156" s="70"/>
      <c r="N156" s="188">
        <v>4350010.13</v>
      </c>
      <c r="O156" s="188">
        <v>4386292.63</v>
      </c>
      <c r="P156" s="188">
        <v>4390031.38</v>
      </c>
      <c r="Q156" s="129"/>
      <c r="R156" s="67"/>
      <c r="S156" s="188">
        <v>1862686.03</v>
      </c>
      <c r="T156" s="188">
        <v>3239134.29</v>
      </c>
      <c r="U156" s="188">
        <v>3531727.33</v>
      </c>
      <c r="V156" s="61"/>
      <c r="W156" s="58"/>
      <c r="X156" s="188">
        <v>5311869.54</v>
      </c>
      <c r="Y156" s="188">
        <v>5340846.54</v>
      </c>
      <c r="Z156" s="129"/>
      <c r="AA156" s="133"/>
      <c r="AB156" s="67"/>
      <c r="AC156" s="188">
        <v>2067175.99</v>
      </c>
      <c r="AD156" s="188">
        <v>3778502.12</v>
      </c>
      <c r="AE156" s="61"/>
      <c r="AF156" s="65"/>
      <c r="AG156" s="58"/>
      <c r="AH156" s="188">
        <v>5191610.32</v>
      </c>
      <c r="AI156" s="129"/>
      <c r="AJ156" s="133"/>
      <c r="AK156" s="133"/>
      <c r="AL156" s="67"/>
      <c r="AM156" s="188">
        <v>2060172.05</v>
      </c>
      <c r="AN156" s="135"/>
      <c r="AO156" s="135"/>
      <c r="AP156" s="135"/>
    </row>
    <row r="157" spans="1:42" x14ac:dyDescent="0.25">
      <c r="A157" t="s">
        <v>63</v>
      </c>
      <c r="B157" t="s">
        <v>43</v>
      </c>
      <c r="C157" s="212" t="str">
        <f t="shared" si="2"/>
        <v>Duval County Civil</v>
      </c>
      <c r="D157" s="188">
        <v>1543812.76</v>
      </c>
      <c r="E157" s="188">
        <v>1544653.76</v>
      </c>
      <c r="F157" s="188">
        <v>1544953.76</v>
      </c>
      <c r="G157" s="188">
        <v>1540693.76</v>
      </c>
      <c r="H157" s="125"/>
      <c r="I157" s="188">
        <v>1511762.62</v>
      </c>
      <c r="J157" s="188">
        <v>1526603.62</v>
      </c>
      <c r="K157" s="188">
        <v>1526728.62</v>
      </c>
      <c r="L157" s="188">
        <v>1523158.62</v>
      </c>
      <c r="M157" s="70"/>
      <c r="N157" s="188">
        <v>1463916.33</v>
      </c>
      <c r="O157" s="188">
        <v>1464451.33</v>
      </c>
      <c r="P157" s="188">
        <v>1461804.33</v>
      </c>
      <c r="Q157" s="129"/>
      <c r="R157" s="67"/>
      <c r="S157" s="188">
        <v>1435416.63</v>
      </c>
      <c r="T157" s="188">
        <v>1443983.78</v>
      </c>
      <c r="U157" s="188">
        <v>1441253.78</v>
      </c>
      <c r="V157" s="61"/>
      <c r="W157" s="58"/>
      <c r="X157" s="188">
        <v>1572675.59</v>
      </c>
      <c r="Y157" s="188">
        <v>1569050.59</v>
      </c>
      <c r="Z157" s="129"/>
      <c r="AA157" s="133"/>
      <c r="AB157" s="67"/>
      <c r="AC157" s="188">
        <v>1532649.6</v>
      </c>
      <c r="AD157" s="188">
        <v>1537141.6</v>
      </c>
      <c r="AE157" s="61"/>
      <c r="AF157" s="65"/>
      <c r="AG157" s="58"/>
      <c r="AH157" s="188">
        <v>1783951.05</v>
      </c>
      <c r="AI157" s="129"/>
      <c r="AJ157" s="133"/>
      <c r="AK157" s="133"/>
      <c r="AL157" s="67"/>
      <c r="AM157" s="188">
        <v>1756489.24</v>
      </c>
      <c r="AN157" s="135"/>
      <c r="AO157" s="135"/>
      <c r="AP157" s="135"/>
    </row>
    <row r="158" spans="1:42" x14ac:dyDescent="0.25">
      <c r="A158" t="s">
        <v>63</v>
      </c>
      <c r="B158" t="s">
        <v>39</v>
      </c>
      <c r="C158" s="212" t="str">
        <f t="shared" si="2"/>
        <v>Duval County Criminal</v>
      </c>
      <c r="D158" s="188">
        <v>1346004.66</v>
      </c>
      <c r="E158" s="188">
        <v>1344586.66</v>
      </c>
      <c r="F158" s="188">
        <v>1344447.66</v>
      </c>
      <c r="G158" s="188">
        <v>1343614.66</v>
      </c>
      <c r="H158" s="125"/>
      <c r="I158" s="188">
        <v>1111745.8999999999</v>
      </c>
      <c r="J158" s="188">
        <v>247601.24</v>
      </c>
      <c r="K158" s="188">
        <v>306174.48</v>
      </c>
      <c r="L158" s="188">
        <v>341115.12</v>
      </c>
      <c r="M158" s="70"/>
      <c r="N158" s="188">
        <v>1209600.27</v>
      </c>
      <c r="O158" s="188">
        <v>1207745.27</v>
      </c>
      <c r="P158" s="188">
        <v>1203096.77</v>
      </c>
      <c r="Q158" s="129"/>
      <c r="R158" s="67"/>
      <c r="S158" s="188">
        <v>113662.11</v>
      </c>
      <c r="T158" s="188">
        <v>223905.35</v>
      </c>
      <c r="U158" s="188">
        <v>273781.46999999997</v>
      </c>
      <c r="V158" s="61"/>
      <c r="W158" s="58"/>
      <c r="X158" s="188">
        <v>1262206.23</v>
      </c>
      <c r="Y158" s="188">
        <v>1259340.73</v>
      </c>
      <c r="Z158" s="129"/>
      <c r="AA158" s="133"/>
      <c r="AB158" s="67"/>
      <c r="AC158" s="188">
        <v>96796.74</v>
      </c>
      <c r="AD158" s="188">
        <v>193399.1</v>
      </c>
      <c r="AE158" s="61"/>
      <c r="AF158" s="65"/>
      <c r="AG158" s="58"/>
      <c r="AH158" s="188">
        <v>1278028.1299999999</v>
      </c>
      <c r="AI158" s="129"/>
      <c r="AJ158" s="133"/>
      <c r="AK158" s="133"/>
      <c r="AL158" s="67"/>
      <c r="AM158" s="188">
        <v>114326.3</v>
      </c>
      <c r="AN158" s="135"/>
      <c r="AO158" s="135"/>
      <c r="AP158" s="135"/>
    </row>
    <row r="159" spans="1:42" x14ac:dyDescent="0.25">
      <c r="A159" t="s">
        <v>63</v>
      </c>
      <c r="B159" t="s">
        <v>41</v>
      </c>
      <c r="C159" s="212" t="str">
        <f t="shared" si="2"/>
        <v>Duval Criminal Traffic</v>
      </c>
      <c r="D159" s="188">
        <v>1943222.29</v>
      </c>
      <c r="E159" s="188">
        <v>1903878.04</v>
      </c>
      <c r="F159" s="188">
        <v>1890462.29</v>
      </c>
      <c r="G159" s="188">
        <v>1889693.54</v>
      </c>
      <c r="H159" s="125"/>
      <c r="I159" s="188">
        <v>283871.53999999998</v>
      </c>
      <c r="J159" s="188">
        <v>667363</v>
      </c>
      <c r="K159" s="188">
        <v>875142.69</v>
      </c>
      <c r="L159" s="188">
        <v>971066.6</v>
      </c>
      <c r="M159" s="70"/>
      <c r="N159" s="188">
        <v>2070937.01</v>
      </c>
      <c r="O159" s="188">
        <v>2037065.01</v>
      </c>
      <c r="P159" s="188">
        <v>2018858.01</v>
      </c>
      <c r="Q159" s="129"/>
      <c r="R159" s="67"/>
      <c r="S159" s="188">
        <v>384932.4</v>
      </c>
      <c r="T159" s="188">
        <v>729274.32</v>
      </c>
      <c r="U159" s="188">
        <v>912729.24</v>
      </c>
      <c r="V159" s="61"/>
      <c r="W159" s="58"/>
      <c r="X159" s="188">
        <v>2134374.4300000002</v>
      </c>
      <c r="Y159" s="188">
        <v>2071537.48</v>
      </c>
      <c r="Z159" s="129"/>
      <c r="AA159" s="133"/>
      <c r="AB159" s="67"/>
      <c r="AC159" s="188">
        <v>341723.92</v>
      </c>
      <c r="AD159" s="188">
        <v>689886.96</v>
      </c>
      <c r="AE159" s="61"/>
      <c r="AF159" s="65"/>
      <c r="AG159" s="58"/>
      <c r="AH159" s="188">
        <v>2173327.12</v>
      </c>
      <c r="AI159" s="129"/>
      <c r="AJ159" s="133"/>
      <c r="AK159" s="133"/>
      <c r="AL159" s="67"/>
      <c r="AM159" s="188">
        <v>371776.67</v>
      </c>
      <c r="AN159" s="135"/>
      <c r="AO159" s="135"/>
      <c r="AP159" s="135"/>
    </row>
    <row r="160" spans="1:42" x14ac:dyDescent="0.25">
      <c r="A160" t="s">
        <v>63</v>
      </c>
      <c r="B160" t="s">
        <v>46</v>
      </c>
      <c r="C160" s="212" t="str">
        <f t="shared" si="2"/>
        <v>Duval Family</v>
      </c>
      <c r="D160" s="188">
        <v>462276.8</v>
      </c>
      <c r="E160" s="188">
        <v>462711.8</v>
      </c>
      <c r="F160" s="188">
        <v>461893.8</v>
      </c>
      <c r="G160" s="188">
        <v>461582.8</v>
      </c>
      <c r="H160" s="125"/>
      <c r="I160" s="188">
        <v>443320.06</v>
      </c>
      <c r="J160" s="188">
        <v>445239.06</v>
      </c>
      <c r="K160" s="188">
        <v>445654.9</v>
      </c>
      <c r="L160" s="188">
        <v>446497.9</v>
      </c>
      <c r="M160" s="70"/>
      <c r="N160" s="188">
        <v>567926</v>
      </c>
      <c r="O160" s="188">
        <v>566248</v>
      </c>
      <c r="P160" s="188">
        <v>565326</v>
      </c>
      <c r="Q160" s="129"/>
      <c r="R160" s="67"/>
      <c r="S160" s="188">
        <v>551857</v>
      </c>
      <c r="T160" s="188">
        <v>553465</v>
      </c>
      <c r="U160" s="188">
        <v>553515</v>
      </c>
      <c r="V160" s="61"/>
      <c r="W160" s="58"/>
      <c r="X160" s="188">
        <v>572123</v>
      </c>
      <c r="Y160" s="188">
        <v>571928</v>
      </c>
      <c r="Z160" s="129"/>
      <c r="AA160" s="133"/>
      <c r="AB160" s="67"/>
      <c r="AC160" s="188">
        <v>546500</v>
      </c>
      <c r="AD160" s="188">
        <v>548567</v>
      </c>
      <c r="AE160" s="61"/>
      <c r="AF160" s="65"/>
      <c r="AG160" s="58"/>
      <c r="AH160" s="188">
        <v>527887.5</v>
      </c>
      <c r="AI160" s="129"/>
      <c r="AJ160" s="133"/>
      <c r="AK160" s="133"/>
      <c r="AL160" s="67"/>
      <c r="AM160" s="188">
        <v>499191.5</v>
      </c>
      <c r="AN160" s="135"/>
      <c r="AO160" s="135"/>
      <c r="AP160" s="135"/>
    </row>
    <row r="161" spans="1:42" x14ac:dyDescent="0.25">
      <c r="A161" t="s">
        <v>63</v>
      </c>
      <c r="B161" t="s">
        <v>40</v>
      </c>
      <c r="C161" s="212" t="str">
        <f t="shared" si="2"/>
        <v>Duval Juvenile Delinquency</v>
      </c>
      <c r="D161" s="188">
        <v>87965.5</v>
      </c>
      <c r="E161" s="188">
        <v>88265.5</v>
      </c>
      <c r="F161" s="188">
        <v>88272.5</v>
      </c>
      <c r="G161" s="188">
        <v>88315.5</v>
      </c>
      <c r="H161" s="125"/>
      <c r="I161" s="188">
        <v>4746</v>
      </c>
      <c r="J161" s="188">
        <v>7530.51</v>
      </c>
      <c r="K161" s="188">
        <v>9360.01</v>
      </c>
      <c r="L161" s="188">
        <v>10757.01</v>
      </c>
      <c r="M161" s="70"/>
      <c r="N161" s="188">
        <v>79137.52</v>
      </c>
      <c r="O161" s="188">
        <v>79261.52</v>
      </c>
      <c r="P161" s="188">
        <v>79161.52</v>
      </c>
      <c r="Q161" s="129"/>
      <c r="R161" s="67"/>
      <c r="S161" s="188">
        <v>5654.86</v>
      </c>
      <c r="T161" s="188">
        <v>7650.36</v>
      </c>
      <c r="U161" s="188">
        <v>8872.8700000000008</v>
      </c>
      <c r="V161" s="61"/>
      <c r="W161" s="58"/>
      <c r="X161" s="188">
        <v>85522.94</v>
      </c>
      <c r="Y161" s="188">
        <v>86072.94</v>
      </c>
      <c r="Z161" s="129"/>
      <c r="AA161" s="133"/>
      <c r="AB161" s="67"/>
      <c r="AC161" s="188">
        <v>5187.9399999999996</v>
      </c>
      <c r="AD161" s="188">
        <v>8665.6</v>
      </c>
      <c r="AE161" s="61"/>
      <c r="AF161" s="65"/>
      <c r="AG161" s="58"/>
      <c r="AH161" s="188">
        <v>61372.12</v>
      </c>
      <c r="AI161" s="129"/>
      <c r="AJ161" s="133"/>
      <c r="AK161" s="133"/>
      <c r="AL161" s="67"/>
      <c r="AM161" s="188">
        <v>4571.12</v>
      </c>
      <c r="AN161" s="135"/>
      <c r="AO161" s="135"/>
      <c r="AP161" s="135"/>
    </row>
    <row r="162" spans="1:42" x14ac:dyDescent="0.25">
      <c r="A162" t="s">
        <v>63</v>
      </c>
      <c r="B162" t="s">
        <v>45</v>
      </c>
      <c r="C162" s="212" t="str">
        <f t="shared" si="2"/>
        <v>Duval Probate</v>
      </c>
      <c r="D162" s="188">
        <v>211662.26</v>
      </c>
      <c r="E162" s="188">
        <v>210401.26</v>
      </c>
      <c r="F162" s="188">
        <v>210575.26</v>
      </c>
      <c r="G162" s="188">
        <v>210575.26</v>
      </c>
      <c r="H162" s="125"/>
      <c r="I162" s="188">
        <v>202317.28</v>
      </c>
      <c r="J162" s="188">
        <v>204156.26</v>
      </c>
      <c r="K162" s="188">
        <v>204197.26</v>
      </c>
      <c r="L162" s="188">
        <v>204197.26</v>
      </c>
      <c r="M162" s="70"/>
      <c r="N162" s="188">
        <v>267986.44</v>
      </c>
      <c r="O162" s="188">
        <v>267586.44</v>
      </c>
      <c r="P162" s="188">
        <v>266826.44</v>
      </c>
      <c r="Q162" s="129"/>
      <c r="R162" s="67"/>
      <c r="S162" s="188">
        <v>257824.44</v>
      </c>
      <c r="T162" s="188">
        <v>260378.44</v>
      </c>
      <c r="U162" s="188">
        <v>260378.44</v>
      </c>
      <c r="V162" s="61"/>
      <c r="W162" s="58"/>
      <c r="X162" s="188">
        <v>279142.65000000002</v>
      </c>
      <c r="Y162" s="188">
        <v>277448.65000000002</v>
      </c>
      <c r="Z162" s="129"/>
      <c r="AA162" s="133"/>
      <c r="AB162" s="67"/>
      <c r="AC162" s="188">
        <v>262437.65000000002</v>
      </c>
      <c r="AD162" s="188">
        <v>265608.65000000002</v>
      </c>
      <c r="AE162" s="61"/>
      <c r="AF162" s="65"/>
      <c r="AG162" s="58"/>
      <c r="AH162" s="188">
        <v>249783.97</v>
      </c>
      <c r="AI162" s="129"/>
      <c r="AJ162" s="133"/>
      <c r="AK162" s="133"/>
      <c r="AL162" s="67"/>
      <c r="AM162" s="188">
        <v>237880.97</v>
      </c>
      <c r="AN162" s="135"/>
      <c r="AO162" s="135"/>
      <c r="AP162" s="135"/>
    </row>
    <row r="163" spans="1:42" x14ac:dyDescent="0.25">
      <c r="A163" t="s">
        <v>64</v>
      </c>
      <c r="B163" t="s">
        <v>42</v>
      </c>
      <c r="C163" s="212" t="str">
        <f t="shared" si="2"/>
        <v>Escambia Circuit Civil</v>
      </c>
      <c r="D163" s="188">
        <v>503505.98</v>
      </c>
      <c r="E163" s="188">
        <v>501097.98</v>
      </c>
      <c r="F163" s="188">
        <v>498385.98</v>
      </c>
      <c r="G163" s="188">
        <v>497480.98</v>
      </c>
      <c r="H163" s="125"/>
      <c r="I163" s="188">
        <v>488963.18</v>
      </c>
      <c r="J163" s="188">
        <v>493150.69</v>
      </c>
      <c r="K163" s="188">
        <v>492743.29</v>
      </c>
      <c r="L163" s="188">
        <v>492427.79</v>
      </c>
      <c r="M163" s="70"/>
      <c r="N163" s="188">
        <v>494415.6</v>
      </c>
      <c r="O163" s="188">
        <v>494050.6</v>
      </c>
      <c r="P163" s="188">
        <v>492440.43</v>
      </c>
      <c r="Q163" s="129"/>
      <c r="R163" s="67"/>
      <c r="S163" s="188">
        <v>482596.23</v>
      </c>
      <c r="T163" s="188">
        <v>487056.73</v>
      </c>
      <c r="U163" s="188">
        <v>486601.73</v>
      </c>
      <c r="V163" s="61"/>
      <c r="W163" s="58"/>
      <c r="X163" s="188">
        <v>522656.94</v>
      </c>
      <c r="Y163" s="188">
        <v>487149.92</v>
      </c>
      <c r="Z163" s="129"/>
      <c r="AA163" s="133"/>
      <c r="AB163" s="67"/>
      <c r="AC163" s="188">
        <v>476804.42</v>
      </c>
      <c r="AD163" s="188">
        <v>481346.92</v>
      </c>
      <c r="AE163" s="61"/>
      <c r="AF163" s="65"/>
      <c r="AG163" s="58"/>
      <c r="AH163" s="188">
        <v>433055.43</v>
      </c>
      <c r="AI163" s="129"/>
      <c r="AJ163" s="133"/>
      <c r="AK163" s="133"/>
      <c r="AL163" s="67"/>
      <c r="AM163" s="188">
        <v>419455.13</v>
      </c>
      <c r="AN163" s="135"/>
      <c r="AO163" s="135"/>
      <c r="AP163" s="135"/>
    </row>
    <row r="164" spans="1:42" x14ac:dyDescent="0.25">
      <c r="A164" t="s">
        <v>64</v>
      </c>
      <c r="B164" t="s">
        <v>38</v>
      </c>
      <c r="C164" s="212" t="str">
        <f t="shared" si="2"/>
        <v>Escambia Circuit Criminal</v>
      </c>
      <c r="D164" s="188">
        <v>1225909.43</v>
      </c>
      <c r="E164" s="188">
        <v>1222826.43</v>
      </c>
      <c r="F164" s="188">
        <v>1222712.43</v>
      </c>
      <c r="G164" s="188">
        <v>1235678.74</v>
      </c>
      <c r="H164" s="125"/>
      <c r="I164" s="188">
        <v>36211.72</v>
      </c>
      <c r="J164" s="188">
        <v>59363.39</v>
      </c>
      <c r="K164" s="188">
        <v>72734.649999999994</v>
      </c>
      <c r="L164" s="188">
        <v>90453.01</v>
      </c>
      <c r="M164" s="70"/>
      <c r="N164" s="188">
        <v>1158028.8500000001</v>
      </c>
      <c r="O164" s="188">
        <v>1158315.45</v>
      </c>
      <c r="P164" s="188">
        <v>1168117.49</v>
      </c>
      <c r="Q164" s="129"/>
      <c r="R164" s="67"/>
      <c r="S164" s="188">
        <v>40015.74</v>
      </c>
      <c r="T164" s="188">
        <v>62648.78</v>
      </c>
      <c r="U164" s="188">
        <v>78420.78</v>
      </c>
      <c r="V164" s="61"/>
      <c r="W164" s="58"/>
      <c r="X164" s="188">
        <v>1075095.8</v>
      </c>
      <c r="Y164" s="188">
        <v>1078192.5</v>
      </c>
      <c r="Z164" s="129"/>
      <c r="AA164" s="133"/>
      <c r="AB164" s="67"/>
      <c r="AC164" s="188">
        <v>44045.9</v>
      </c>
      <c r="AD164" s="188">
        <v>59734.37</v>
      </c>
      <c r="AE164" s="61"/>
      <c r="AF164" s="65"/>
      <c r="AG164" s="58"/>
      <c r="AH164" s="188">
        <v>1434465.07</v>
      </c>
      <c r="AI164" s="129"/>
      <c r="AJ164" s="133"/>
      <c r="AK164" s="133"/>
      <c r="AL164" s="67"/>
      <c r="AM164" s="188">
        <v>35032.18</v>
      </c>
      <c r="AN164" s="135"/>
      <c r="AO164" s="135"/>
      <c r="AP164" s="135"/>
    </row>
    <row r="165" spans="1:42" x14ac:dyDescent="0.25">
      <c r="A165" t="s">
        <v>64</v>
      </c>
      <c r="B165" t="s">
        <v>265</v>
      </c>
      <c r="C165" s="212" t="str">
        <f t="shared" si="2"/>
        <v>Escambia Circuit Criminal Drug Cases</v>
      </c>
      <c r="D165" s="188">
        <v>427677</v>
      </c>
      <c r="E165" s="188">
        <v>427627</v>
      </c>
      <c r="F165" s="188">
        <v>427524</v>
      </c>
      <c r="G165" s="188">
        <v>427471</v>
      </c>
      <c r="I165" s="188">
        <v>90</v>
      </c>
      <c r="J165" s="188">
        <v>90</v>
      </c>
      <c r="K165" s="188">
        <v>87</v>
      </c>
      <c r="L165" s="188">
        <v>84</v>
      </c>
      <c r="N165" s="188">
        <v>319033</v>
      </c>
      <c r="O165" s="188">
        <v>372531</v>
      </c>
      <c r="P165" s="188">
        <v>372376</v>
      </c>
      <c r="S165" s="188">
        <v>182</v>
      </c>
      <c r="T165" s="188">
        <v>560</v>
      </c>
      <c r="U165" s="188">
        <v>780</v>
      </c>
      <c r="X165" s="188">
        <v>239197</v>
      </c>
      <c r="Y165" s="188">
        <v>239197</v>
      </c>
      <c r="AC165" s="188">
        <v>142</v>
      </c>
      <c r="AD165" s="188">
        <v>154</v>
      </c>
      <c r="AH165" s="188">
        <v>589664.38</v>
      </c>
      <c r="AM165" s="188">
        <v>197</v>
      </c>
    </row>
    <row r="166" spans="1:42" x14ac:dyDescent="0.25">
      <c r="A166" t="s">
        <v>64</v>
      </c>
      <c r="B166" t="s">
        <v>44</v>
      </c>
      <c r="C166" s="212" t="str">
        <f t="shared" si="2"/>
        <v>Escambia Civil Traffic</v>
      </c>
      <c r="D166" s="188">
        <v>1222955.47</v>
      </c>
      <c r="E166" s="188">
        <v>1210711.57</v>
      </c>
      <c r="F166" s="188">
        <v>1210681.57</v>
      </c>
      <c r="G166" s="188">
        <v>1209574.54</v>
      </c>
      <c r="H166" s="125"/>
      <c r="I166" s="188">
        <v>604006.57999999996</v>
      </c>
      <c r="J166" s="188">
        <v>1021112.6</v>
      </c>
      <c r="K166" s="188">
        <v>1057477.43</v>
      </c>
      <c r="L166" s="188">
        <v>1070029.3700000001</v>
      </c>
      <c r="M166" s="70"/>
      <c r="N166" s="188">
        <v>1341798.72</v>
      </c>
      <c r="O166" s="188">
        <v>1416199.22</v>
      </c>
      <c r="P166" s="188">
        <v>1415464.42</v>
      </c>
      <c r="Q166" s="129"/>
      <c r="R166" s="67"/>
      <c r="S166" s="188">
        <v>718543.35999999999</v>
      </c>
      <c r="T166" s="188">
        <v>1165569.45</v>
      </c>
      <c r="U166" s="188">
        <v>1217065.53</v>
      </c>
      <c r="V166" s="61"/>
      <c r="W166" s="58"/>
      <c r="X166" s="188">
        <v>1529544.84</v>
      </c>
      <c r="Y166" s="188">
        <v>1510342.95</v>
      </c>
      <c r="Z166" s="129"/>
      <c r="AA166" s="133"/>
      <c r="AB166" s="67"/>
      <c r="AC166" s="188">
        <v>751731.89</v>
      </c>
      <c r="AD166" s="188">
        <v>1213767.04</v>
      </c>
      <c r="AE166" s="61"/>
      <c r="AF166" s="65"/>
      <c r="AG166" s="58"/>
      <c r="AH166" s="188">
        <v>1420547.8</v>
      </c>
      <c r="AI166" s="129"/>
      <c r="AJ166" s="133"/>
      <c r="AK166" s="133"/>
      <c r="AL166" s="67"/>
      <c r="AM166" s="188">
        <v>717452.83</v>
      </c>
      <c r="AN166" s="135"/>
      <c r="AO166" s="135"/>
      <c r="AP166" s="135"/>
    </row>
    <row r="167" spans="1:42" x14ac:dyDescent="0.25">
      <c r="A167" t="s">
        <v>64</v>
      </c>
      <c r="B167" t="s">
        <v>43</v>
      </c>
      <c r="C167" s="212" t="str">
        <f t="shared" si="2"/>
        <v>Escambia County Civil</v>
      </c>
      <c r="D167" s="188">
        <v>241284.75</v>
      </c>
      <c r="E167" s="188">
        <v>241234.75</v>
      </c>
      <c r="F167" s="188">
        <v>241234.75</v>
      </c>
      <c r="G167" s="188">
        <v>241234.75</v>
      </c>
      <c r="H167" s="125"/>
      <c r="I167" s="188">
        <v>239209.25</v>
      </c>
      <c r="J167" s="188">
        <v>240275.25</v>
      </c>
      <c r="K167" s="188">
        <v>240275.25</v>
      </c>
      <c r="L167" s="188">
        <v>240275.25</v>
      </c>
      <c r="M167" s="70"/>
      <c r="N167" s="188">
        <v>246304.28</v>
      </c>
      <c r="O167" s="188">
        <v>246304.28</v>
      </c>
      <c r="P167" s="188">
        <v>246304.28</v>
      </c>
      <c r="Q167" s="129"/>
      <c r="R167" s="67"/>
      <c r="S167" s="188">
        <v>245665.47</v>
      </c>
      <c r="T167" s="188">
        <v>245690.28</v>
      </c>
      <c r="U167" s="188">
        <v>245740.28</v>
      </c>
      <c r="V167" s="61"/>
      <c r="W167" s="58"/>
      <c r="X167" s="188">
        <v>311857.87</v>
      </c>
      <c r="Y167" s="188">
        <v>311277.87</v>
      </c>
      <c r="Z167" s="129"/>
      <c r="AA167" s="133"/>
      <c r="AB167" s="67"/>
      <c r="AC167" s="188">
        <v>310330.87</v>
      </c>
      <c r="AD167" s="188">
        <v>310690.87</v>
      </c>
      <c r="AE167" s="61"/>
      <c r="AF167" s="65"/>
      <c r="AG167" s="58"/>
      <c r="AH167" s="188">
        <v>278731.96000000002</v>
      </c>
      <c r="AI167" s="129"/>
      <c r="AJ167" s="133"/>
      <c r="AK167" s="133"/>
      <c r="AL167" s="67"/>
      <c r="AM167" s="188">
        <v>278017.46000000002</v>
      </c>
      <c r="AN167" s="135"/>
      <c r="AO167" s="135"/>
      <c r="AP167" s="135"/>
    </row>
    <row r="168" spans="1:42" x14ac:dyDescent="0.25">
      <c r="A168" t="s">
        <v>64</v>
      </c>
      <c r="B168" t="s">
        <v>39</v>
      </c>
      <c r="C168" s="212" t="str">
        <f t="shared" si="2"/>
        <v>Escambia County Criminal</v>
      </c>
      <c r="D168" s="188">
        <v>651953.06000000006</v>
      </c>
      <c r="E168" s="188">
        <v>645936.26</v>
      </c>
      <c r="F168" s="188">
        <v>636932.53</v>
      </c>
      <c r="G168" s="188">
        <v>630757.48</v>
      </c>
      <c r="H168" s="125"/>
      <c r="I168" s="188">
        <v>101604.26</v>
      </c>
      <c r="J168" s="188">
        <v>160212.70000000001</v>
      </c>
      <c r="K168" s="188">
        <v>193672.8</v>
      </c>
      <c r="L168" s="188">
        <v>234127.05</v>
      </c>
      <c r="M168" s="70"/>
      <c r="N168" s="188">
        <v>583452.73</v>
      </c>
      <c r="O168" s="188">
        <v>583656.43000000005</v>
      </c>
      <c r="P168" s="188">
        <v>575970</v>
      </c>
      <c r="Q168" s="129"/>
      <c r="R168" s="67"/>
      <c r="S168" s="188">
        <v>120447.12</v>
      </c>
      <c r="T168" s="188">
        <v>168172.38</v>
      </c>
      <c r="U168" s="188">
        <v>196129.47</v>
      </c>
      <c r="V168" s="61"/>
      <c r="W168" s="58"/>
      <c r="X168" s="188">
        <v>628535.85</v>
      </c>
      <c r="Y168" s="188">
        <v>634859.35</v>
      </c>
      <c r="Z168" s="129"/>
      <c r="AA168" s="133"/>
      <c r="AB168" s="67"/>
      <c r="AC168" s="188">
        <v>122877.3</v>
      </c>
      <c r="AD168" s="188">
        <v>165188.42000000001</v>
      </c>
      <c r="AE168" s="61"/>
      <c r="AF168" s="65"/>
      <c r="AG168" s="58"/>
      <c r="AH168" s="188">
        <v>653970.52</v>
      </c>
      <c r="AI168" s="129"/>
      <c r="AJ168" s="133"/>
      <c r="AK168" s="133"/>
      <c r="AL168" s="67"/>
      <c r="AM168" s="188">
        <v>137962.72</v>
      </c>
      <c r="AN168" s="135"/>
      <c r="AO168" s="135"/>
      <c r="AP168" s="135"/>
    </row>
    <row r="169" spans="1:42" x14ac:dyDescent="0.25">
      <c r="A169" t="s">
        <v>64</v>
      </c>
      <c r="B169" t="s">
        <v>41</v>
      </c>
      <c r="C169" s="212" t="str">
        <f t="shared" si="2"/>
        <v>Escambia Criminal Traffic</v>
      </c>
      <c r="D169" s="188">
        <v>294351.52</v>
      </c>
      <c r="E169" s="188">
        <v>292486.52</v>
      </c>
      <c r="F169" s="188">
        <v>288831.02</v>
      </c>
      <c r="G169" s="188">
        <v>287627.82</v>
      </c>
      <c r="H169" s="125"/>
      <c r="I169" s="188">
        <v>65868.639999999999</v>
      </c>
      <c r="J169" s="188">
        <v>118663.29</v>
      </c>
      <c r="K169" s="188">
        <v>142120.12</v>
      </c>
      <c r="L169" s="188">
        <v>152050.66</v>
      </c>
      <c r="M169" s="70"/>
      <c r="N169" s="188">
        <v>280916.40000000002</v>
      </c>
      <c r="O169" s="188">
        <v>279521.3</v>
      </c>
      <c r="P169" s="188">
        <v>276253.5</v>
      </c>
      <c r="Q169" s="129"/>
      <c r="R169" s="67"/>
      <c r="S169" s="188">
        <v>72028.28</v>
      </c>
      <c r="T169" s="188">
        <v>112135.02</v>
      </c>
      <c r="U169" s="188">
        <v>128039.85</v>
      </c>
      <c r="V169" s="61"/>
      <c r="W169" s="58"/>
      <c r="X169" s="188">
        <v>296314.25</v>
      </c>
      <c r="Y169" s="188">
        <v>293836.25</v>
      </c>
      <c r="Z169" s="129"/>
      <c r="AA169" s="133"/>
      <c r="AB169" s="67"/>
      <c r="AC169" s="188">
        <v>70577.77</v>
      </c>
      <c r="AD169" s="188">
        <v>114717.84</v>
      </c>
      <c r="AE169" s="61"/>
      <c r="AF169" s="65"/>
      <c r="AG169" s="58"/>
      <c r="AH169" s="188">
        <v>274239.99</v>
      </c>
      <c r="AI169" s="129"/>
      <c r="AJ169" s="133"/>
      <c r="AK169" s="133"/>
      <c r="AL169" s="67"/>
      <c r="AM169" s="188">
        <v>66422.259999999995</v>
      </c>
      <c r="AN169" s="135"/>
      <c r="AO169" s="135"/>
      <c r="AP169" s="135"/>
    </row>
    <row r="170" spans="1:42" x14ac:dyDescent="0.25">
      <c r="A170" t="s">
        <v>64</v>
      </c>
      <c r="B170" t="s">
        <v>46</v>
      </c>
      <c r="C170" s="212" t="str">
        <f t="shared" si="2"/>
        <v>Escambia Family</v>
      </c>
      <c r="D170" s="188">
        <v>227962.45</v>
      </c>
      <c r="E170" s="188">
        <v>220905.95</v>
      </c>
      <c r="F170" s="188">
        <v>214505.45</v>
      </c>
      <c r="G170" s="188">
        <v>212478.5</v>
      </c>
      <c r="H170" s="125"/>
      <c r="I170" s="188">
        <v>180801.2</v>
      </c>
      <c r="J170" s="188">
        <v>181964.35</v>
      </c>
      <c r="K170" s="188">
        <v>182080.3</v>
      </c>
      <c r="L170" s="188">
        <v>182122.3</v>
      </c>
      <c r="M170" s="70"/>
      <c r="N170" s="188">
        <v>231015.55</v>
      </c>
      <c r="O170" s="188">
        <v>227352.55</v>
      </c>
      <c r="P170" s="188">
        <v>225362.55</v>
      </c>
      <c r="Q170" s="129"/>
      <c r="R170" s="67"/>
      <c r="S170" s="188">
        <v>206953</v>
      </c>
      <c r="T170" s="188">
        <v>207015.5</v>
      </c>
      <c r="U170" s="188">
        <v>207027.8</v>
      </c>
      <c r="V170" s="61"/>
      <c r="W170" s="58"/>
      <c r="X170" s="188">
        <v>212334.26</v>
      </c>
      <c r="Y170" s="188">
        <v>205345.76</v>
      </c>
      <c r="Z170" s="129"/>
      <c r="AA170" s="133"/>
      <c r="AB170" s="67"/>
      <c r="AC170" s="188">
        <v>184693.34</v>
      </c>
      <c r="AD170" s="188">
        <v>186037.46</v>
      </c>
      <c r="AE170" s="61"/>
      <c r="AF170" s="65"/>
      <c r="AG170" s="58"/>
      <c r="AH170" s="188">
        <v>213279.75</v>
      </c>
      <c r="AI170" s="129"/>
      <c r="AJ170" s="133"/>
      <c r="AK170" s="133"/>
      <c r="AL170" s="67"/>
      <c r="AM170" s="188">
        <v>172176.1</v>
      </c>
      <c r="AN170" s="135"/>
      <c r="AO170" s="135"/>
      <c r="AP170" s="135"/>
    </row>
    <row r="171" spans="1:42" x14ac:dyDescent="0.25">
      <c r="A171" t="s">
        <v>64</v>
      </c>
      <c r="B171" t="s">
        <v>40</v>
      </c>
      <c r="C171" s="212" t="str">
        <f t="shared" si="2"/>
        <v>Escambia Juvenile Delinquency</v>
      </c>
      <c r="D171" s="188">
        <v>103783.86</v>
      </c>
      <c r="E171" s="188">
        <v>103583.86</v>
      </c>
      <c r="F171" s="188">
        <v>103433.86</v>
      </c>
      <c r="G171" s="188">
        <v>103003.15</v>
      </c>
      <c r="H171" s="125"/>
      <c r="I171" s="188">
        <v>3361.86</v>
      </c>
      <c r="J171" s="188">
        <v>7359.36</v>
      </c>
      <c r="K171" s="188">
        <v>10691.36</v>
      </c>
      <c r="L171" s="188">
        <v>12169.01</v>
      </c>
      <c r="M171" s="70"/>
      <c r="N171" s="188">
        <v>108850.35</v>
      </c>
      <c r="O171" s="188">
        <v>109630.35</v>
      </c>
      <c r="P171" s="188">
        <v>108842.4</v>
      </c>
      <c r="Q171" s="129"/>
      <c r="R171" s="67"/>
      <c r="S171" s="188">
        <v>2990.9</v>
      </c>
      <c r="T171" s="188">
        <v>6342.4</v>
      </c>
      <c r="U171" s="188">
        <v>7101.9</v>
      </c>
      <c r="V171" s="61"/>
      <c r="W171" s="58"/>
      <c r="X171" s="188">
        <v>144157.4</v>
      </c>
      <c r="Y171" s="188">
        <v>143976.4</v>
      </c>
      <c r="Z171" s="129"/>
      <c r="AA171" s="133"/>
      <c r="AB171" s="67"/>
      <c r="AC171" s="188">
        <v>4861.3999999999996</v>
      </c>
      <c r="AD171" s="188">
        <v>7639.4</v>
      </c>
      <c r="AE171" s="61"/>
      <c r="AF171" s="65"/>
      <c r="AG171" s="58"/>
      <c r="AH171" s="188">
        <v>115516.35</v>
      </c>
      <c r="AI171" s="129"/>
      <c r="AJ171" s="133"/>
      <c r="AK171" s="133"/>
      <c r="AL171" s="67"/>
      <c r="AM171" s="188">
        <v>6085.4</v>
      </c>
      <c r="AN171" s="135"/>
      <c r="AO171" s="135"/>
      <c r="AP171" s="135"/>
    </row>
    <row r="172" spans="1:42" x14ac:dyDescent="0.25">
      <c r="A172" t="s">
        <v>64</v>
      </c>
      <c r="B172" t="s">
        <v>45</v>
      </c>
      <c r="C172" s="212" t="str">
        <f t="shared" si="2"/>
        <v>Escambia Probate</v>
      </c>
      <c r="D172" s="188">
        <v>93278.91</v>
      </c>
      <c r="E172" s="188">
        <v>92933.91</v>
      </c>
      <c r="F172" s="188">
        <v>92588.91</v>
      </c>
      <c r="G172" s="188">
        <v>92595.91</v>
      </c>
      <c r="H172" s="125"/>
      <c r="I172" s="188">
        <v>92725.91</v>
      </c>
      <c r="J172" s="188">
        <v>92433.91</v>
      </c>
      <c r="K172" s="188">
        <v>92533.91</v>
      </c>
      <c r="L172" s="188">
        <v>92540.91</v>
      </c>
      <c r="M172" s="70"/>
      <c r="N172" s="188">
        <v>114555.6</v>
      </c>
      <c r="O172" s="188">
        <v>114502.6</v>
      </c>
      <c r="P172" s="188">
        <v>114509.6</v>
      </c>
      <c r="Q172" s="129"/>
      <c r="R172" s="67"/>
      <c r="S172" s="188">
        <v>113278.26</v>
      </c>
      <c r="T172" s="188">
        <v>114479.26</v>
      </c>
      <c r="U172" s="188">
        <v>114486.26</v>
      </c>
      <c r="V172" s="61"/>
      <c r="W172" s="58"/>
      <c r="X172" s="188">
        <v>108493.44</v>
      </c>
      <c r="Y172" s="188">
        <v>108160.44</v>
      </c>
      <c r="Z172" s="129"/>
      <c r="AA172" s="133"/>
      <c r="AB172" s="67"/>
      <c r="AC172" s="188">
        <v>107696.44</v>
      </c>
      <c r="AD172" s="188">
        <v>107900.44</v>
      </c>
      <c r="AE172" s="61"/>
      <c r="AF172" s="65"/>
      <c r="AG172" s="58"/>
      <c r="AH172" s="188">
        <v>119519.14</v>
      </c>
      <c r="AI172" s="129"/>
      <c r="AJ172" s="133"/>
      <c r="AK172" s="133"/>
      <c r="AL172" s="67"/>
      <c r="AM172" s="188">
        <v>118354.81</v>
      </c>
      <c r="AN172" s="135"/>
      <c r="AO172" s="135"/>
      <c r="AP172" s="135"/>
    </row>
    <row r="173" spans="1:42" x14ac:dyDescent="0.25">
      <c r="A173" t="s">
        <v>65</v>
      </c>
      <c r="B173" t="s">
        <v>42</v>
      </c>
      <c r="C173" s="212" t="str">
        <f t="shared" si="2"/>
        <v>Flagler Circuit Civil</v>
      </c>
      <c r="D173" s="188">
        <v>218039.85</v>
      </c>
      <c r="E173" s="188">
        <v>218039.85</v>
      </c>
      <c r="F173" s="188">
        <v>218039.85</v>
      </c>
      <c r="G173" s="188">
        <v>218039.85</v>
      </c>
      <c r="H173" s="125"/>
      <c r="I173" s="188">
        <v>218037.35</v>
      </c>
      <c r="J173" s="188">
        <v>218039.85</v>
      </c>
      <c r="K173" s="188">
        <v>218039.85</v>
      </c>
      <c r="L173" s="188">
        <v>218039.85</v>
      </c>
      <c r="M173" s="70"/>
      <c r="N173" s="188">
        <v>256253.26</v>
      </c>
      <c r="O173" s="188">
        <v>256253.26</v>
      </c>
      <c r="P173" s="188">
        <v>256253.26</v>
      </c>
      <c r="Q173" s="129"/>
      <c r="R173" s="67"/>
      <c r="S173" s="188">
        <v>256203.26</v>
      </c>
      <c r="T173" s="188">
        <v>256253.26</v>
      </c>
      <c r="U173" s="188">
        <v>256253.26</v>
      </c>
      <c r="V173" s="61"/>
      <c r="W173" s="58"/>
      <c r="X173" s="188">
        <v>214489.72</v>
      </c>
      <c r="Y173" s="188">
        <v>214489.72</v>
      </c>
      <c r="Z173" s="129"/>
      <c r="AA173" s="133"/>
      <c r="AB173" s="67"/>
      <c r="AC173" s="188">
        <v>211079.72</v>
      </c>
      <c r="AD173" s="188">
        <v>214477.22</v>
      </c>
      <c r="AE173" s="61"/>
      <c r="AF173" s="65"/>
      <c r="AG173" s="58"/>
      <c r="AH173" s="188">
        <v>211501.56</v>
      </c>
      <c r="AI173" s="129"/>
      <c r="AJ173" s="133"/>
      <c r="AK173" s="133"/>
      <c r="AL173" s="67"/>
      <c r="AM173" s="188">
        <v>210675.06</v>
      </c>
      <c r="AN173" s="135"/>
      <c r="AO173" s="135"/>
      <c r="AP173" s="135"/>
    </row>
    <row r="174" spans="1:42" x14ac:dyDescent="0.25">
      <c r="A174" t="s">
        <v>65</v>
      </c>
      <c r="B174" t="s">
        <v>38</v>
      </c>
      <c r="C174" s="212" t="str">
        <f t="shared" si="2"/>
        <v>Flagler Circuit Criminal</v>
      </c>
      <c r="D174" s="188">
        <v>114365</v>
      </c>
      <c r="E174" s="188">
        <v>114865</v>
      </c>
      <c r="F174" s="188">
        <v>113781</v>
      </c>
      <c r="G174" s="188">
        <v>146631</v>
      </c>
      <c r="H174" s="125"/>
      <c r="I174" s="188">
        <v>3082.48</v>
      </c>
      <c r="J174" s="188">
        <v>5342.8</v>
      </c>
      <c r="K174" s="188">
        <v>6622.07</v>
      </c>
      <c r="L174" s="188">
        <v>11837.85</v>
      </c>
      <c r="M174" s="70"/>
      <c r="N174" s="188">
        <v>75560.5</v>
      </c>
      <c r="O174" s="188">
        <v>76889.5</v>
      </c>
      <c r="P174" s="188">
        <v>109923.5</v>
      </c>
      <c r="Q174" s="129"/>
      <c r="R174" s="67"/>
      <c r="S174" s="188">
        <v>1949.48</v>
      </c>
      <c r="T174" s="188">
        <v>4831.74</v>
      </c>
      <c r="U174" s="188">
        <v>9847.9599999999991</v>
      </c>
      <c r="V174" s="61"/>
      <c r="W174" s="58"/>
      <c r="X174" s="188">
        <v>132830</v>
      </c>
      <c r="Y174" s="188">
        <v>173036</v>
      </c>
      <c r="Z174" s="129"/>
      <c r="AA174" s="133"/>
      <c r="AB174" s="67"/>
      <c r="AC174" s="188">
        <v>1675.58</v>
      </c>
      <c r="AD174" s="188">
        <v>4222.59</v>
      </c>
      <c r="AE174" s="61"/>
      <c r="AF174" s="65"/>
      <c r="AG174" s="58"/>
      <c r="AH174" s="188">
        <v>154035</v>
      </c>
      <c r="AI174" s="129"/>
      <c r="AJ174" s="133"/>
      <c r="AK174" s="133"/>
      <c r="AL174" s="67"/>
      <c r="AM174" s="188">
        <v>1977.06</v>
      </c>
      <c r="AN174" s="135"/>
      <c r="AO174" s="135"/>
      <c r="AP174" s="135"/>
    </row>
    <row r="175" spans="1:42" x14ac:dyDescent="0.25">
      <c r="A175" t="s">
        <v>65</v>
      </c>
      <c r="B175" t="s">
        <v>265</v>
      </c>
      <c r="C175" s="212" t="str">
        <f t="shared" si="2"/>
        <v>Flagler Circuit Criminal Drug Cases</v>
      </c>
      <c r="D175" s="188">
        <v>0</v>
      </c>
      <c r="E175" s="188">
        <v>52</v>
      </c>
      <c r="F175" s="188">
        <v>52</v>
      </c>
      <c r="G175" s="188">
        <v>52</v>
      </c>
      <c r="I175" s="188">
        <v>0</v>
      </c>
      <c r="J175" s="188">
        <v>2</v>
      </c>
      <c r="K175" s="188">
        <v>2</v>
      </c>
      <c r="L175" s="188">
        <v>2</v>
      </c>
      <c r="N175" s="188">
        <v>0</v>
      </c>
      <c r="O175" s="188">
        <v>0</v>
      </c>
      <c r="P175" s="188">
        <v>0</v>
      </c>
      <c r="S175" s="188">
        <v>0</v>
      </c>
      <c r="T175" s="188">
        <v>0</v>
      </c>
      <c r="U175" s="188">
        <v>0</v>
      </c>
      <c r="X175" s="188">
        <v>50418</v>
      </c>
      <c r="Y175" s="188">
        <v>50668</v>
      </c>
      <c r="AC175" s="188">
        <v>0</v>
      </c>
      <c r="AD175" s="188">
        <v>0</v>
      </c>
      <c r="AH175" s="188">
        <v>50668</v>
      </c>
      <c r="AM175" s="188">
        <v>0</v>
      </c>
    </row>
    <row r="176" spans="1:42" x14ac:dyDescent="0.25">
      <c r="A176" t="s">
        <v>65</v>
      </c>
      <c r="B176" t="s">
        <v>44</v>
      </c>
      <c r="C176" s="212" t="str">
        <f t="shared" si="2"/>
        <v>Flagler Civil Traffic</v>
      </c>
      <c r="D176" s="188">
        <v>348565</v>
      </c>
      <c r="E176" s="188">
        <v>317120.5</v>
      </c>
      <c r="F176" s="188">
        <v>315650.5</v>
      </c>
      <c r="G176" s="188">
        <v>313919.5</v>
      </c>
      <c r="H176" s="125"/>
      <c r="I176" s="188">
        <v>178256.95</v>
      </c>
      <c r="J176" s="188">
        <v>271445.49</v>
      </c>
      <c r="K176" s="188">
        <v>283861.2</v>
      </c>
      <c r="L176" s="188">
        <v>289246.90000000002</v>
      </c>
      <c r="M176" s="70"/>
      <c r="N176" s="188">
        <v>334873.14</v>
      </c>
      <c r="O176" s="188">
        <v>311831.28999999998</v>
      </c>
      <c r="P176" s="188">
        <v>305791.28999999998</v>
      </c>
      <c r="Q176" s="129"/>
      <c r="R176" s="67"/>
      <c r="S176" s="188">
        <v>163055.14000000001</v>
      </c>
      <c r="T176" s="188">
        <v>267725.24</v>
      </c>
      <c r="U176" s="188">
        <v>277228.79999999999</v>
      </c>
      <c r="V176" s="61"/>
      <c r="W176" s="58"/>
      <c r="X176" s="188">
        <v>304338.95</v>
      </c>
      <c r="Y176" s="188">
        <v>284449.34999999998</v>
      </c>
      <c r="Z176" s="129"/>
      <c r="AA176" s="133"/>
      <c r="AB176" s="67"/>
      <c r="AC176" s="188">
        <v>148271.6</v>
      </c>
      <c r="AD176" s="188">
        <v>244190.62</v>
      </c>
      <c r="AE176" s="61"/>
      <c r="AF176" s="65"/>
      <c r="AG176" s="58"/>
      <c r="AH176" s="188">
        <v>297713.84999999998</v>
      </c>
      <c r="AI176" s="129"/>
      <c r="AJ176" s="133"/>
      <c r="AK176" s="133"/>
      <c r="AL176" s="67"/>
      <c r="AM176" s="188">
        <v>155756.32</v>
      </c>
      <c r="AN176" s="135"/>
      <c r="AO176" s="135"/>
      <c r="AP176" s="135"/>
    </row>
    <row r="177" spans="1:42" x14ac:dyDescent="0.25">
      <c r="A177" t="s">
        <v>65</v>
      </c>
      <c r="B177" t="s">
        <v>43</v>
      </c>
      <c r="C177" s="212" t="str">
        <f t="shared" si="2"/>
        <v>Flagler County Civil</v>
      </c>
      <c r="D177" s="188">
        <v>72462.62</v>
      </c>
      <c r="E177" s="188">
        <v>72167.62</v>
      </c>
      <c r="F177" s="188">
        <v>72167.62</v>
      </c>
      <c r="G177" s="188">
        <v>72167.62</v>
      </c>
      <c r="H177" s="125"/>
      <c r="I177" s="188">
        <v>72377.62</v>
      </c>
      <c r="J177" s="188">
        <v>72167.62</v>
      </c>
      <c r="K177" s="188">
        <v>72167.62</v>
      </c>
      <c r="L177" s="188">
        <v>72167.62</v>
      </c>
      <c r="M177" s="70"/>
      <c r="N177" s="188">
        <v>76691.960000000006</v>
      </c>
      <c r="O177" s="188">
        <v>76211.960000000006</v>
      </c>
      <c r="P177" s="188">
        <v>76211.960000000006</v>
      </c>
      <c r="Q177" s="129"/>
      <c r="R177" s="67"/>
      <c r="S177" s="188">
        <v>76691.960000000006</v>
      </c>
      <c r="T177" s="188">
        <v>76211.960000000006</v>
      </c>
      <c r="U177" s="188">
        <v>76211.960000000006</v>
      </c>
      <c r="V177" s="61"/>
      <c r="W177" s="58"/>
      <c r="X177" s="188">
        <v>80410.649999999994</v>
      </c>
      <c r="Y177" s="188">
        <v>80410.649999999994</v>
      </c>
      <c r="Z177" s="129"/>
      <c r="AA177" s="133"/>
      <c r="AB177" s="67"/>
      <c r="AC177" s="188">
        <v>80218.37</v>
      </c>
      <c r="AD177" s="188">
        <v>80388.37</v>
      </c>
      <c r="AE177" s="61"/>
      <c r="AF177" s="65"/>
      <c r="AG177" s="58"/>
      <c r="AH177" s="188">
        <v>82152.22</v>
      </c>
      <c r="AI177" s="129"/>
      <c r="AJ177" s="133"/>
      <c r="AK177" s="133"/>
      <c r="AL177" s="67"/>
      <c r="AM177" s="188">
        <v>82152.22</v>
      </c>
      <c r="AN177" s="135"/>
      <c r="AO177" s="135"/>
      <c r="AP177" s="135"/>
    </row>
    <row r="178" spans="1:42" x14ac:dyDescent="0.25">
      <c r="A178" t="s">
        <v>65</v>
      </c>
      <c r="B178" t="s">
        <v>39</v>
      </c>
      <c r="C178" s="212" t="str">
        <f t="shared" si="2"/>
        <v>Flagler County Criminal</v>
      </c>
      <c r="D178" s="188">
        <v>52403.5</v>
      </c>
      <c r="E178" s="188">
        <v>51077.5</v>
      </c>
      <c r="F178" s="188">
        <v>50804.5</v>
      </c>
      <c r="G178" s="188">
        <v>61189.5</v>
      </c>
      <c r="H178" s="125"/>
      <c r="I178" s="188">
        <v>7849.2</v>
      </c>
      <c r="J178" s="188">
        <v>16387.5</v>
      </c>
      <c r="K178" s="188">
        <v>23478.98</v>
      </c>
      <c r="L178" s="188">
        <v>32420.98</v>
      </c>
      <c r="M178" s="70"/>
      <c r="N178" s="188">
        <v>63488.5</v>
      </c>
      <c r="O178" s="188">
        <v>63282.5</v>
      </c>
      <c r="P178" s="188">
        <v>74553.5</v>
      </c>
      <c r="Q178" s="129"/>
      <c r="R178" s="67"/>
      <c r="S178" s="188">
        <v>10381</v>
      </c>
      <c r="T178" s="188">
        <v>18730.740000000002</v>
      </c>
      <c r="U178" s="188">
        <v>27839.78</v>
      </c>
      <c r="V178" s="61"/>
      <c r="W178" s="58"/>
      <c r="X178" s="188">
        <v>60530.5</v>
      </c>
      <c r="Y178" s="188">
        <v>70394.5</v>
      </c>
      <c r="Z178" s="129"/>
      <c r="AA178" s="133"/>
      <c r="AB178" s="67"/>
      <c r="AC178" s="188">
        <v>12669.75</v>
      </c>
      <c r="AD178" s="188">
        <v>21934.2</v>
      </c>
      <c r="AE178" s="61"/>
      <c r="AF178" s="65"/>
      <c r="AG178" s="58"/>
      <c r="AH178" s="188">
        <v>85934</v>
      </c>
      <c r="AI178" s="129"/>
      <c r="AJ178" s="133"/>
      <c r="AK178" s="133"/>
      <c r="AL178" s="67"/>
      <c r="AM178" s="188">
        <v>11099.87</v>
      </c>
      <c r="AN178" s="135"/>
      <c r="AO178" s="135"/>
      <c r="AP178" s="135"/>
    </row>
    <row r="179" spans="1:42" x14ac:dyDescent="0.25">
      <c r="A179" t="s">
        <v>65</v>
      </c>
      <c r="B179" t="s">
        <v>41</v>
      </c>
      <c r="C179" s="212" t="str">
        <f t="shared" si="2"/>
        <v>Flagler Criminal Traffic</v>
      </c>
      <c r="D179" s="188">
        <v>88369</v>
      </c>
      <c r="E179" s="188">
        <v>86902</v>
      </c>
      <c r="F179" s="188">
        <v>86802</v>
      </c>
      <c r="G179" s="188">
        <v>100252</v>
      </c>
      <c r="H179" s="125"/>
      <c r="I179" s="188">
        <v>33609.910000000003</v>
      </c>
      <c r="J179" s="188">
        <v>52583.68</v>
      </c>
      <c r="K179" s="188">
        <v>60556.25</v>
      </c>
      <c r="L179" s="188">
        <v>73169.45</v>
      </c>
      <c r="M179" s="70"/>
      <c r="N179" s="188">
        <v>78045</v>
      </c>
      <c r="O179" s="188">
        <v>78384</v>
      </c>
      <c r="P179" s="188">
        <v>91468</v>
      </c>
      <c r="Q179" s="129"/>
      <c r="R179" s="67"/>
      <c r="S179" s="188">
        <v>30694.15</v>
      </c>
      <c r="T179" s="188">
        <v>47268.05</v>
      </c>
      <c r="U179" s="188">
        <v>61791.3</v>
      </c>
      <c r="V179" s="61"/>
      <c r="W179" s="58"/>
      <c r="X179" s="188">
        <v>83806</v>
      </c>
      <c r="Y179" s="188">
        <v>95731</v>
      </c>
      <c r="Z179" s="129"/>
      <c r="AA179" s="133"/>
      <c r="AB179" s="67"/>
      <c r="AC179" s="188">
        <v>26721.35</v>
      </c>
      <c r="AD179" s="188">
        <v>47008.53</v>
      </c>
      <c r="AE179" s="61"/>
      <c r="AF179" s="65"/>
      <c r="AG179" s="58"/>
      <c r="AH179" s="188">
        <v>125557</v>
      </c>
      <c r="AI179" s="129"/>
      <c r="AJ179" s="133"/>
      <c r="AK179" s="133"/>
      <c r="AL179" s="67"/>
      <c r="AM179" s="188">
        <v>33080.400000000001</v>
      </c>
      <c r="AN179" s="135"/>
      <c r="AO179" s="135"/>
      <c r="AP179" s="135"/>
    </row>
    <row r="180" spans="1:42" x14ac:dyDescent="0.25">
      <c r="A180" t="s">
        <v>65</v>
      </c>
      <c r="B180" t="s">
        <v>46</v>
      </c>
      <c r="C180" s="212" t="str">
        <f t="shared" si="2"/>
        <v>Flagler Family</v>
      </c>
      <c r="D180" s="188">
        <v>44339</v>
      </c>
      <c r="E180" s="188">
        <v>43931</v>
      </c>
      <c r="F180" s="188">
        <v>43931</v>
      </c>
      <c r="G180" s="188">
        <v>43931</v>
      </c>
      <c r="H180" s="125"/>
      <c r="I180" s="188">
        <v>43450</v>
      </c>
      <c r="J180" s="188">
        <v>43868</v>
      </c>
      <c r="K180" s="188">
        <v>43868</v>
      </c>
      <c r="L180" s="188">
        <v>43868</v>
      </c>
      <c r="M180" s="70"/>
      <c r="N180" s="188">
        <v>49286.5</v>
      </c>
      <c r="O180" s="188">
        <v>49226.5</v>
      </c>
      <c r="P180" s="188">
        <v>49226.5</v>
      </c>
      <c r="Q180" s="129"/>
      <c r="R180" s="67"/>
      <c r="S180" s="188">
        <v>48808.5</v>
      </c>
      <c r="T180" s="188">
        <v>48808.5</v>
      </c>
      <c r="U180" s="188">
        <v>48868.5</v>
      </c>
      <c r="V180" s="61"/>
      <c r="W180" s="58"/>
      <c r="X180" s="188">
        <v>48764.5</v>
      </c>
      <c r="Y180" s="188">
        <v>48356.5</v>
      </c>
      <c r="Z180" s="129"/>
      <c r="AA180" s="133"/>
      <c r="AB180" s="67"/>
      <c r="AC180" s="188">
        <v>44875.6</v>
      </c>
      <c r="AD180" s="188">
        <v>46822.400000000001</v>
      </c>
      <c r="AE180" s="61"/>
      <c r="AF180" s="65"/>
      <c r="AG180" s="58"/>
      <c r="AH180" s="188">
        <v>66593</v>
      </c>
      <c r="AI180" s="129"/>
      <c r="AJ180" s="133"/>
      <c r="AK180" s="133"/>
      <c r="AL180" s="67"/>
      <c r="AM180" s="188">
        <v>59611.43</v>
      </c>
      <c r="AN180" s="135"/>
      <c r="AO180" s="135"/>
      <c r="AP180" s="135"/>
    </row>
    <row r="181" spans="1:42" x14ac:dyDescent="0.25">
      <c r="A181" t="s">
        <v>65</v>
      </c>
      <c r="B181" t="s">
        <v>40</v>
      </c>
      <c r="C181" s="212" t="str">
        <f t="shared" si="2"/>
        <v>Flagler Juvenile Delinquency</v>
      </c>
      <c r="D181" s="188">
        <v>3804</v>
      </c>
      <c r="E181" s="188">
        <v>3804</v>
      </c>
      <c r="F181" s="188">
        <v>3804</v>
      </c>
      <c r="G181" s="188">
        <v>3804</v>
      </c>
      <c r="H181" s="125"/>
      <c r="I181" s="188">
        <v>120.19</v>
      </c>
      <c r="J181" s="188">
        <v>320.19</v>
      </c>
      <c r="K181" s="188">
        <v>358.19</v>
      </c>
      <c r="L181" s="188">
        <v>358.19</v>
      </c>
      <c r="M181" s="70"/>
      <c r="N181" s="188">
        <v>1988</v>
      </c>
      <c r="O181" s="188">
        <v>1988</v>
      </c>
      <c r="P181" s="188">
        <v>1988</v>
      </c>
      <c r="Q181" s="129"/>
      <c r="R181" s="67"/>
      <c r="S181" s="188">
        <v>0</v>
      </c>
      <c r="T181" s="188">
        <v>140</v>
      </c>
      <c r="U181" s="188">
        <v>238</v>
      </c>
      <c r="V181" s="61"/>
      <c r="W181" s="58"/>
      <c r="X181" s="188">
        <v>2626</v>
      </c>
      <c r="Y181" s="188">
        <v>2526</v>
      </c>
      <c r="Z181" s="129"/>
      <c r="AA181" s="133"/>
      <c r="AB181" s="67"/>
      <c r="AC181" s="188">
        <v>306</v>
      </c>
      <c r="AD181" s="188">
        <v>474</v>
      </c>
      <c r="AE181" s="61"/>
      <c r="AF181" s="65"/>
      <c r="AG181" s="58"/>
      <c r="AH181" s="188">
        <v>2704</v>
      </c>
      <c r="AI181" s="129"/>
      <c r="AJ181" s="133"/>
      <c r="AK181" s="133"/>
      <c r="AL181" s="67"/>
      <c r="AM181" s="188">
        <v>414</v>
      </c>
      <c r="AN181" s="135"/>
      <c r="AO181" s="135"/>
      <c r="AP181" s="135"/>
    </row>
    <row r="182" spans="1:42" x14ac:dyDescent="0.25">
      <c r="A182" t="s">
        <v>65</v>
      </c>
      <c r="B182" t="s">
        <v>45</v>
      </c>
      <c r="C182" s="212" t="str">
        <f t="shared" si="2"/>
        <v>Flagler Probate</v>
      </c>
      <c r="D182" s="188">
        <v>45802.98</v>
      </c>
      <c r="E182" s="188">
        <v>45802.98</v>
      </c>
      <c r="F182" s="188">
        <v>45571.98</v>
      </c>
      <c r="G182" s="188">
        <v>45571.98</v>
      </c>
      <c r="H182" s="125"/>
      <c r="I182" s="188">
        <v>45792.98</v>
      </c>
      <c r="J182" s="188">
        <v>45792.98</v>
      </c>
      <c r="K182" s="188">
        <v>45561.98</v>
      </c>
      <c r="L182" s="188">
        <v>45561.98</v>
      </c>
      <c r="M182" s="70"/>
      <c r="N182" s="188">
        <v>42632.56</v>
      </c>
      <c r="O182" s="188">
        <v>42632.56</v>
      </c>
      <c r="P182" s="188">
        <v>42632.56</v>
      </c>
      <c r="Q182" s="129"/>
      <c r="R182" s="67"/>
      <c r="S182" s="188">
        <v>42632.56</v>
      </c>
      <c r="T182" s="188">
        <v>42632.56</v>
      </c>
      <c r="U182" s="188">
        <v>42623.56</v>
      </c>
      <c r="V182" s="61"/>
      <c r="W182" s="58"/>
      <c r="X182" s="188">
        <v>43681.5</v>
      </c>
      <c r="Y182" s="188">
        <v>43215.5</v>
      </c>
      <c r="Z182" s="129"/>
      <c r="AA182" s="133"/>
      <c r="AB182" s="67"/>
      <c r="AC182" s="188">
        <v>43681.5</v>
      </c>
      <c r="AD182" s="188">
        <v>43215.5</v>
      </c>
      <c r="AE182" s="61"/>
      <c r="AF182" s="65"/>
      <c r="AG182" s="58"/>
      <c r="AH182" s="188">
        <v>37078</v>
      </c>
      <c r="AI182" s="129"/>
      <c r="AJ182" s="133"/>
      <c r="AK182" s="133"/>
      <c r="AL182" s="67"/>
      <c r="AM182" s="188">
        <v>36278</v>
      </c>
      <c r="AN182" s="135"/>
      <c r="AO182" s="135"/>
      <c r="AP182" s="135"/>
    </row>
    <row r="183" spans="1:42" x14ac:dyDescent="0.25">
      <c r="A183" t="s">
        <v>66</v>
      </c>
      <c r="B183" t="s">
        <v>42</v>
      </c>
      <c r="C183" s="212" t="str">
        <f t="shared" si="2"/>
        <v>Franklin Circuit Civil</v>
      </c>
      <c r="D183" s="188">
        <v>37178.5</v>
      </c>
      <c r="E183" s="188">
        <v>37178.5</v>
      </c>
      <c r="F183" s="188">
        <v>37178.5</v>
      </c>
      <c r="G183" s="188">
        <v>37178.5</v>
      </c>
      <c r="H183" s="125"/>
      <c r="I183" s="188">
        <v>37178.5</v>
      </c>
      <c r="J183" s="188">
        <v>37178.5</v>
      </c>
      <c r="K183" s="188">
        <v>37178.5</v>
      </c>
      <c r="L183" s="188">
        <v>37178.5</v>
      </c>
      <c r="M183" s="70"/>
      <c r="N183" s="188">
        <v>31634</v>
      </c>
      <c r="O183" s="188">
        <v>31634</v>
      </c>
      <c r="P183" s="188">
        <v>31634</v>
      </c>
      <c r="Q183" s="129"/>
      <c r="R183" s="67"/>
      <c r="S183" s="188">
        <v>31634</v>
      </c>
      <c r="T183" s="188">
        <v>31634</v>
      </c>
      <c r="U183" s="188">
        <v>31634</v>
      </c>
      <c r="V183" s="61"/>
      <c r="W183" s="58"/>
      <c r="X183" s="188">
        <v>32157.5</v>
      </c>
      <c r="Y183" s="188">
        <v>32157.5</v>
      </c>
      <c r="Z183" s="129"/>
      <c r="AA183" s="133"/>
      <c r="AB183" s="67"/>
      <c r="AC183" s="188">
        <v>32157.5</v>
      </c>
      <c r="AD183" s="188">
        <v>32157.5</v>
      </c>
      <c r="AE183" s="61"/>
      <c r="AF183" s="65"/>
      <c r="AG183" s="58"/>
      <c r="AH183" s="188">
        <v>21798.5</v>
      </c>
      <c r="AI183" s="129"/>
      <c r="AJ183" s="133"/>
      <c r="AK183" s="133"/>
      <c r="AL183" s="67"/>
      <c r="AM183" s="188">
        <v>21378.5</v>
      </c>
      <c r="AN183" s="135"/>
      <c r="AO183" s="135"/>
      <c r="AP183" s="135"/>
    </row>
    <row r="184" spans="1:42" x14ac:dyDescent="0.25">
      <c r="A184" t="s">
        <v>66</v>
      </c>
      <c r="B184" t="s">
        <v>38</v>
      </c>
      <c r="C184" s="212" t="str">
        <f t="shared" si="2"/>
        <v>Franklin Circuit Criminal</v>
      </c>
      <c r="D184" s="188">
        <v>46584</v>
      </c>
      <c r="E184" s="188">
        <v>46714</v>
      </c>
      <c r="F184" s="188">
        <v>46714</v>
      </c>
      <c r="G184" s="188">
        <v>46714</v>
      </c>
      <c r="H184" s="125"/>
      <c r="I184" s="188">
        <v>532.69000000000005</v>
      </c>
      <c r="J184" s="188">
        <v>1789.63</v>
      </c>
      <c r="K184" s="188">
        <v>3884.44</v>
      </c>
      <c r="L184" s="188">
        <v>4801.3500000000004</v>
      </c>
      <c r="M184" s="70"/>
      <c r="N184" s="188">
        <v>68005.63</v>
      </c>
      <c r="O184" s="188">
        <v>68005.63</v>
      </c>
      <c r="P184" s="188">
        <v>68775.63</v>
      </c>
      <c r="Q184" s="129"/>
      <c r="R184" s="67"/>
      <c r="S184" s="188">
        <v>1063.92</v>
      </c>
      <c r="T184" s="188">
        <v>2408.21</v>
      </c>
      <c r="U184" s="188">
        <v>4499.99</v>
      </c>
      <c r="V184" s="61"/>
      <c r="W184" s="58"/>
      <c r="X184" s="188">
        <v>54766</v>
      </c>
      <c r="Y184" s="188">
        <v>54766</v>
      </c>
      <c r="Z184" s="129"/>
      <c r="AA184" s="133"/>
      <c r="AB184" s="67"/>
      <c r="AC184" s="188">
        <v>571.5</v>
      </c>
      <c r="AD184" s="188">
        <v>2241.63</v>
      </c>
      <c r="AE184" s="61"/>
      <c r="AF184" s="65"/>
      <c r="AG184" s="58"/>
      <c r="AH184" s="188">
        <v>38538</v>
      </c>
      <c r="AI184" s="129"/>
      <c r="AJ184" s="133"/>
      <c r="AK184" s="133"/>
      <c r="AL184" s="67"/>
      <c r="AM184" s="188">
        <v>558</v>
      </c>
      <c r="AN184" s="135"/>
      <c r="AO184" s="135"/>
      <c r="AP184" s="135"/>
    </row>
    <row r="185" spans="1:42" x14ac:dyDescent="0.25">
      <c r="A185" t="s">
        <v>66</v>
      </c>
      <c r="B185" t="s">
        <v>265</v>
      </c>
      <c r="C185" s="212" t="str">
        <f t="shared" si="2"/>
        <v>Franklin Circuit Criminal Drug Cases</v>
      </c>
      <c r="D185" s="188">
        <v>0</v>
      </c>
      <c r="E185" s="188">
        <v>0</v>
      </c>
      <c r="F185" s="188">
        <v>0</v>
      </c>
      <c r="G185" s="188">
        <v>0</v>
      </c>
      <c r="I185" s="188">
        <v>0</v>
      </c>
      <c r="J185" s="188">
        <v>0</v>
      </c>
      <c r="K185" s="188">
        <v>0</v>
      </c>
      <c r="L185" s="188">
        <v>0</v>
      </c>
      <c r="N185" s="188">
        <v>0</v>
      </c>
      <c r="O185" s="188">
        <v>0</v>
      </c>
      <c r="P185" s="188">
        <v>0</v>
      </c>
      <c r="S185" s="188">
        <v>0</v>
      </c>
      <c r="T185" s="188">
        <v>0</v>
      </c>
      <c r="U185" s="188">
        <v>0</v>
      </c>
      <c r="X185" s="188">
        <v>0</v>
      </c>
      <c r="Y185" s="188">
        <v>0</v>
      </c>
      <c r="AC185" s="188">
        <v>0</v>
      </c>
      <c r="AD185" s="188">
        <v>0</v>
      </c>
      <c r="AH185" s="188">
        <v>0</v>
      </c>
      <c r="AM185" s="188">
        <v>0</v>
      </c>
    </row>
    <row r="186" spans="1:42" x14ac:dyDescent="0.25">
      <c r="A186" t="s">
        <v>66</v>
      </c>
      <c r="B186" t="s">
        <v>44</v>
      </c>
      <c r="C186" s="212" t="str">
        <f t="shared" si="2"/>
        <v>Franklin Civil Traffic</v>
      </c>
      <c r="D186" s="188">
        <v>34772.25</v>
      </c>
      <c r="E186" s="188">
        <v>32868.75</v>
      </c>
      <c r="F186" s="188">
        <v>32444.75</v>
      </c>
      <c r="G186" s="188">
        <v>31596.75</v>
      </c>
      <c r="H186" s="125"/>
      <c r="I186" s="188">
        <v>18040.25</v>
      </c>
      <c r="J186" s="188">
        <v>29619.75</v>
      </c>
      <c r="K186" s="188">
        <v>30015.75</v>
      </c>
      <c r="L186" s="188">
        <v>30286.75</v>
      </c>
      <c r="M186" s="70"/>
      <c r="N186" s="188">
        <v>48273.25</v>
      </c>
      <c r="O186" s="188">
        <v>45137.25</v>
      </c>
      <c r="P186" s="188">
        <v>44164.25</v>
      </c>
      <c r="Q186" s="129"/>
      <c r="R186" s="67"/>
      <c r="S186" s="188">
        <v>24386.25</v>
      </c>
      <c r="T186" s="188">
        <v>39071.25</v>
      </c>
      <c r="U186" s="188">
        <v>41197.25</v>
      </c>
      <c r="V186" s="61"/>
      <c r="W186" s="58"/>
      <c r="X186" s="188">
        <v>55497.15</v>
      </c>
      <c r="Y186" s="188">
        <v>51274.400000000001</v>
      </c>
      <c r="Z186" s="129"/>
      <c r="AA186" s="133"/>
      <c r="AB186" s="67"/>
      <c r="AC186" s="188">
        <v>28148.15</v>
      </c>
      <c r="AD186" s="188">
        <v>44508.9</v>
      </c>
      <c r="AE186" s="61"/>
      <c r="AF186" s="65"/>
      <c r="AG186" s="58"/>
      <c r="AH186" s="188">
        <v>46223</v>
      </c>
      <c r="AI186" s="129"/>
      <c r="AJ186" s="133"/>
      <c r="AK186" s="133"/>
      <c r="AL186" s="67"/>
      <c r="AM186" s="188">
        <v>27349</v>
      </c>
      <c r="AN186" s="135"/>
      <c r="AO186" s="135"/>
      <c r="AP186" s="135"/>
    </row>
    <row r="187" spans="1:42" x14ac:dyDescent="0.25">
      <c r="A187" t="s">
        <v>66</v>
      </c>
      <c r="B187" t="s">
        <v>43</v>
      </c>
      <c r="C187" s="212" t="str">
        <f t="shared" si="2"/>
        <v>Franklin County Civil</v>
      </c>
      <c r="D187" s="188">
        <v>5691</v>
      </c>
      <c r="E187" s="188">
        <v>5691</v>
      </c>
      <c r="F187" s="188">
        <v>5691</v>
      </c>
      <c r="G187" s="188">
        <v>5691</v>
      </c>
      <c r="H187" s="125"/>
      <c r="I187" s="188">
        <v>5691</v>
      </c>
      <c r="J187" s="188">
        <v>5691</v>
      </c>
      <c r="K187" s="188">
        <v>5691</v>
      </c>
      <c r="L187" s="188">
        <v>5691</v>
      </c>
      <c r="M187" s="70"/>
      <c r="N187" s="188">
        <v>5665</v>
      </c>
      <c r="O187" s="188">
        <v>5665</v>
      </c>
      <c r="P187" s="188">
        <v>5665</v>
      </c>
      <c r="Q187" s="129"/>
      <c r="R187" s="67"/>
      <c r="S187" s="188">
        <v>5665</v>
      </c>
      <c r="T187" s="188">
        <v>5665</v>
      </c>
      <c r="U187" s="188">
        <v>5665</v>
      </c>
      <c r="V187" s="61"/>
      <c r="W187" s="58"/>
      <c r="X187" s="188">
        <v>7055</v>
      </c>
      <c r="Y187" s="188">
        <v>7055</v>
      </c>
      <c r="Z187" s="129"/>
      <c r="AA187" s="133"/>
      <c r="AB187" s="67"/>
      <c r="AC187" s="188">
        <v>7055</v>
      </c>
      <c r="AD187" s="188">
        <v>7055</v>
      </c>
      <c r="AE187" s="61"/>
      <c r="AF187" s="65"/>
      <c r="AG187" s="58"/>
      <c r="AH187" s="188">
        <v>6745</v>
      </c>
      <c r="AI187" s="129"/>
      <c r="AJ187" s="133"/>
      <c r="AK187" s="133"/>
      <c r="AL187" s="67"/>
      <c r="AM187" s="188">
        <v>6745</v>
      </c>
      <c r="AN187" s="135"/>
      <c r="AO187" s="135"/>
      <c r="AP187" s="135"/>
    </row>
    <row r="188" spans="1:42" x14ac:dyDescent="0.25">
      <c r="A188" t="s">
        <v>66</v>
      </c>
      <c r="B188" t="s">
        <v>39</v>
      </c>
      <c r="C188" s="212" t="str">
        <f t="shared" si="2"/>
        <v>Franklin County Criminal</v>
      </c>
      <c r="D188" s="188">
        <v>44795</v>
      </c>
      <c r="E188" s="188">
        <v>44645</v>
      </c>
      <c r="F188" s="188">
        <v>44045</v>
      </c>
      <c r="G188" s="188">
        <v>44545</v>
      </c>
      <c r="H188" s="125"/>
      <c r="I188" s="188">
        <v>11411.69</v>
      </c>
      <c r="J188" s="188">
        <v>15803.5</v>
      </c>
      <c r="K188" s="188">
        <v>22862.83</v>
      </c>
      <c r="L188" s="188">
        <v>23995.52</v>
      </c>
      <c r="M188" s="70"/>
      <c r="N188" s="188">
        <v>47541.5</v>
      </c>
      <c r="O188" s="188">
        <v>47541.5</v>
      </c>
      <c r="P188" s="188">
        <v>48066.5</v>
      </c>
      <c r="Q188" s="129"/>
      <c r="R188" s="67"/>
      <c r="S188" s="188">
        <v>16111.5</v>
      </c>
      <c r="T188" s="188">
        <v>21733.26</v>
      </c>
      <c r="U188" s="188">
        <v>25940.76</v>
      </c>
      <c r="V188" s="61"/>
      <c r="W188" s="58"/>
      <c r="X188" s="188">
        <v>40610.5</v>
      </c>
      <c r="Y188" s="188">
        <v>41035.5</v>
      </c>
      <c r="Z188" s="129"/>
      <c r="AA188" s="133"/>
      <c r="AB188" s="67"/>
      <c r="AC188" s="188">
        <v>13510.5</v>
      </c>
      <c r="AD188" s="188">
        <v>20869.5</v>
      </c>
      <c r="AE188" s="61"/>
      <c r="AF188" s="65"/>
      <c r="AG188" s="58"/>
      <c r="AH188" s="188">
        <v>37989</v>
      </c>
      <c r="AI188" s="129"/>
      <c r="AJ188" s="133"/>
      <c r="AK188" s="133"/>
      <c r="AL188" s="67"/>
      <c r="AM188" s="188">
        <v>15661.5</v>
      </c>
      <c r="AN188" s="135"/>
      <c r="AO188" s="135"/>
      <c r="AP188" s="135"/>
    </row>
    <row r="189" spans="1:42" x14ac:dyDescent="0.25">
      <c r="A189" t="s">
        <v>66</v>
      </c>
      <c r="B189" t="s">
        <v>41</v>
      </c>
      <c r="C189" s="212" t="str">
        <f t="shared" si="2"/>
        <v>Franklin Criminal Traffic</v>
      </c>
      <c r="D189" s="188">
        <v>20322</v>
      </c>
      <c r="E189" s="188">
        <v>20322</v>
      </c>
      <c r="F189" s="188">
        <v>20322</v>
      </c>
      <c r="G189" s="188">
        <v>20322</v>
      </c>
      <c r="H189" s="125"/>
      <c r="I189" s="188">
        <v>7199</v>
      </c>
      <c r="J189" s="188">
        <v>9925</v>
      </c>
      <c r="K189" s="188">
        <v>10860</v>
      </c>
      <c r="L189" s="188">
        <v>12866</v>
      </c>
      <c r="M189" s="70"/>
      <c r="N189" s="188">
        <v>17018</v>
      </c>
      <c r="O189" s="188">
        <v>17018</v>
      </c>
      <c r="P189" s="188">
        <v>17018</v>
      </c>
      <c r="Q189" s="129"/>
      <c r="R189" s="67"/>
      <c r="S189" s="188">
        <v>3187</v>
      </c>
      <c r="T189" s="188">
        <v>7988</v>
      </c>
      <c r="U189" s="188">
        <v>10726.41</v>
      </c>
      <c r="V189" s="61"/>
      <c r="W189" s="58"/>
      <c r="X189" s="188">
        <v>27413</v>
      </c>
      <c r="Y189" s="188">
        <v>26763</v>
      </c>
      <c r="Z189" s="129"/>
      <c r="AA189" s="133"/>
      <c r="AB189" s="67"/>
      <c r="AC189" s="188">
        <v>12154.67</v>
      </c>
      <c r="AD189" s="188">
        <v>17443.38</v>
      </c>
      <c r="AE189" s="61"/>
      <c r="AF189" s="65"/>
      <c r="AG189" s="58"/>
      <c r="AH189" s="188">
        <v>33949</v>
      </c>
      <c r="AI189" s="129"/>
      <c r="AJ189" s="133"/>
      <c r="AK189" s="133"/>
      <c r="AL189" s="67"/>
      <c r="AM189" s="188">
        <v>9765</v>
      </c>
      <c r="AN189" s="135"/>
      <c r="AO189" s="135"/>
      <c r="AP189" s="135"/>
    </row>
    <row r="190" spans="1:42" x14ac:dyDescent="0.25">
      <c r="A190" t="s">
        <v>66</v>
      </c>
      <c r="B190" t="s">
        <v>46</v>
      </c>
      <c r="C190" s="212" t="str">
        <f t="shared" si="2"/>
        <v>Franklin Family</v>
      </c>
      <c r="D190" s="188">
        <v>3296.5</v>
      </c>
      <c r="E190" s="188">
        <v>3296.5</v>
      </c>
      <c r="F190" s="188">
        <v>3296.5</v>
      </c>
      <c r="G190" s="188">
        <v>3296.5</v>
      </c>
      <c r="H190" s="125"/>
      <c r="I190" s="188">
        <v>3296.5</v>
      </c>
      <c r="J190" s="188">
        <v>3296.5</v>
      </c>
      <c r="K190" s="188">
        <v>3296.5</v>
      </c>
      <c r="L190" s="188">
        <v>3296.5</v>
      </c>
      <c r="M190" s="70"/>
      <c r="N190" s="188">
        <v>6644</v>
      </c>
      <c r="O190" s="188">
        <v>6524</v>
      </c>
      <c r="P190" s="188">
        <v>6524</v>
      </c>
      <c r="Q190" s="129"/>
      <c r="R190" s="67"/>
      <c r="S190" s="188">
        <v>6524</v>
      </c>
      <c r="T190" s="188">
        <v>6524</v>
      </c>
      <c r="U190" s="188">
        <v>6524</v>
      </c>
      <c r="V190" s="61"/>
      <c r="W190" s="58"/>
      <c r="X190" s="188">
        <v>4945.5</v>
      </c>
      <c r="Y190" s="188">
        <v>4945.5</v>
      </c>
      <c r="Z190" s="129"/>
      <c r="AA190" s="133"/>
      <c r="AB190" s="67"/>
      <c r="AC190" s="188">
        <v>4945.5</v>
      </c>
      <c r="AD190" s="188">
        <v>4945.5</v>
      </c>
      <c r="AE190" s="61"/>
      <c r="AF190" s="65"/>
      <c r="AG190" s="58"/>
      <c r="AH190" s="188">
        <v>5133</v>
      </c>
      <c r="AI190" s="129"/>
      <c r="AJ190" s="133"/>
      <c r="AK190" s="133"/>
      <c r="AL190" s="67"/>
      <c r="AM190" s="188">
        <v>4735.5</v>
      </c>
      <c r="AN190" s="135"/>
      <c r="AO190" s="135"/>
      <c r="AP190" s="135"/>
    </row>
    <row r="191" spans="1:42" x14ac:dyDescent="0.25">
      <c r="A191" t="s">
        <v>66</v>
      </c>
      <c r="B191" t="s">
        <v>40</v>
      </c>
      <c r="C191" s="212" t="str">
        <f t="shared" si="2"/>
        <v>Franklin Juvenile Delinquency</v>
      </c>
      <c r="D191" s="188">
        <v>1357</v>
      </c>
      <c r="E191" s="188">
        <v>1357</v>
      </c>
      <c r="F191" s="188">
        <v>1357</v>
      </c>
      <c r="G191" s="188">
        <v>1357</v>
      </c>
      <c r="H191" s="125"/>
      <c r="I191" s="188">
        <v>57</v>
      </c>
      <c r="J191" s="188">
        <v>257</v>
      </c>
      <c r="K191" s="188">
        <v>257</v>
      </c>
      <c r="L191" s="188">
        <v>257</v>
      </c>
      <c r="M191" s="70"/>
      <c r="N191" s="188">
        <v>600</v>
      </c>
      <c r="O191" s="188">
        <v>600</v>
      </c>
      <c r="P191" s="188">
        <v>600</v>
      </c>
      <c r="Q191" s="129"/>
      <c r="R191" s="67"/>
      <c r="S191" s="188">
        <v>0</v>
      </c>
      <c r="T191" s="188">
        <v>0</v>
      </c>
      <c r="U191" s="188">
        <v>0</v>
      </c>
      <c r="V191" s="61"/>
      <c r="W191" s="58"/>
      <c r="X191" s="188">
        <v>1270</v>
      </c>
      <c r="Y191" s="188">
        <v>1270</v>
      </c>
      <c r="Z191" s="129"/>
      <c r="AA191" s="133"/>
      <c r="AB191" s="67"/>
      <c r="AC191" s="188">
        <v>0</v>
      </c>
      <c r="AD191" s="188">
        <v>0</v>
      </c>
      <c r="AE191" s="61"/>
      <c r="AF191" s="65"/>
      <c r="AG191" s="58"/>
      <c r="AH191" s="188">
        <v>3160</v>
      </c>
      <c r="AI191" s="129"/>
      <c r="AJ191" s="133"/>
      <c r="AK191" s="133"/>
      <c r="AL191" s="67"/>
      <c r="AM191" s="188">
        <v>20</v>
      </c>
      <c r="AN191" s="135"/>
      <c r="AO191" s="135"/>
      <c r="AP191" s="135"/>
    </row>
    <row r="192" spans="1:42" x14ac:dyDescent="0.25">
      <c r="A192" t="s">
        <v>66</v>
      </c>
      <c r="B192" t="s">
        <v>45</v>
      </c>
      <c r="C192" s="212" t="str">
        <f t="shared" si="2"/>
        <v>Franklin Probate</v>
      </c>
      <c r="D192" s="188">
        <v>5659</v>
      </c>
      <c r="E192" s="188">
        <v>5659</v>
      </c>
      <c r="F192" s="188">
        <v>5659</v>
      </c>
      <c r="G192" s="188">
        <v>5659</v>
      </c>
      <c r="H192" s="125"/>
      <c r="I192" s="188">
        <v>5659</v>
      </c>
      <c r="J192" s="188">
        <v>5659</v>
      </c>
      <c r="K192" s="188">
        <v>5659</v>
      </c>
      <c r="L192" s="188">
        <v>5659</v>
      </c>
      <c r="M192" s="70"/>
      <c r="N192" s="188">
        <v>6712</v>
      </c>
      <c r="O192" s="188">
        <v>6712</v>
      </c>
      <c r="P192" s="188">
        <v>6712</v>
      </c>
      <c r="Q192" s="129"/>
      <c r="R192" s="67"/>
      <c r="S192" s="188">
        <v>6712</v>
      </c>
      <c r="T192" s="188">
        <v>6712</v>
      </c>
      <c r="U192" s="188">
        <v>6712</v>
      </c>
      <c r="V192" s="61"/>
      <c r="W192" s="58"/>
      <c r="X192" s="188">
        <v>4623</v>
      </c>
      <c r="Y192" s="188">
        <v>4623</v>
      </c>
      <c r="Z192" s="129"/>
      <c r="AA192" s="133"/>
      <c r="AB192" s="67"/>
      <c r="AC192" s="188">
        <v>4623</v>
      </c>
      <c r="AD192" s="188">
        <v>4623</v>
      </c>
      <c r="AE192" s="61"/>
      <c r="AF192" s="65"/>
      <c r="AG192" s="58"/>
      <c r="AH192" s="188">
        <v>5142</v>
      </c>
      <c r="AI192" s="129"/>
      <c r="AJ192" s="133"/>
      <c r="AK192" s="133"/>
      <c r="AL192" s="67"/>
      <c r="AM192" s="188">
        <v>5142</v>
      </c>
      <c r="AN192" s="135"/>
      <c r="AO192" s="135"/>
      <c r="AP192" s="135"/>
    </row>
    <row r="193" spans="1:42" x14ac:dyDescent="0.25">
      <c r="A193" t="s">
        <v>67</v>
      </c>
      <c r="B193" t="s">
        <v>42</v>
      </c>
      <c r="C193" s="212" t="str">
        <f t="shared" si="2"/>
        <v>Gadsden Circuit Civil</v>
      </c>
      <c r="D193" s="188">
        <v>70018.05</v>
      </c>
      <c r="E193" s="188">
        <v>70018.05</v>
      </c>
      <c r="F193" s="188">
        <v>70018.05</v>
      </c>
      <c r="G193" s="188">
        <v>70018.05</v>
      </c>
      <c r="H193" s="125"/>
      <c r="I193" s="188">
        <v>67589.05</v>
      </c>
      <c r="J193" s="188">
        <v>68999.05</v>
      </c>
      <c r="K193" s="188">
        <v>68999.05</v>
      </c>
      <c r="L193" s="188">
        <v>68999.05</v>
      </c>
      <c r="M193" s="70"/>
      <c r="N193" s="188">
        <v>63348.35</v>
      </c>
      <c r="O193" s="188">
        <v>63348.35</v>
      </c>
      <c r="P193" s="188">
        <v>63348.35</v>
      </c>
      <c r="Q193" s="129"/>
      <c r="R193" s="67"/>
      <c r="S193" s="188">
        <v>61158.75</v>
      </c>
      <c r="T193" s="188">
        <v>63158.75</v>
      </c>
      <c r="U193" s="188">
        <v>63158.75</v>
      </c>
      <c r="V193" s="61"/>
      <c r="W193" s="58"/>
      <c r="X193" s="188">
        <v>178783.69</v>
      </c>
      <c r="Y193" s="188">
        <v>178783.69</v>
      </c>
      <c r="Z193" s="129"/>
      <c r="AA193" s="133"/>
      <c r="AB193" s="67"/>
      <c r="AC193" s="188">
        <v>175707.64</v>
      </c>
      <c r="AD193" s="188">
        <v>176203.69</v>
      </c>
      <c r="AE193" s="61"/>
      <c r="AF193" s="65"/>
      <c r="AG193" s="58"/>
      <c r="AH193" s="188">
        <v>125981.61</v>
      </c>
      <c r="AI193" s="129"/>
      <c r="AJ193" s="133"/>
      <c r="AK193" s="133"/>
      <c r="AL193" s="67"/>
      <c r="AM193" s="188">
        <v>123351.11</v>
      </c>
      <c r="AN193" s="135"/>
      <c r="AO193" s="135"/>
      <c r="AP193" s="135"/>
    </row>
    <row r="194" spans="1:42" x14ac:dyDescent="0.25">
      <c r="A194" t="s">
        <v>67</v>
      </c>
      <c r="B194" t="s">
        <v>38</v>
      </c>
      <c r="C194" s="212" t="str">
        <f t="shared" si="2"/>
        <v>Gadsden Circuit Criminal</v>
      </c>
      <c r="D194" s="188">
        <v>90096.2</v>
      </c>
      <c r="E194" s="188">
        <v>91571.199999999997</v>
      </c>
      <c r="F194" s="188">
        <v>90871.2</v>
      </c>
      <c r="G194" s="188">
        <v>90671.2</v>
      </c>
      <c r="H194" s="125"/>
      <c r="I194" s="188">
        <v>4317</v>
      </c>
      <c r="J194" s="188">
        <v>9253</v>
      </c>
      <c r="K194" s="188">
        <v>12532</v>
      </c>
      <c r="L194" s="188">
        <v>14889</v>
      </c>
      <c r="M194" s="70"/>
      <c r="N194" s="188">
        <v>68288</v>
      </c>
      <c r="O194" s="188">
        <v>69888</v>
      </c>
      <c r="P194" s="188">
        <v>69938</v>
      </c>
      <c r="Q194" s="129"/>
      <c r="R194" s="67"/>
      <c r="S194" s="188">
        <v>3885.5</v>
      </c>
      <c r="T194" s="188">
        <v>6692.84</v>
      </c>
      <c r="U194" s="188">
        <v>9197.84</v>
      </c>
      <c r="V194" s="61"/>
      <c r="W194" s="58"/>
      <c r="X194" s="188">
        <v>88965</v>
      </c>
      <c r="Y194" s="188">
        <v>88965</v>
      </c>
      <c r="Z194" s="129"/>
      <c r="AA194" s="133"/>
      <c r="AB194" s="67"/>
      <c r="AC194" s="188">
        <v>3729.08</v>
      </c>
      <c r="AD194" s="188">
        <v>5832.08</v>
      </c>
      <c r="AE194" s="61"/>
      <c r="AF194" s="65"/>
      <c r="AG194" s="58"/>
      <c r="AH194" s="188">
        <v>87803</v>
      </c>
      <c r="AI194" s="129"/>
      <c r="AJ194" s="133"/>
      <c r="AK194" s="133"/>
      <c r="AL194" s="67"/>
      <c r="AM194" s="188">
        <v>4532</v>
      </c>
      <c r="AN194" s="135"/>
      <c r="AO194" s="135"/>
      <c r="AP194" s="135"/>
    </row>
    <row r="195" spans="1:42" x14ac:dyDescent="0.25">
      <c r="A195" t="s">
        <v>67</v>
      </c>
      <c r="B195" t="s">
        <v>265</v>
      </c>
      <c r="C195" s="212" t="str">
        <f t="shared" ref="C195:C258" si="3">A195&amp;" "&amp;B195</f>
        <v>Gadsden Circuit Criminal Drug Cases</v>
      </c>
      <c r="D195" s="188">
        <v>36196</v>
      </c>
      <c r="E195" s="188">
        <v>35006</v>
      </c>
      <c r="F195" s="188">
        <v>34906</v>
      </c>
      <c r="G195" s="188">
        <v>34386</v>
      </c>
      <c r="I195" s="188">
        <v>4136</v>
      </c>
      <c r="J195" s="188">
        <v>7845</v>
      </c>
      <c r="K195" s="188">
        <v>9125</v>
      </c>
      <c r="L195" s="188">
        <v>11167</v>
      </c>
      <c r="N195" s="188">
        <v>18441</v>
      </c>
      <c r="O195" s="188">
        <v>17591</v>
      </c>
      <c r="P195" s="188">
        <v>17241</v>
      </c>
      <c r="S195" s="188">
        <v>2693</v>
      </c>
      <c r="T195" s="188">
        <v>4143</v>
      </c>
      <c r="U195" s="188">
        <v>5748</v>
      </c>
      <c r="X195" s="188">
        <v>33685</v>
      </c>
      <c r="Y195" s="188">
        <v>32835</v>
      </c>
      <c r="AC195" s="188">
        <v>4300</v>
      </c>
      <c r="AD195" s="188">
        <v>6448</v>
      </c>
      <c r="AH195" s="188">
        <v>33824</v>
      </c>
      <c r="AM195" s="188">
        <v>2791</v>
      </c>
    </row>
    <row r="196" spans="1:42" x14ac:dyDescent="0.25">
      <c r="A196" t="s">
        <v>67</v>
      </c>
      <c r="B196" t="s">
        <v>44</v>
      </c>
      <c r="C196" s="212" t="str">
        <f t="shared" si="3"/>
        <v>Gadsden Civil Traffic</v>
      </c>
      <c r="D196" s="188">
        <v>369907.93</v>
      </c>
      <c r="E196" s="188">
        <v>350697</v>
      </c>
      <c r="F196" s="188">
        <v>346403</v>
      </c>
      <c r="G196" s="188">
        <v>345082</v>
      </c>
      <c r="H196" s="125"/>
      <c r="I196" s="188">
        <v>137676</v>
      </c>
      <c r="J196" s="188">
        <v>252858</v>
      </c>
      <c r="K196" s="188">
        <v>265149</v>
      </c>
      <c r="L196" s="188">
        <v>274647.12</v>
      </c>
      <c r="M196" s="70"/>
      <c r="N196" s="188">
        <v>389162.5</v>
      </c>
      <c r="O196" s="188">
        <v>364462.5</v>
      </c>
      <c r="P196" s="188">
        <v>359911</v>
      </c>
      <c r="Q196" s="129"/>
      <c r="R196" s="67"/>
      <c r="S196" s="188">
        <v>168469</v>
      </c>
      <c r="T196" s="188">
        <v>270709</v>
      </c>
      <c r="U196" s="188">
        <v>283214</v>
      </c>
      <c r="V196" s="61"/>
      <c r="W196" s="58"/>
      <c r="X196" s="188">
        <v>407362</v>
      </c>
      <c r="Y196" s="188">
        <v>386490</v>
      </c>
      <c r="Z196" s="129"/>
      <c r="AA196" s="133"/>
      <c r="AB196" s="67"/>
      <c r="AC196" s="188">
        <v>172410.5</v>
      </c>
      <c r="AD196" s="188">
        <v>278593.98</v>
      </c>
      <c r="AE196" s="61"/>
      <c r="AF196" s="65"/>
      <c r="AG196" s="58"/>
      <c r="AH196" s="188">
        <v>410049.99</v>
      </c>
      <c r="AI196" s="129"/>
      <c r="AJ196" s="133"/>
      <c r="AK196" s="133"/>
      <c r="AL196" s="67"/>
      <c r="AM196" s="188">
        <v>159460</v>
      </c>
      <c r="AN196" s="135"/>
      <c r="AO196" s="135"/>
      <c r="AP196" s="135"/>
    </row>
    <row r="197" spans="1:42" x14ac:dyDescent="0.25">
      <c r="A197" t="s">
        <v>67</v>
      </c>
      <c r="B197" t="s">
        <v>43</v>
      </c>
      <c r="C197" s="212" t="str">
        <f t="shared" si="3"/>
        <v>Gadsden County Civil</v>
      </c>
      <c r="D197" s="188">
        <v>33601.760000000002</v>
      </c>
      <c r="E197" s="188">
        <v>33601.760000000002</v>
      </c>
      <c r="F197" s="188">
        <v>33601.760000000002</v>
      </c>
      <c r="G197" s="188">
        <v>33601.760000000002</v>
      </c>
      <c r="H197" s="125"/>
      <c r="I197" s="188">
        <v>29424.41</v>
      </c>
      <c r="J197" s="188">
        <v>33079.410000000003</v>
      </c>
      <c r="K197" s="188">
        <v>33079.410000000003</v>
      </c>
      <c r="L197" s="188">
        <v>33079.410000000003</v>
      </c>
      <c r="M197" s="70"/>
      <c r="N197" s="188">
        <v>33252.15</v>
      </c>
      <c r="O197" s="188">
        <v>33242.15</v>
      </c>
      <c r="P197" s="188">
        <v>33242.15</v>
      </c>
      <c r="Q197" s="129"/>
      <c r="R197" s="67"/>
      <c r="S197" s="188">
        <v>32166</v>
      </c>
      <c r="T197" s="188">
        <v>33041</v>
      </c>
      <c r="U197" s="188">
        <v>33041</v>
      </c>
      <c r="V197" s="61"/>
      <c r="W197" s="58"/>
      <c r="X197" s="188">
        <v>38503.4</v>
      </c>
      <c r="Y197" s="188">
        <v>38503.4</v>
      </c>
      <c r="Z197" s="129"/>
      <c r="AA197" s="133"/>
      <c r="AB197" s="67"/>
      <c r="AC197" s="188">
        <v>37384.050000000003</v>
      </c>
      <c r="AD197" s="188">
        <v>38499.050000000003</v>
      </c>
      <c r="AE197" s="61"/>
      <c r="AF197" s="65"/>
      <c r="AG197" s="58"/>
      <c r="AH197" s="188">
        <v>32048.6</v>
      </c>
      <c r="AI197" s="129"/>
      <c r="AJ197" s="133"/>
      <c r="AK197" s="133"/>
      <c r="AL197" s="67"/>
      <c r="AM197" s="188">
        <v>28244.65</v>
      </c>
      <c r="AN197" s="135"/>
      <c r="AO197" s="135"/>
      <c r="AP197" s="135"/>
    </row>
    <row r="198" spans="1:42" x14ac:dyDescent="0.25">
      <c r="A198" t="s">
        <v>67</v>
      </c>
      <c r="B198" t="s">
        <v>39</v>
      </c>
      <c r="C198" s="212" t="str">
        <f t="shared" si="3"/>
        <v>Gadsden County Criminal</v>
      </c>
      <c r="D198" s="188">
        <v>52994</v>
      </c>
      <c r="E198" s="188">
        <v>49364</v>
      </c>
      <c r="F198" s="188">
        <v>48714</v>
      </c>
      <c r="G198" s="188">
        <v>47368</v>
      </c>
      <c r="H198" s="125"/>
      <c r="I198" s="188">
        <v>4732</v>
      </c>
      <c r="J198" s="188">
        <v>11807</v>
      </c>
      <c r="K198" s="188">
        <v>15114</v>
      </c>
      <c r="L198" s="188">
        <v>20511</v>
      </c>
      <c r="M198" s="70"/>
      <c r="N198" s="188">
        <v>49998</v>
      </c>
      <c r="O198" s="188">
        <v>47073</v>
      </c>
      <c r="P198" s="188">
        <v>45513</v>
      </c>
      <c r="Q198" s="129"/>
      <c r="R198" s="67"/>
      <c r="S198" s="188">
        <v>5269</v>
      </c>
      <c r="T198" s="188">
        <v>9422.14</v>
      </c>
      <c r="U198" s="188">
        <v>12632.14</v>
      </c>
      <c r="V198" s="61"/>
      <c r="W198" s="58"/>
      <c r="X198" s="188">
        <v>55017</v>
      </c>
      <c r="Y198" s="188">
        <v>52402</v>
      </c>
      <c r="Z198" s="129"/>
      <c r="AA198" s="133"/>
      <c r="AB198" s="67"/>
      <c r="AC198" s="188">
        <v>6628</v>
      </c>
      <c r="AD198" s="188">
        <v>11293</v>
      </c>
      <c r="AE198" s="61"/>
      <c r="AF198" s="65"/>
      <c r="AG198" s="58"/>
      <c r="AH198" s="188">
        <v>53207.5</v>
      </c>
      <c r="AI198" s="129"/>
      <c r="AJ198" s="133"/>
      <c r="AK198" s="133"/>
      <c r="AL198" s="67"/>
      <c r="AM198" s="188">
        <v>3285</v>
      </c>
      <c r="AN198" s="135"/>
      <c r="AO198" s="135"/>
      <c r="AP198" s="135"/>
    </row>
    <row r="199" spans="1:42" x14ac:dyDescent="0.25">
      <c r="A199" t="s">
        <v>67</v>
      </c>
      <c r="B199" t="s">
        <v>41</v>
      </c>
      <c r="C199" s="212" t="str">
        <f t="shared" si="3"/>
        <v>Gadsden Criminal Traffic</v>
      </c>
      <c r="D199" s="188">
        <v>92252.53</v>
      </c>
      <c r="E199" s="188">
        <v>89887.28</v>
      </c>
      <c r="F199" s="188">
        <v>87987.78</v>
      </c>
      <c r="G199" s="188">
        <v>87187.78</v>
      </c>
      <c r="H199" s="125"/>
      <c r="I199" s="188">
        <v>15577.55</v>
      </c>
      <c r="J199" s="188">
        <v>32704.99</v>
      </c>
      <c r="K199" s="188">
        <v>42487.88</v>
      </c>
      <c r="L199" s="188">
        <v>48264.89</v>
      </c>
      <c r="M199" s="70"/>
      <c r="N199" s="188">
        <v>94943</v>
      </c>
      <c r="O199" s="188">
        <v>94744.22</v>
      </c>
      <c r="P199" s="188">
        <v>92219.97</v>
      </c>
      <c r="Q199" s="129"/>
      <c r="R199" s="67"/>
      <c r="S199" s="188">
        <v>19837.47</v>
      </c>
      <c r="T199" s="188">
        <v>37439.019999999997</v>
      </c>
      <c r="U199" s="188">
        <v>44533.06</v>
      </c>
      <c r="V199" s="61"/>
      <c r="W199" s="58"/>
      <c r="X199" s="188">
        <v>106786.25</v>
      </c>
      <c r="Y199" s="188">
        <v>104695</v>
      </c>
      <c r="Z199" s="129"/>
      <c r="AA199" s="133"/>
      <c r="AB199" s="67"/>
      <c r="AC199" s="188">
        <v>24471.75</v>
      </c>
      <c r="AD199" s="188">
        <v>39317.31</v>
      </c>
      <c r="AE199" s="61"/>
      <c r="AF199" s="65"/>
      <c r="AG199" s="58"/>
      <c r="AH199" s="188">
        <v>91370</v>
      </c>
      <c r="AI199" s="129"/>
      <c r="AJ199" s="133"/>
      <c r="AK199" s="133"/>
      <c r="AL199" s="67"/>
      <c r="AM199" s="188">
        <v>21339.77</v>
      </c>
      <c r="AN199" s="135"/>
      <c r="AO199" s="135"/>
      <c r="AP199" s="135"/>
    </row>
    <row r="200" spans="1:42" x14ac:dyDescent="0.25">
      <c r="A200" t="s">
        <v>67</v>
      </c>
      <c r="B200" t="s">
        <v>46</v>
      </c>
      <c r="C200" s="212" t="str">
        <f t="shared" si="3"/>
        <v>Gadsden Family</v>
      </c>
      <c r="D200" s="188">
        <v>16402.75</v>
      </c>
      <c r="E200" s="188">
        <v>16392.25</v>
      </c>
      <c r="F200" s="188">
        <v>16392.25</v>
      </c>
      <c r="G200" s="188">
        <v>16392.25</v>
      </c>
      <c r="H200" s="125"/>
      <c r="I200" s="188">
        <v>15130.8</v>
      </c>
      <c r="J200" s="188">
        <v>15542.05</v>
      </c>
      <c r="K200" s="188">
        <v>15542.05</v>
      </c>
      <c r="L200" s="188">
        <v>15542.05</v>
      </c>
      <c r="M200" s="70"/>
      <c r="N200" s="188">
        <v>18748</v>
      </c>
      <c r="O200" s="188">
        <v>18350.5</v>
      </c>
      <c r="P200" s="188">
        <v>18350.5</v>
      </c>
      <c r="Q200" s="129"/>
      <c r="R200" s="67"/>
      <c r="S200" s="188">
        <v>17905</v>
      </c>
      <c r="T200" s="188">
        <v>17947.5</v>
      </c>
      <c r="U200" s="188">
        <v>17958</v>
      </c>
      <c r="V200" s="61"/>
      <c r="W200" s="58"/>
      <c r="X200" s="188">
        <v>19190.45</v>
      </c>
      <c r="Y200" s="188">
        <v>18772.95</v>
      </c>
      <c r="Z200" s="129"/>
      <c r="AA200" s="133"/>
      <c r="AB200" s="67"/>
      <c r="AC200" s="188">
        <v>16887.95</v>
      </c>
      <c r="AD200" s="188">
        <v>16960.95</v>
      </c>
      <c r="AE200" s="61"/>
      <c r="AF200" s="65"/>
      <c r="AG200" s="58"/>
      <c r="AH200" s="188">
        <v>20150.150000000001</v>
      </c>
      <c r="AI200" s="129"/>
      <c r="AJ200" s="133"/>
      <c r="AK200" s="133"/>
      <c r="AL200" s="67"/>
      <c r="AM200" s="188">
        <v>18056.150000000001</v>
      </c>
      <c r="AN200" s="135"/>
      <c r="AO200" s="135"/>
      <c r="AP200" s="135"/>
    </row>
    <row r="201" spans="1:42" x14ac:dyDescent="0.25">
      <c r="A201" t="s">
        <v>67</v>
      </c>
      <c r="B201" t="s">
        <v>40</v>
      </c>
      <c r="C201" s="212" t="str">
        <f t="shared" si="3"/>
        <v>Gadsden Juvenile Delinquency</v>
      </c>
      <c r="D201" s="188">
        <v>5210</v>
      </c>
      <c r="E201" s="188">
        <v>5160</v>
      </c>
      <c r="F201" s="188">
        <v>5160</v>
      </c>
      <c r="G201" s="188">
        <v>5160</v>
      </c>
      <c r="H201" s="125"/>
      <c r="I201" s="188">
        <v>300</v>
      </c>
      <c r="J201" s="188">
        <v>700</v>
      </c>
      <c r="K201" s="188">
        <v>950</v>
      </c>
      <c r="L201" s="188">
        <v>950</v>
      </c>
      <c r="M201" s="70"/>
      <c r="N201" s="188">
        <v>4270</v>
      </c>
      <c r="O201" s="188">
        <v>4270</v>
      </c>
      <c r="P201" s="188">
        <v>4270</v>
      </c>
      <c r="Q201" s="129"/>
      <c r="R201" s="67"/>
      <c r="S201" s="188">
        <v>300</v>
      </c>
      <c r="T201" s="188">
        <v>350</v>
      </c>
      <c r="U201" s="188">
        <v>350</v>
      </c>
      <c r="V201" s="61"/>
      <c r="W201" s="58"/>
      <c r="X201" s="188">
        <v>5900</v>
      </c>
      <c r="Y201" s="188">
        <v>5900</v>
      </c>
      <c r="Z201" s="129"/>
      <c r="AA201" s="133"/>
      <c r="AB201" s="67"/>
      <c r="AC201" s="188">
        <v>0</v>
      </c>
      <c r="AD201" s="188">
        <v>50</v>
      </c>
      <c r="AE201" s="61"/>
      <c r="AF201" s="65"/>
      <c r="AG201" s="58"/>
      <c r="AH201" s="188">
        <v>3270</v>
      </c>
      <c r="AI201" s="129"/>
      <c r="AJ201" s="133"/>
      <c r="AK201" s="133"/>
      <c r="AL201" s="67"/>
      <c r="AM201" s="188">
        <v>0</v>
      </c>
      <c r="AN201" s="135"/>
      <c r="AO201" s="135"/>
      <c r="AP201" s="135"/>
    </row>
    <row r="202" spans="1:42" x14ac:dyDescent="0.25">
      <c r="A202" t="s">
        <v>67</v>
      </c>
      <c r="B202" t="s">
        <v>45</v>
      </c>
      <c r="C202" s="212" t="str">
        <f t="shared" si="3"/>
        <v>Gadsden Probate</v>
      </c>
      <c r="D202" s="188">
        <v>15074.7</v>
      </c>
      <c r="E202" s="188">
        <v>15074.7</v>
      </c>
      <c r="F202" s="188">
        <v>15074.7</v>
      </c>
      <c r="G202" s="188">
        <v>15074.7</v>
      </c>
      <c r="H202" s="125"/>
      <c r="I202" s="188">
        <v>14671.4</v>
      </c>
      <c r="J202" s="188">
        <v>14671.4</v>
      </c>
      <c r="K202" s="188">
        <v>14671.4</v>
      </c>
      <c r="L202" s="188">
        <v>14671.4</v>
      </c>
      <c r="M202" s="70"/>
      <c r="N202" s="188">
        <v>16707.349999999999</v>
      </c>
      <c r="O202" s="188">
        <v>16707.349999999999</v>
      </c>
      <c r="P202" s="188">
        <v>16707.349999999999</v>
      </c>
      <c r="Q202" s="129"/>
      <c r="R202" s="67"/>
      <c r="S202" s="188">
        <v>15671</v>
      </c>
      <c r="T202" s="188">
        <v>16162</v>
      </c>
      <c r="U202" s="188">
        <v>16162</v>
      </c>
      <c r="V202" s="61"/>
      <c r="W202" s="58"/>
      <c r="X202" s="188">
        <v>17366.349999999999</v>
      </c>
      <c r="Y202" s="188">
        <v>16966.349999999999</v>
      </c>
      <c r="Z202" s="129"/>
      <c r="AA202" s="133"/>
      <c r="AB202" s="67"/>
      <c r="AC202" s="188">
        <v>15344.45</v>
      </c>
      <c r="AD202" s="188">
        <v>15985.45</v>
      </c>
      <c r="AE202" s="61"/>
      <c r="AF202" s="65"/>
      <c r="AG202" s="58"/>
      <c r="AH202" s="188">
        <v>15757.4</v>
      </c>
      <c r="AI202" s="129"/>
      <c r="AJ202" s="133"/>
      <c r="AK202" s="133"/>
      <c r="AL202" s="67"/>
      <c r="AM202" s="188">
        <v>13626.6</v>
      </c>
      <c r="AN202" s="135"/>
      <c r="AO202" s="135"/>
      <c r="AP202" s="135"/>
    </row>
    <row r="203" spans="1:42" x14ac:dyDescent="0.25">
      <c r="A203" t="s">
        <v>68</v>
      </c>
      <c r="B203" t="s">
        <v>42</v>
      </c>
      <c r="C203" s="212" t="str">
        <f t="shared" si="3"/>
        <v>Gilchrist Circuit Civil</v>
      </c>
      <c r="D203" s="188">
        <v>23397</v>
      </c>
      <c r="E203" s="188">
        <v>23399</v>
      </c>
      <c r="F203" s="188">
        <v>23397</v>
      </c>
      <c r="G203" s="188">
        <v>23397</v>
      </c>
      <c r="H203" s="125"/>
      <c r="I203" s="188">
        <v>23397</v>
      </c>
      <c r="J203" s="188">
        <v>23399</v>
      </c>
      <c r="K203" s="188">
        <v>23397</v>
      </c>
      <c r="L203" s="188">
        <v>23397</v>
      </c>
      <c r="M203" s="70"/>
      <c r="N203" s="188">
        <v>24049</v>
      </c>
      <c r="O203" s="188">
        <v>24049</v>
      </c>
      <c r="P203" s="188">
        <v>24049</v>
      </c>
      <c r="Q203" s="129"/>
      <c r="R203" s="67"/>
      <c r="S203" s="188">
        <v>24049</v>
      </c>
      <c r="T203" s="188">
        <v>24049</v>
      </c>
      <c r="U203" s="188">
        <v>24049</v>
      </c>
      <c r="V203" s="61"/>
      <c r="W203" s="58"/>
      <c r="X203" s="188">
        <v>17713</v>
      </c>
      <c r="Y203" s="188">
        <v>17713</v>
      </c>
      <c r="Z203" s="129"/>
      <c r="AA203" s="133"/>
      <c r="AB203" s="67"/>
      <c r="AC203" s="188">
        <v>17713</v>
      </c>
      <c r="AD203" s="188">
        <v>17713</v>
      </c>
      <c r="AE203" s="61"/>
      <c r="AF203" s="65"/>
      <c r="AG203" s="58"/>
      <c r="AH203" s="188">
        <v>17351</v>
      </c>
      <c r="AI203" s="129"/>
      <c r="AJ203" s="133"/>
      <c r="AK203" s="133"/>
      <c r="AL203" s="67"/>
      <c r="AM203" s="188">
        <v>17351</v>
      </c>
      <c r="AN203" s="135"/>
      <c r="AO203" s="135"/>
      <c r="AP203" s="135"/>
    </row>
    <row r="204" spans="1:42" x14ac:dyDescent="0.25">
      <c r="A204" t="s">
        <v>68</v>
      </c>
      <c r="B204" t="s">
        <v>38</v>
      </c>
      <c r="C204" s="212" t="str">
        <f t="shared" si="3"/>
        <v>Gilchrist Circuit Criminal</v>
      </c>
      <c r="D204" s="188">
        <v>26658</v>
      </c>
      <c r="E204" s="188">
        <v>27010</v>
      </c>
      <c r="F204" s="188">
        <v>27010</v>
      </c>
      <c r="G204" s="188">
        <v>27010</v>
      </c>
      <c r="H204" s="125"/>
      <c r="I204" s="188">
        <v>744</v>
      </c>
      <c r="J204" s="188">
        <v>1518</v>
      </c>
      <c r="K204" s="188">
        <v>1991</v>
      </c>
      <c r="L204" s="188">
        <v>3233</v>
      </c>
      <c r="M204" s="70"/>
      <c r="N204" s="188">
        <v>26195</v>
      </c>
      <c r="O204" s="188">
        <v>26195</v>
      </c>
      <c r="P204" s="188">
        <v>26197</v>
      </c>
      <c r="Q204" s="129"/>
      <c r="R204" s="67"/>
      <c r="S204" s="188">
        <v>1146</v>
      </c>
      <c r="T204" s="188">
        <v>3013</v>
      </c>
      <c r="U204" s="188">
        <v>3791</v>
      </c>
      <c r="V204" s="61"/>
      <c r="W204" s="58"/>
      <c r="X204" s="188">
        <v>24576</v>
      </c>
      <c r="Y204" s="188">
        <v>24576</v>
      </c>
      <c r="Z204" s="129"/>
      <c r="AA204" s="133"/>
      <c r="AB204" s="67"/>
      <c r="AC204" s="188">
        <v>2583</v>
      </c>
      <c r="AD204" s="188">
        <v>3261</v>
      </c>
      <c r="AE204" s="61"/>
      <c r="AF204" s="65"/>
      <c r="AG204" s="58"/>
      <c r="AH204" s="188">
        <v>29360</v>
      </c>
      <c r="AI204" s="129"/>
      <c r="AJ204" s="133"/>
      <c r="AK204" s="133"/>
      <c r="AL204" s="67"/>
      <c r="AM204" s="188">
        <v>1792</v>
      </c>
      <c r="AN204" s="135"/>
      <c r="AO204" s="135"/>
      <c r="AP204" s="135"/>
    </row>
    <row r="205" spans="1:42" x14ac:dyDescent="0.25">
      <c r="A205" t="s">
        <v>68</v>
      </c>
      <c r="B205" t="s">
        <v>265</v>
      </c>
      <c r="C205" s="212" t="str">
        <f t="shared" si="3"/>
        <v>Gilchrist Circuit Criminal Drug Cases</v>
      </c>
      <c r="D205" s="188">
        <v>0</v>
      </c>
      <c r="E205" s="188">
        <v>0</v>
      </c>
      <c r="F205" s="188">
        <v>0</v>
      </c>
      <c r="G205" s="188">
        <v>0</v>
      </c>
      <c r="I205" s="188">
        <v>0</v>
      </c>
      <c r="J205" s="188">
        <v>0</v>
      </c>
      <c r="K205" s="188">
        <v>0</v>
      </c>
      <c r="L205" s="188">
        <v>0</v>
      </c>
      <c r="N205" s="188">
        <v>0</v>
      </c>
      <c r="O205" s="188">
        <v>0</v>
      </c>
      <c r="P205" s="188">
        <v>0</v>
      </c>
      <c r="S205" s="188">
        <v>0</v>
      </c>
      <c r="T205" s="188">
        <v>0</v>
      </c>
      <c r="U205" s="188">
        <v>0</v>
      </c>
      <c r="X205" s="188">
        <v>0</v>
      </c>
      <c r="Y205" s="188">
        <v>0</v>
      </c>
      <c r="AC205" s="188">
        <v>0</v>
      </c>
      <c r="AD205" s="188">
        <v>0</v>
      </c>
      <c r="AH205" s="188">
        <v>0</v>
      </c>
      <c r="AM205" s="188">
        <v>0</v>
      </c>
    </row>
    <row r="206" spans="1:42" x14ac:dyDescent="0.25">
      <c r="A206" t="s">
        <v>68</v>
      </c>
      <c r="B206" t="s">
        <v>44</v>
      </c>
      <c r="C206" s="212" t="str">
        <f t="shared" si="3"/>
        <v>Gilchrist Civil Traffic</v>
      </c>
      <c r="D206" s="188">
        <v>23243</v>
      </c>
      <c r="E206" s="188">
        <v>21796</v>
      </c>
      <c r="F206" s="188">
        <v>21320</v>
      </c>
      <c r="G206" s="188">
        <v>21320</v>
      </c>
      <c r="H206" s="125"/>
      <c r="I206" s="188">
        <v>9826</v>
      </c>
      <c r="J206" s="188">
        <v>18137</v>
      </c>
      <c r="K206" s="188">
        <v>19502</v>
      </c>
      <c r="L206" s="188">
        <v>19700</v>
      </c>
      <c r="M206" s="70"/>
      <c r="N206" s="188">
        <v>29700</v>
      </c>
      <c r="O206" s="188">
        <v>26815</v>
      </c>
      <c r="P206" s="188">
        <v>26447</v>
      </c>
      <c r="Q206" s="129"/>
      <c r="R206" s="67"/>
      <c r="S206" s="188">
        <v>14916</v>
      </c>
      <c r="T206" s="188">
        <v>21800</v>
      </c>
      <c r="U206" s="188">
        <v>23501</v>
      </c>
      <c r="V206" s="61"/>
      <c r="W206" s="58"/>
      <c r="X206" s="188">
        <v>33072</v>
      </c>
      <c r="Y206" s="188">
        <v>31888</v>
      </c>
      <c r="Z206" s="129"/>
      <c r="AA206" s="133"/>
      <c r="AB206" s="67"/>
      <c r="AC206" s="188">
        <v>17360</v>
      </c>
      <c r="AD206" s="188">
        <v>25322</v>
      </c>
      <c r="AE206" s="61"/>
      <c r="AF206" s="65"/>
      <c r="AG206" s="58"/>
      <c r="AH206" s="188">
        <v>39117</v>
      </c>
      <c r="AI206" s="129"/>
      <c r="AJ206" s="133"/>
      <c r="AK206" s="133"/>
      <c r="AL206" s="67"/>
      <c r="AM206" s="188">
        <v>18585</v>
      </c>
      <c r="AN206" s="135"/>
      <c r="AO206" s="135"/>
      <c r="AP206" s="135"/>
    </row>
    <row r="207" spans="1:42" x14ac:dyDescent="0.25">
      <c r="A207" t="s">
        <v>68</v>
      </c>
      <c r="B207" t="s">
        <v>43</v>
      </c>
      <c r="C207" s="212" t="str">
        <f t="shared" si="3"/>
        <v>Gilchrist County Civil</v>
      </c>
      <c r="D207" s="188">
        <v>7456</v>
      </c>
      <c r="E207" s="188">
        <v>7456</v>
      </c>
      <c r="F207" s="188">
        <v>7456</v>
      </c>
      <c r="G207" s="188">
        <v>7456</v>
      </c>
      <c r="H207" s="125"/>
      <c r="I207" s="188">
        <v>7146</v>
      </c>
      <c r="J207" s="188">
        <v>7146</v>
      </c>
      <c r="K207" s="188">
        <v>7146</v>
      </c>
      <c r="L207" s="188">
        <v>7146</v>
      </c>
      <c r="M207" s="70"/>
      <c r="N207" s="188">
        <v>10320</v>
      </c>
      <c r="O207" s="188">
        <v>10320</v>
      </c>
      <c r="P207" s="188">
        <v>10320</v>
      </c>
      <c r="Q207" s="129"/>
      <c r="R207" s="67"/>
      <c r="S207" s="188">
        <v>10320</v>
      </c>
      <c r="T207" s="188">
        <v>10320</v>
      </c>
      <c r="U207" s="188">
        <v>10320</v>
      </c>
      <c r="V207" s="61"/>
      <c r="W207" s="58"/>
      <c r="X207" s="188">
        <v>9465</v>
      </c>
      <c r="Y207" s="188">
        <v>9465</v>
      </c>
      <c r="Z207" s="129"/>
      <c r="AA207" s="133"/>
      <c r="AB207" s="67"/>
      <c r="AC207" s="188">
        <v>9459</v>
      </c>
      <c r="AD207" s="188">
        <v>9459</v>
      </c>
      <c r="AE207" s="61"/>
      <c r="AF207" s="65"/>
      <c r="AG207" s="58"/>
      <c r="AH207" s="188">
        <v>10776</v>
      </c>
      <c r="AI207" s="129"/>
      <c r="AJ207" s="133"/>
      <c r="AK207" s="133"/>
      <c r="AL207" s="67"/>
      <c r="AM207" s="188">
        <v>10466</v>
      </c>
      <c r="AN207" s="135"/>
      <c r="AO207" s="135"/>
      <c r="AP207" s="135"/>
    </row>
    <row r="208" spans="1:42" x14ac:dyDescent="0.25">
      <c r="A208" t="s">
        <v>68</v>
      </c>
      <c r="B208" t="s">
        <v>39</v>
      </c>
      <c r="C208" s="212" t="str">
        <f t="shared" si="3"/>
        <v>Gilchrist County Criminal</v>
      </c>
      <c r="D208" s="188">
        <v>15345</v>
      </c>
      <c r="E208" s="188">
        <v>15415</v>
      </c>
      <c r="F208" s="188">
        <v>15016</v>
      </c>
      <c r="G208" s="188">
        <v>15016</v>
      </c>
      <c r="H208" s="125"/>
      <c r="I208" s="188">
        <v>3835</v>
      </c>
      <c r="J208" s="188">
        <v>6922</v>
      </c>
      <c r="K208" s="188">
        <v>8298</v>
      </c>
      <c r="L208" s="188">
        <v>8739</v>
      </c>
      <c r="M208" s="70"/>
      <c r="N208" s="188">
        <v>19123</v>
      </c>
      <c r="O208" s="188">
        <v>19123</v>
      </c>
      <c r="P208" s="188">
        <v>18824</v>
      </c>
      <c r="Q208" s="129"/>
      <c r="R208" s="67"/>
      <c r="S208" s="188">
        <v>4155</v>
      </c>
      <c r="T208" s="188">
        <v>8056</v>
      </c>
      <c r="U208" s="188">
        <v>8056</v>
      </c>
      <c r="V208" s="61"/>
      <c r="W208" s="58"/>
      <c r="X208" s="188">
        <v>16508</v>
      </c>
      <c r="Y208" s="188">
        <v>16508</v>
      </c>
      <c r="Z208" s="129"/>
      <c r="AA208" s="133"/>
      <c r="AB208" s="67"/>
      <c r="AC208" s="188">
        <v>4351</v>
      </c>
      <c r="AD208" s="188">
        <v>6337</v>
      </c>
      <c r="AE208" s="61"/>
      <c r="AF208" s="65"/>
      <c r="AG208" s="58"/>
      <c r="AH208" s="188">
        <v>24701</v>
      </c>
      <c r="AI208" s="129"/>
      <c r="AJ208" s="133"/>
      <c r="AK208" s="133"/>
      <c r="AL208" s="67"/>
      <c r="AM208" s="188">
        <v>3255</v>
      </c>
      <c r="AN208" s="135"/>
      <c r="AO208" s="135"/>
      <c r="AP208" s="135"/>
    </row>
    <row r="209" spans="1:42" x14ac:dyDescent="0.25">
      <c r="A209" t="s">
        <v>68</v>
      </c>
      <c r="B209" t="s">
        <v>41</v>
      </c>
      <c r="C209" s="212" t="str">
        <f t="shared" si="3"/>
        <v>Gilchrist Criminal Traffic</v>
      </c>
      <c r="D209" s="188">
        <v>16573</v>
      </c>
      <c r="E209" s="188">
        <v>16573</v>
      </c>
      <c r="F209" s="188">
        <v>16573</v>
      </c>
      <c r="G209" s="188">
        <v>16573</v>
      </c>
      <c r="H209" s="125"/>
      <c r="I209" s="188">
        <v>2560</v>
      </c>
      <c r="J209" s="188">
        <v>6626</v>
      </c>
      <c r="K209" s="188">
        <v>8104</v>
      </c>
      <c r="L209" s="188">
        <v>11211</v>
      </c>
      <c r="M209" s="70"/>
      <c r="N209" s="188">
        <v>20115</v>
      </c>
      <c r="O209" s="188">
        <v>19798</v>
      </c>
      <c r="P209" s="188">
        <v>19798</v>
      </c>
      <c r="Q209" s="129"/>
      <c r="R209" s="67"/>
      <c r="S209" s="188">
        <v>4835</v>
      </c>
      <c r="T209" s="188">
        <v>9806</v>
      </c>
      <c r="U209" s="188">
        <v>10886</v>
      </c>
      <c r="V209" s="61"/>
      <c r="W209" s="58"/>
      <c r="X209" s="188">
        <v>16566</v>
      </c>
      <c r="Y209" s="188">
        <v>16566</v>
      </c>
      <c r="Z209" s="129"/>
      <c r="AA209" s="133"/>
      <c r="AB209" s="67"/>
      <c r="AC209" s="188">
        <v>3747</v>
      </c>
      <c r="AD209" s="188">
        <v>4161</v>
      </c>
      <c r="AE209" s="61"/>
      <c r="AF209" s="65"/>
      <c r="AG209" s="58"/>
      <c r="AH209" s="188">
        <v>14357</v>
      </c>
      <c r="AI209" s="129"/>
      <c r="AJ209" s="133"/>
      <c r="AK209" s="133"/>
      <c r="AL209" s="67"/>
      <c r="AM209" s="188">
        <v>2873</v>
      </c>
      <c r="AN209" s="135"/>
      <c r="AO209" s="135"/>
      <c r="AP209" s="135"/>
    </row>
    <row r="210" spans="1:42" x14ac:dyDescent="0.25">
      <c r="A210" t="s">
        <v>68</v>
      </c>
      <c r="B210" t="s">
        <v>46</v>
      </c>
      <c r="C210" s="212" t="str">
        <f t="shared" si="3"/>
        <v>Gilchrist Family</v>
      </c>
      <c r="D210" s="188">
        <v>8547</v>
      </c>
      <c r="E210" s="188">
        <v>8547</v>
      </c>
      <c r="F210" s="188">
        <v>8547</v>
      </c>
      <c r="G210" s="188">
        <v>8547</v>
      </c>
      <c r="H210" s="133"/>
      <c r="I210" s="188">
        <v>8139</v>
      </c>
      <c r="J210" s="188">
        <v>8139</v>
      </c>
      <c r="K210" s="188">
        <v>8139</v>
      </c>
      <c r="L210" s="188">
        <v>8139</v>
      </c>
      <c r="M210" s="70"/>
      <c r="N210" s="188">
        <v>10311</v>
      </c>
      <c r="O210" s="188">
        <v>10551</v>
      </c>
      <c r="P210" s="188">
        <v>10851</v>
      </c>
      <c r="Q210" s="133"/>
      <c r="R210" s="133"/>
      <c r="S210" s="188">
        <v>9435</v>
      </c>
      <c r="T210" s="188">
        <v>10491</v>
      </c>
      <c r="U210" s="188">
        <v>10791</v>
      </c>
      <c r="V210" s="61"/>
      <c r="W210" s="58"/>
      <c r="X210" s="188">
        <v>9288</v>
      </c>
      <c r="Y210" s="188">
        <v>9288</v>
      </c>
      <c r="Z210" s="133"/>
      <c r="AA210" s="133"/>
      <c r="AB210" s="133"/>
      <c r="AC210" s="188">
        <v>8888</v>
      </c>
      <c r="AD210" s="188">
        <v>8888</v>
      </c>
      <c r="AE210" s="61"/>
      <c r="AF210" s="65"/>
      <c r="AG210" s="58"/>
      <c r="AH210" s="188">
        <v>13302</v>
      </c>
      <c r="AI210" s="133"/>
      <c r="AJ210" s="133"/>
      <c r="AK210" s="133"/>
      <c r="AL210" s="133"/>
      <c r="AM210" s="188">
        <v>11778</v>
      </c>
      <c r="AN210" s="135"/>
      <c r="AO210" s="135"/>
      <c r="AP210" s="135"/>
    </row>
    <row r="211" spans="1:42" x14ac:dyDescent="0.25">
      <c r="A211" t="s">
        <v>68</v>
      </c>
      <c r="B211" t="s">
        <v>40</v>
      </c>
      <c r="C211" s="212" t="str">
        <f t="shared" si="3"/>
        <v>Gilchrist Juvenile Delinquency</v>
      </c>
      <c r="D211" s="188">
        <v>1374</v>
      </c>
      <c r="E211" s="188">
        <v>1374</v>
      </c>
      <c r="F211" s="188">
        <v>1378</v>
      </c>
      <c r="G211" s="188">
        <v>1378</v>
      </c>
      <c r="H211" s="125"/>
      <c r="I211" s="188">
        <v>14</v>
      </c>
      <c r="J211" s="188">
        <v>14</v>
      </c>
      <c r="K211" s="188">
        <v>18</v>
      </c>
      <c r="L211" s="188">
        <v>18</v>
      </c>
      <c r="M211" s="70"/>
      <c r="N211" s="188">
        <v>3128</v>
      </c>
      <c r="O211" s="188">
        <v>3128</v>
      </c>
      <c r="P211" s="188">
        <v>2641</v>
      </c>
      <c r="Q211" s="129"/>
      <c r="R211" s="67"/>
      <c r="S211" s="188">
        <v>21</v>
      </c>
      <c r="T211" s="188">
        <v>441</v>
      </c>
      <c r="U211" s="188">
        <v>591</v>
      </c>
      <c r="V211" s="61"/>
      <c r="W211" s="58"/>
      <c r="X211" s="188">
        <v>490</v>
      </c>
      <c r="Y211" s="188">
        <v>490</v>
      </c>
      <c r="Z211" s="129"/>
      <c r="AA211" s="133"/>
      <c r="AB211" s="67"/>
      <c r="AC211" s="188">
        <v>11</v>
      </c>
      <c r="AD211" s="188">
        <v>11</v>
      </c>
      <c r="AE211" s="61"/>
      <c r="AF211" s="65"/>
      <c r="AG211" s="58"/>
      <c r="AH211" s="188">
        <v>2808</v>
      </c>
      <c r="AI211" s="129"/>
      <c r="AJ211" s="133"/>
      <c r="AK211" s="133"/>
      <c r="AL211" s="67"/>
      <c r="AM211" s="188">
        <v>21</v>
      </c>
      <c r="AN211" s="135"/>
      <c r="AO211" s="135"/>
      <c r="AP211" s="135"/>
    </row>
    <row r="212" spans="1:42" x14ac:dyDescent="0.25">
      <c r="A212" t="s">
        <v>68</v>
      </c>
      <c r="B212" t="s">
        <v>45</v>
      </c>
      <c r="C212" s="212" t="str">
        <f t="shared" si="3"/>
        <v>Gilchrist Probate</v>
      </c>
      <c r="D212" s="188">
        <v>5942</v>
      </c>
      <c r="E212" s="188">
        <v>5942</v>
      </c>
      <c r="F212" s="188">
        <v>5942</v>
      </c>
      <c r="G212" s="188">
        <v>5942</v>
      </c>
      <c r="H212" s="133"/>
      <c r="I212" s="188">
        <v>5935</v>
      </c>
      <c r="J212" s="188">
        <v>5935</v>
      </c>
      <c r="K212" s="188">
        <v>5935</v>
      </c>
      <c r="L212" s="188">
        <v>5935</v>
      </c>
      <c r="M212" s="70"/>
      <c r="N212" s="188">
        <v>5893</v>
      </c>
      <c r="O212" s="188">
        <v>5893</v>
      </c>
      <c r="P212" s="188">
        <v>5893</v>
      </c>
      <c r="Q212" s="133"/>
      <c r="R212" s="133"/>
      <c r="S212" s="188">
        <v>5893</v>
      </c>
      <c r="T212" s="188">
        <v>5893</v>
      </c>
      <c r="U212" s="188">
        <v>5893</v>
      </c>
      <c r="V212" s="61"/>
      <c r="W212" s="58"/>
      <c r="X212" s="188">
        <v>4687</v>
      </c>
      <c r="Y212" s="188">
        <v>4687</v>
      </c>
      <c r="Z212" s="133"/>
      <c r="AA212" s="133"/>
      <c r="AB212" s="133"/>
      <c r="AC212" s="188">
        <v>4287</v>
      </c>
      <c r="AD212" s="188">
        <v>4287</v>
      </c>
      <c r="AE212" s="61"/>
      <c r="AF212" s="65"/>
      <c r="AG212" s="58"/>
      <c r="AH212" s="188">
        <v>7081</v>
      </c>
      <c r="AI212" s="133"/>
      <c r="AJ212" s="133"/>
      <c r="AK212" s="133"/>
      <c r="AL212" s="133"/>
      <c r="AM212" s="188">
        <v>7081</v>
      </c>
      <c r="AN212" s="135"/>
      <c r="AO212" s="135"/>
      <c r="AP212" s="135"/>
    </row>
    <row r="213" spans="1:42" x14ac:dyDescent="0.25">
      <c r="A213" t="s">
        <v>69</v>
      </c>
      <c r="B213" t="s">
        <v>42</v>
      </c>
      <c r="C213" s="212" t="str">
        <f t="shared" si="3"/>
        <v>Glades Circuit Civil</v>
      </c>
      <c r="D213" s="188">
        <v>8033.15</v>
      </c>
      <c r="E213" s="188">
        <v>7633.15</v>
      </c>
      <c r="F213" s="188">
        <v>7633.15</v>
      </c>
      <c r="G213" s="188">
        <v>7233.15</v>
      </c>
      <c r="H213" s="133"/>
      <c r="I213" s="188">
        <v>6952.15</v>
      </c>
      <c r="J213" s="188">
        <v>6952.15</v>
      </c>
      <c r="K213" s="188">
        <v>6952.15</v>
      </c>
      <c r="L213" s="188">
        <v>6952.15</v>
      </c>
      <c r="M213" s="70"/>
      <c r="N213" s="188">
        <v>15304.19</v>
      </c>
      <c r="O213" s="188">
        <v>15744.19</v>
      </c>
      <c r="P213" s="188">
        <v>15744.19</v>
      </c>
      <c r="Q213" s="133"/>
      <c r="R213" s="133"/>
      <c r="S213" s="188">
        <v>15282.69</v>
      </c>
      <c r="T213" s="188">
        <v>15744.19</v>
      </c>
      <c r="U213" s="188">
        <v>15744.19</v>
      </c>
      <c r="V213" s="61"/>
      <c r="W213" s="58"/>
      <c r="X213" s="188">
        <v>7300</v>
      </c>
      <c r="Y213" s="188">
        <v>7300</v>
      </c>
      <c r="Z213" s="133"/>
      <c r="AA213" s="133"/>
      <c r="AB213" s="133"/>
      <c r="AC213" s="188">
        <v>7250</v>
      </c>
      <c r="AD213" s="188">
        <v>7250</v>
      </c>
      <c r="AE213" s="61"/>
      <c r="AF213" s="65"/>
      <c r="AG213" s="58"/>
      <c r="AH213" s="188">
        <v>13063.5</v>
      </c>
      <c r="AI213" s="133"/>
      <c r="AJ213" s="133"/>
      <c r="AK213" s="133"/>
      <c r="AL213" s="133"/>
      <c r="AM213" s="188">
        <v>12963.5</v>
      </c>
      <c r="AN213" s="135"/>
      <c r="AO213" s="135"/>
      <c r="AP213" s="135"/>
    </row>
    <row r="214" spans="1:42" x14ac:dyDescent="0.25">
      <c r="A214" t="s">
        <v>69</v>
      </c>
      <c r="B214" t="s">
        <v>38</v>
      </c>
      <c r="C214" s="212" t="str">
        <f t="shared" si="3"/>
        <v>Glades Circuit Criminal</v>
      </c>
      <c r="D214" s="188">
        <v>16051</v>
      </c>
      <c r="E214" s="188">
        <v>16051</v>
      </c>
      <c r="F214" s="188">
        <v>16051</v>
      </c>
      <c r="G214" s="188">
        <v>16051</v>
      </c>
      <c r="H214" s="125"/>
      <c r="I214" s="188">
        <v>1106.8900000000001</v>
      </c>
      <c r="J214" s="188">
        <v>1953.97</v>
      </c>
      <c r="K214" s="188">
        <v>3168.67</v>
      </c>
      <c r="L214" s="188">
        <v>3207.52</v>
      </c>
      <c r="M214" s="70"/>
      <c r="N214" s="188">
        <v>12013.5</v>
      </c>
      <c r="O214" s="188">
        <v>13698.5</v>
      </c>
      <c r="P214" s="188">
        <v>13698.5</v>
      </c>
      <c r="Q214" s="129"/>
      <c r="R214" s="67"/>
      <c r="S214" s="188">
        <v>267</v>
      </c>
      <c r="T214" s="188">
        <v>1158.1500000000001</v>
      </c>
      <c r="U214" s="188">
        <v>1469.3</v>
      </c>
      <c r="V214" s="61"/>
      <c r="W214" s="58"/>
      <c r="X214" s="188">
        <v>113938.35</v>
      </c>
      <c r="Y214" s="188">
        <v>113938.35</v>
      </c>
      <c r="Z214" s="129"/>
      <c r="AA214" s="133"/>
      <c r="AB214" s="67"/>
      <c r="AC214" s="188">
        <v>492.38</v>
      </c>
      <c r="AD214" s="188">
        <v>1715.77</v>
      </c>
      <c r="AE214" s="61"/>
      <c r="AF214" s="65"/>
      <c r="AG214" s="58"/>
      <c r="AH214" s="188">
        <v>15206.35</v>
      </c>
      <c r="AI214" s="129"/>
      <c r="AJ214" s="133"/>
      <c r="AK214" s="133"/>
      <c r="AL214" s="67"/>
      <c r="AM214" s="188">
        <v>2309.44</v>
      </c>
      <c r="AN214" s="135"/>
      <c r="AO214" s="135"/>
      <c r="AP214" s="135"/>
    </row>
    <row r="215" spans="1:42" x14ac:dyDescent="0.25">
      <c r="A215" t="s">
        <v>69</v>
      </c>
      <c r="B215" t="s">
        <v>265</v>
      </c>
      <c r="C215" s="212" t="str">
        <f t="shared" si="3"/>
        <v>Glades Circuit Criminal Drug Cases</v>
      </c>
      <c r="D215" s="188">
        <v>0</v>
      </c>
      <c r="E215" s="188">
        <v>0</v>
      </c>
      <c r="F215" s="188">
        <v>0</v>
      </c>
      <c r="I215" s="188">
        <v>0</v>
      </c>
      <c r="J215" s="188">
        <v>0</v>
      </c>
      <c r="K215" s="188">
        <v>0</v>
      </c>
      <c r="N215" s="188">
        <v>0</v>
      </c>
      <c r="O215" s="188">
        <v>0</v>
      </c>
      <c r="P215" s="188"/>
      <c r="S215" s="188">
        <v>0</v>
      </c>
      <c r="T215" s="188">
        <v>0</v>
      </c>
      <c r="U215" s="188"/>
      <c r="X215" s="188">
        <v>53050</v>
      </c>
      <c r="Y215" s="188">
        <v>53050</v>
      </c>
      <c r="AC215" s="188">
        <v>0</v>
      </c>
      <c r="AD215" s="188">
        <v>0</v>
      </c>
      <c r="AH215" s="188">
        <v>0</v>
      </c>
      <c r="AM215" s="188">
        <v>0</v>
      </c>
    </row>
    <row r="216" spans="1:42" x14ac:dyDescent="0.25">
      <c r="A216" t="s">
        <v>69</v>
      </c>
      <c r="B216" t="s">
        <v>44</v>
      </c>
      <c r="C216" s="212" t="str">
        <f t="shared" si="3"/>
        <v>Glades Civil Traffic</v>
      </c>
      <c r="D216" s="188">
        <v>156221.29999999999</v>
      </c>
      <c r="E216" s="188">
        <v>152883.45000000001</v>
      </c>
      <c r="F216" s="188">
        <v>152363.20000000001</v>
      </c>
      <c r="G216" s="188">
        <v>152139.20000000001</v>
      </c>
      <c r="H216" s="133"/>
      <c r="I216" s="188">
        <v>64018.63</v>
      </c>
      <c r="J216" s="188">
        <v>122455.78</v>
      </c>
      <c r="K216" s="188">
        <v>136257.78</v>
      </c>
      <c r="L216" s="188">
        <v>140536.78</v>
      </c>
      <c r="M216" s="70"/>
      <c r="N216" s="188">
        <v>113328.15</v>
      </c>
      <c r="O216" s="188">
        <v>109864.05</v>
      </c>
      <c r="P216" s="188">
        <v>109558.05</v>
      </c>
      <c r="Q216" s="133"/>
      <c r="R216" s="133"/>
      <c r="S216" s="188">
        <v>49314.15</v>
      </c>
      <c r="T216" s="188">
        <v>86817.05</v>
      </c>
      <c r="U216" s="188">
        <v>96857.55</v>
      </c>
      <c r="V216" s="61"/>
      <c r="W216" s="58"/>
      <c r="X216" s="188">
        <v>132455.25</v>
      </c>
      <c r="Y216" s="188">
        <v>124075.25</v>
      </c>
      <c r="Z216" s="133"/>
      <c r="AA216" s="133"/>
      <c r="AB216" s="133"/>
      <c r="AC216" s="188">
        <v>46890.25</v>
      </c>
      <c r="AD216" s="188">
        <v>90748.25</v>
      </c>
      <c r="AE216" s="61"/>
      <c r="AF216" s="65"/>
      <c r="AG216" s="58"/>
      <c r="AH216" s="188">
        <v>149881.25</v>
      </c>
      <c r="AI216" s="133"/>
      <c r="AJ216" s="133"/>
      <c r="AK216" s="133"/>
      <c r="AL216" s="133"/>
      <c r="AM216" s="188">
        <v>51266.99</v>
      </c>
      <c r="AN216" s="135"/>
      <c r="AO216" s="135"/>
      <c r="AP216" s="135"/>
    </row>
    <row r="217" spans="1:42" x14ac:dyDescent="0.25">
      <c r="A217" t="s">
        <v>69</v>
      </c>
      <c r="B217" t="s">
        <v>43</v>
      </c>
      <c r="C217" s="212" t="str">
        <f t="shared" si="3"/>
        <v>Glades County Civil</v>
      </c>
      <c r="D217" s="188">
        <v>2541</v>
      </c>
      <c r="E217" s="188">
        <v>2541</v>
      </c>
      <c r="F217" s="188">
        <v>2541</v>
      </c>
      <c r="G217" s="188">
        <v>2541</v>
      </c>
      <c r="H217" s="125"/>
      <c r="I217" s="188">
        <v>2541</v>
      </c>
      <c r="J217" s="188">
        <v>2541</v>
      </c>
      <c r="K217" s="188">
        <v>2541</v>
      </c>
      <c r="L217" s="188">
        <v>2541</v>
      </c>
      <c r="M217" s="70"/>
      <c r="N217" s="188">
        <v>5575.6</v>
      </c>
      <c r="O217" s="188">
        <v>5875.6</v>
      </c>
      <c r="P217" s="188">
        <v>5875.6</v>
      </c>
      <c r="Q217" s="129"/>
      <c r="R217" s="67"/>
      <c r="S217" s="188">
        <v>5575.6</v>
      </c>
      <c r="T217" s="188">
        <v>5875.6</v>
      </c>
      <c r="U217" s="188">
        <v>5875.6</v>
      </c>
      <c r="V217" s="61"/>
      <c r="W217" s="58"/>
      <c r="X217" s="188">
        <v>5673</v>
      </c>
      <c r="Y217" s="188">
        <v>5673</v>
      </c>
      <c r="Z217" s="129"/>
      <c r="AA217" s="133"/>
      <c r="AB217" s="67"/>
      <c r="AC217" s="188">
        <v>5673</v>
      </c>
      <c r="AD217" s="188">
        <v>5673</v>
      </c>
      <c r="AE217" s="61"/>
      <c r="AF217" s="65"/>
      <c r="AG217" s="58"/>
      <c r="AH217" s="188">
        <v>5766.75</v>
      </c>
      <c r="AI217" s="129"/>
      <c r="AJ217" s="133"/>
      <c r="AK217" s="133"/>
      <c r="AL217" s="67"/>
      <c r="AM217" s="188">
        <v>5571.75</v>
      </c>
      <c r="AN217" s="135"/>
      <c r="AO217" s="135"/>
      <c r="AP217" s="135"/>
    </row>
    <row r="218" spans="1:42" x14ac:dyDescent="0.25">
      <c r="A218" t="s">
        <v>69</v>
      </c>
      <c r="B218" t="s">
        <v>39</v>
      </c>
      <c r="C218" s="212" t="str">
        <f t="shared" si="3"/>
        <v>Glades County Criminal</v>
      </c>
      <c r="D218" s="188">
        <v>21214</v>
      </c>
      <c r="E218" s="188">
        <v>21214</v>
      </c>
      <c r="F218" s="188">
        <v>20879</v>
      </c>
      <c r="G218" s="188">
        <v>20774</v>
      </c>
      <c r="H218" s="133"/>
      <c r="I218" s="188">
        <v>2608</v>
      </c>
      <c r="J218" s="188">
        <v>9319</v>
      </c>
      <c r="K218" s="188">
        <v>9494</v>
      </c>
      <c r="L218" s="188">
        <v>10630</v>
      </c>
      <c r="M218" s="70"/>
      <c r="N218" s="188">
        <v>21897.5</v>
      </c>
      <c r="O218" s="188">
        <v>21647.5</v>
      </c>
      <c r="P218" s="188">
        <v>21647.5</v>
      </c>
      <c r="Q218" s="133"/>
      <c r="R218" s="133"/>
      <c r="S218" s="188">
        <v>4282.5</v>
      </c>
      <c r="T218" s="188">
        <v>7323.5</v>
      </c>
      <c r="U218" s="188">
        <v>8542.18</v>
      </c>
      <c r="V218" s="61"/>
      <c r="W218" s="58"/>
      <c r="X218" s="188">
        <v>21563</v>
      </c>
      <c r="Y218" s="188">
        <v>21388</v>
      </c>
      <c r="Z218" s="133"/>
      <c r="AA218" s="133"/>
      <c r="AB218" s="133"/>
      <c r="AC218" s="188">
        <v>8021</v>
      </c>
      <c r="AD218" s="188">
        <v>10972.5</v>
      </c>
      <c r="AE218" s="61"/>
      <c r="AF218" s="65"/>
      <c r="AG218" s="58"/>
      <c r="AH218" s="188">
        <v>23561</v>
      </c>
      <c r="AI218" s="133"/>
      <c r="AJ218" s="133"/>
      <c r="AK218" s="133"/>
      <c r="AL218" s="133"/>
      <c r="AM218" s="188">
        <v>4822.5</v>
      </c>
      <c r="AN218" s="135"/>
      <c r="AO218" s="135"/>
      <c r="AP218" s="135"/>
    </row>
    <row r="219" spans="1:42" x14ac:dyDescent="0.25">
      <c r="A219" t="s">
        <v>69</v>
      </c>
      <c r="B219" t="s">
        <v>41</v>
      </c>
      <c r="C219" s="212" t="str">
        <f t="shared" si="3"/>
        <v>Glades Criminal Traffic</v>
      </c>
      <c r="D219" s="188">
        <v>24216.5</v>
      </c>
      <c r="E219" s="188">
        <v>23773.75</v>
      </c>
      <c r="F219" s="188">
        <v>23107.63</v>
      </c>
      <c r="G219" s="188">
        <v>23107.63</v>
      </c>
      <c r="H219" s="133"/>
      <c r="I219" s="188">
        <v>5892</v>
      </c>
      <c r="J219" s="188">
        <v>9257</v>
      </c>
      <c r="K219" s="188">
        <v>10705.5</v>
      </c>
      <c r="L219" s="188">
        <v>10900.5</v>
      </c>
      <c r="M219" s="70"/>
      <c r="N219" s="188">
        <v>22083.5</v>
      </c>
      <c r="O219" s="188">
        <v>22083.5</v>
      </c>
      <c r="P219" s="188">
        <v>22083.5</v>
      </c>
      <c r="Q219" s="133"/>
      <c r="R219" s="133"/>
      <c r="S219" s="188">
        <v>7289.5</v>
      </c>
      <c r="T219" s="188">
        <v>9971.5</v>
      </c>
      <c r="U219" s="188">
        <v>10471.5</v>
      </c>
      <c r="V219" s="61"/>
      <c r="W219" s="58"/>
      <c r="X219" s="188">
        <v>13882.25</v>
      </c>
      <c r="Y219" s="188">
        <v>13882.25</v>
      </c>
      <c r="Z219" s="133"/>
      <c r="AA219" s="133"/>
      <c r="AB219" s="133"/>
      <c r="AC219" s="188">
        <v>642.75</v>
      </c>
      <c r="AD219" s="188">
        <v>2161.75</v>
      </c>
      <c r="AE219" s="61"/>
      <c r="AF219" s="65"/>
      <c r="AG219" s="58"/>
      <c r="AH219" s="188">
        <v>17176.5</v>
      </c>
      <c r="AI219" s="133"/>
      <c r="AJ219" s="133"/>
      <c r="AK219" s="133"/>
      <c r="AL219" s="133"/>
      <c r="AM219" s="188">
        <v>3987</v>
      </c>
      <c r="AN219" s="135"/>
      <c r="AO219" s="135"/>
      <c r="AP219" s="135"/>
    </row>
    <row r="220" spans="1:42" x14ac:dyDescent="0.25">
      <c r="A220" t="s">
        <v>69</v>
      </c>
      <c r="B220" t="s">
        <v>46</v>
      </c>
      <c r="C220" s="212" t="str">
        <f t="shared" si="3"/>
        <v>Glades Family</v>
      </c>
      <c r="D220" s="188">
        <v>3952.5</v>
      </c>
      <c r="E220" s="188">
        <v>3902.5</v>
      </c>
      <c r="F220" s="188">
        <v>3902.5</v>
      </c>
      <c r="G220" s="188">
        <v>3902.5</v>
      </c>
      <c r="H220" s="133"/>
      <c r="I220" s="188">
        <v>3510</v>
      </c>
      <c r="J220" s="188">
        <v>3902.5</v>
      </c>
      <c r="K220" s="188">
        <v>3902.5</v>
      </c>
      <c r="L220" s="188">
        <v>3902.5</v>
      </c>
      <c r="M220" s="70"/>
      <c r="N220" s="188">
        <v>3234</v>
      </c>
      <c r="O220" s="188">
        <v>3234</v>
      </c>
      <c r="P220" s="188">
        <v>3234</v>
      </c>
      <c r="Q220" s="133"/>
      <c r="R220" s="133"/>
      <c r="S220" s="188">
        <v>3234</v>
      </c>
      <c r="T220" s="188">
        <v>3234</v>
      </c>
      <c r="U220" s="188">
        <v>3234</v>
      </c>
      <c r="V220" s="61"/>
      <c r="W220" s="58"/>
      <c r="X220" s="188">
        <v>5203</v>
      </c>
      <c r="Y220" s="188">
        <v>5203</v>
      </c>
      <c r="Z220" s="133"/>
      <c r="AA220" s="133"/>
      <c r="AB220" s="133"/>
      <c r="AC220" s="188">
        <v>4010</v>
      </c>
      <c r="AD220" s="188">
        <v>4418</v>
      </c>
      <c r="AE220" s="61"/>
      <c r="AF220" s="65"/>
      <c r="AG220" s="58"/>
      <c r="AH220" s="188">
        <v>4168</v>
      </c>
      <c r="AI220" s="133"/>
      <c r="AJ220" s="133"/>
      <c r="AK220" s="133"/>
      <c r="AL220" s="133"/>
      <c r="AM220" s="188">
        <v>3383</v>
      </c>
      <c r="AN220" s="135"/>
      <c r="AO220" s="135"/>
      <c r="AP220" s="135"/>
    </row>
    <row r="221" spans="1:42" x14ac:dyDescent="0.25">
      <c r="A221" t="s">
        <v>69</v>
      </c>
      <c r="B221" t="s">
        <v>40</v>
      </c>
      <c r="C221" s="212" t="str">
        <f t="shared" si="3"/>
        <v>Glades Juvenile Delinquency</v>
      </c>
      <c r="D221" s="188">
        <v>0</v>
      </c>
      <c r="E221" s="188">
        <v>0</v>
      </c>
      <c r="F221" s="188">
        <v>0</v>
      </c>
      <c r="G221" s="188">
        <v>0</v>
      </c>
      <c r="H221" s="133"/>
      <c r="I221" s="188">
        <v>0</v>
      </c>
      <c r="J221" s="188">
        <v>0</v>
      </c>
      <c r="K221" s="188">
        <v>0</v>
      </c>
      <c r="L221" s="188">
        <v>0</v>
      </c>
      <c r="M221" s="70"/>
      <c r="N221" s="188">
        <v>557.5</v>
      </c>
      <c r="O221" s="188">
        <v>557.5</v>
      </c>
      <c r="P221" s="188">
        <v>0</v>
      </c>
      <c r="Q221" s="133"/>
      <c r="R221" s="133"/>
      <c r="S221" s="188">
        <v>0</v>
      </c>
      <c r="T221" s="188">
        <v>0</v>
      </c>
      <c r="U221" s="188">
        <v>0</v>
      </c>
      <c r="V221" s="61"/>
      <c r="W221" s="58"/>
      <c r="X221" s="188">
        <v>0</v>
      </c>
      <c r="Y221" s="188">
        <v>0</v>
      </c>
      <c r="Z221" s="133"/>
      <c r="AA221" s="133"/>
      <c r="AB221" s="133"/>
      <c r="AC221" s="188">
        <v>0</v>
      </c>
      <c r="AD221" s="188">
        <v>0</v>
      </c>
      <c r="AE221" s="61"/>
      <c r="AF221" s="65"/>
      <c r="AG221" s="58"/>
      <c r="AH221" s="188">
        <v>0</v>
      </c>
      <c r="AI221" s="133"/>
      <c r="AJ221" s="133"/>
      <c r="AK221" s="133"/>
      <c r="AL221" s="133"/>
      <c r="AM221" s="188">
        <v>0</v>
      </c>
      <c r="AN221" s="135"/>
      <c r="AO221" s="135"/>
      <c r="AP221" s="135"/>
    </row>
    <row r="222" spans="1:42" x14ac:dyDescent="0.25">
      <c r="A222" t="s">
        <v>69</v>
      </c>
      <c r="B222" t="s">
        <v>45</v>
      </c>
      <c r="C222" s="212" t="str">
        <f t="shared" si="3"/>
        <v>Glades Probate</v>
      </c>
      <c r="D222" s="188">
        <v>4725</v>
      </c>
      <c r="E222" s="188">
        <v>4725</v>
      </c>
      <c r="F222" s="188">
        <v>4725</v>
      </c>
      <c r="G222" s="188">
        <v>4725</v>
      </c>
      <c r="H222" s="133"/>
      <c r="I222" s="188">
        <v>4725</v>
      </c>
      <c r="J222" s="188">
        <v>4725</v>
      </c>
      <c r="K222" s="188">
        <v>4725</v>
      </c>
      <c r="L222" s="188">
        <v>4725</v>
      </c>
      <c r="M222" s="70"/>
      <c r="N222" s="188">
        <v>5113</v>
      </c>
      <c r="O222" s="188">
        <v>5117</v>
      </c>
      <c r="P222" s="188">
        <v>5117</v>
      </c>
      <c r="Q222" s="133"/>
      <c r="R222" s="133"/>
      <c r="S222" s="188">
        <v>5113</v>
      </c>
      <c r="T222" s="188">
        <v>5117</v>
      </c>
      <c r="U222" s="188">
        <v>5117</v>
      </c>
      <c r="V222" s="61"/>
      <c r="W222" s="58"/>
      <c r="X222" s="188">
        <v>3521</v>
      </c>
      <c r="Y222" s="188">
        <v>3521</v>
      </c>
      <c r="Z222" s="133"/>
      <c r="AA222" s="133"/>
      <c r="AB222" s="133"/>
      <c r="AC222" s="188">
        <v>2735</v>
      </c>
      <c r="AD222" s="188">
        <v>3480</v>
      </c>
      <c r="AE222" s="61"/>
      <c r="AF222" s="65"/>
      <c r="AG222" s="58"/>
      <c r="AH222" s="188">
        <v>4310</v>
      </c>
      <c r="AI222" s="133"/>
      <c r="AJ222" s="133"/>
      <c r="AK222" s="133"/>
      <c r="AL222" s="133"/>
      <c r="AM222" s="188">
        <v>4310</v>
      </c>
      <c r="AN222" s="135"/>
      <c r="AO222" s="135"/>
      <c r="AP222" s="135"/>
    </row>
    <row r="223" spans="1:42" x14ac:dyDescent="0.25">
      <c r="A223" t="s">
        <v>70</v>
      </c>
      <c r="B223" t="s">
        <v>42</v>
      </c>
      <c r="C223" s="212" t="str">
        <f t="shared" si="3"/>
        <v>Gulf Circuit Civil</v>
      </c>
      <c r="D223" s="188">
        <v>19073.34</v>
      </c>
      <c r="E223" s="188">
        <v>19073.34</v>
      </c>
      <c r="F223" s="188">
        <v>19073.34</v>
      </c>
      <c r="G223" s="188">
        <v>19073.34</v>
      </c>
      <c r="H223" s="134"/>
      <c r="I223" s="188">
        <v>19073.34</v>
      </c>
      <c r="J223" s="188">
        <v>19073.34</v>
      </c>
      <c r="K223" s="188">
        <v>19073.34</v>
      </c>
      <c r="L223" s="188">
        <v>19073.34</v>
      </c>
      <c r="M223" s="70"/>
      <c r="N223" s="188">
        <v>25817.65</v>
      </c>
      <c r="O223" s="188">
        <v>25817.65</v>
      </c>
      <c r="P223" s="188">
        <v>25817.65</v>
      </c>
      <c r="Q223" s="134"/>
      <c r="R223" s="134"/>
      <c r="S223" s="188">
        <v>21817.5</v>
      </c>
      <c r="T223" s="188">
        <v>21817.5</v>
      </c>
      <c r="U223" s="188">
        <v>21817.5</v>
      </c>
      <c r="V223" s="61"/>
      <c r="W223" s="58"/>
      <c r="X223" s="188">
        <v>17826.349999999999</v>
      </c>
      <c r="Y223" s="188">
        <v>17826.349999999999</v>
      </c>
      <c r="Z223" s="134"/>
      <c r="AA223" s="134"/>
      <c r="AB223" s="134"/>
      <c r="AC223" s="188">
        <v>17826.349999999999</v>
      </c>
      <c r="AD223" s="188">
        <v>17826.349999999999</v>
      </c>
      <c r="AE223" s="61"/>
      <c r="AF223" s="65"/>
      <c r="AG223" s="58"/>
      <c r="AH223" s="188">
        <v>24678.45</v>
      </c>
      <c r="AI223" s="134"/>
      <c r="AJ223" s="134"/>
      <c r="AK223" s="134"/>
      <c r="AL223" s="134"/>
      <c r="AM223" s="188">
        <v>23283.45</v>
      </c>
      <c r="AN223" s="135"/>
      <c r="AO223" s="135"/>
      <c r="AP223" s="135"/>
    </row>
    <row r="224" spans="1:42" x14ac:dyDescent="0.25">
      <c r="A224" t="s">
        <v>70</v>
      </c>
      <c r="B224" t="s">
        <v>38</v>
      </c>
      <c r="C224" s="212" t="str">
        <f t="shared" si="3"/>
        <v>Gulf Circuit Criminal</v>
      </c>
      <c r="D224" s="188">
        <v>70004.679999999993</v>
      </c>
      <c r="E224" s="188">
        <v>70004.679999999993</v>
      </c>
      <c r="F224" s="188">
        <v>70004.679999999993</v>
      </c>
      <c r="G224" s="188">
        <v>69794.679999999993</v>
      </c>
      <c r="H224" s="133"/>
      <c r="I224" s="188">
        <v>1768.82</v>
      </c>
      <c r="J224" s="188">
        <v>3411.84</v>
      </c>
      <c r="K224" s="188">
        <v>4948.22</v>
      </c>
      <c r="L224" s="188">
        <v>5881.62</v>
      </c>
      <c r="M224" s="70"/>
      <c r="N224" s="188">
        <v>70103</v>
      </c>
      <c r="O224" s="188">
        <v>70128</v>
      </c>
      <c r="P224" s="188">
        <v>68769.45</v>
      </c>
      <c r="Q224" s="133"/>
      <c r="R224" s="133"/>
      <c r="S224" s="188">
        <v>2316.71</v>
      </c>
      <c r="T224" s="188">
        <v>6461.7</v>
      </c>
      <c r="U224" s="188">
        <v>9899.58</v>
      </c>
      <c r="V224" s="61"/>
      <c r="W224" s="58"/>
      <c r="X224" s="188">
        <v>101060.32</v>
      </c>
      <c r="Y224" s="188">
        <v>99560.320000000007</v>
      </c>
      <c r="Z224" s="133"/>
      <c r="AA224" s="133"/>
      <c r="AB224" s="133"/>
      <c r="AC224" s="188">
        <v>2481.5500000000002</v>
      </c>
      <c r="AD224" s="188">
        <v>4885.57</v>
      </c>
      <c r="AE224" s="61"/>
      <c r="AF224" s="65"/>
      <c r="AG224" s="58"/>
      <c r="AH224" s="188">
        <v>89339.31</v>
      </c>
      <c r="AI224" s="133"/>
      <c r="AJ224" s="133"/>
      <c r="AK224" s="133"/>
      <c r="AL224" s="133"/>
      <c r="AM224" s="188">
        <v>2224.88</v>
      </c>
      <c r="AN224" s="135"/>
      <c r="AO224" s="135"/>
      <c r="AP224" s="135"/>
    </row>
    <row r="225" spans="1:42" x14ac:dyDescent="0.25">
      <c r="A225" t="s">
        <v>70</v>
      </c>
      <c r="B225" t="s">
        <v>265</v>
      </c>
      <c r="C225" s="212" t="str">
        <f t="shared" si="3"/>
        <v>Gulf Circuit Criminal Drug Cases</v>
      </c>
      <c r="D225" s="188">
        <v>0</v>
      </c>
      <c r="E225" s="188">
        <v>0</v>
      </c>
      <c r="F225" s="188">
        <v>0</v>
      </c>
      <c r="G225" s="188">
        <v>0</v>
      </c>
      <c r="H225" s="63"/>
      <c r="I225" s="188">
        <v>0</v>
      </c>
      <c r="J225" s="188">
        <v>0</v>
      </c>
      <c r="K225" s="188">
        <v>0</v>
      </c>
      <c r="L225" s="188">
        <v>0</v>
      </c>
      <c r="N225" s="188">
        <v>0</v>
      </c>
      <c r="O225" s="188">
        <v>0</v>
      </c>
      <c r="P225" s="188">
        <v>0</v>
      </c>
      <c r="Q225" s="63"/>
      <c r="R225" s="63"/>
      <c r="S225" s="188">
        <v>0</v>
      </c>
      <c r="T225" s="188">
        <v>0</v>
      </c>
      <c r="U225" s="188">
        <v>0</v>
      </c>
      <c r="X225" s="188">
        <v>0</v>
      </c>
      <c r="Y225" s="188">
        <v>0</v>
      </c>
      <c r="Z225" s="63"/>
      <c r="AB225" s="63"/>
      <c r="AC225" s="188">
        <v>0</v>
      </c>
      <c r="AD225" s="188">
        <v>0</v>
      </c>
      <c r="AH225" s="188">
        <v>0</v>
      </c>
      <c r="AI225" s="63"/>
      <c r="AL225" s="63"/>
      <c r="AM225" s="188">
        <v>0</v>
      </c>
    </row>
    <row r="226" spans="1:42" x14ac:dyDescent="0.25">
      <c r="A226" t="s">
        <v>70</v>
      </c>
      <c r="B226" t="s">
        <v>44</v>
      </c>
      <c r="C226" s="212" t="str">
        <f t="shared" si="3"/>
        <v>Gulf Civil Traffic</v>
      </c>
      <c r="D226" s="188">
        <v>15431.2</v>
      </c>
      <c r="E226" s="188">
        <v>15089.2</v>
      </c>
      <c r="F226" s="188">
        <v>15089.2</v>
      </c>
      <c r="G226" s="188">
        <v>15089.2</v>
      </c>
      <c r="H226" s="134"/>
      <c r="I226" s="188">
        <v>7416.2</v>
      </c>
      <c r="J226" s="188">
        <v>13147.2</v>
      </c>
      <c r="K226" s="188">
        <v>13634.2</v>
      </c>
      <c r="L226" s="188">
        <v>14214.2</v>
      </c>
      <c r="M226" s="70"/>
      <c r="N226" s="188">
        <v>38104</v>
      </c>
      <c r="O226" s="188">
        <v>37001</v>
      </c>
      <c r="P226" s="188">
        <v>36112</v>
      </c>
      <c r="Q226" s="134"/>
      <c r="R226" s="134"/>
      <c r="S226" s="188">
        <v>18247</v>
      </c>
      <c r="T226" s="188">
        <v>31488</v>
      </c>
      <c r="U226" s="188">
        <v>32730</v>
      </c>
      <c r="V226" s="61"/>
      <c r="W226" s="58"/>
      <c r="X226" s="188">
        <v>32182.25</v>
      </c>
      <c r="Y226" s="188">
        <v>31640.25</v>
      </c>
      <c r="Z226" s="134"/>
      <c r="AA226" s="134"/>
      <c r="AB226" s="134"/>
      <c r="AC226" s="188">
        <v>17079.25</v>
      </c>
      <c r="AD226" s="188">
        <v>26138.25</v>
      </c>
      <c r="AE226" s="61"/>
      <c r="AF226" s="65"/>
      <c r="AG226" s="58"/>
      <c r="AH226" s="188">
        <v>23302</v>
      </c>
      <c r="AI226" s="134"/>
      <c r="AJ226" s="134"/>
      <c r="AK226" s="134"/>
      <c r="AL226" s="134"/>
      <c r="AM226" s="188">
        <v>13938</v>
      </c>
      <c r="AN226" s="135"/>
      <c r="AO226" s="135"/>
      <c r="AP226" s="135"/>
    </row>
    <row r="227" spans="1:42" x14ac:dyDescent="0.25">
      <c r="A227" t="s">
        <v>70</v>
      </c>
      <c r="B227" t="s">
        <v>43</v>
      </c>
      <c r="C227" s="212" t="str">
        <f t="shared" si="3"/>
        <v>Gulf County Civil</v>
      </c>
      <c r="D227" s="188">
        <v>8825.75</v>
      </c>
      <c r="E227" s="188">
        <v>8825.75</v>
      </c>
      <c r="F227" s="188">
        <v>8825.75</v>
      </c>
      <c r="G227" s="188">
        <v>8825.75</v>
      </c>
      <c r="H227" s="134"/>
      <c r="I227" s="188">
        <v>8825.75</v>
      </c>
      <c r="J227" s="188">
        <v>8825.75</v>
      </c>
      <c r="K227" s="188">
        <v>8825.75</v>
      </c>
      <c r="L227" s="188">
        <v>8825.75</v>
      </c>
      <c r="M227" s="70"/>
      <c r="N227" s="188">
        <v>8072.96</v>
      </c>
      <c r="O227" s="188">
        <v>8072.96</v>
      </c>
      <c r="P227" s="188">
        <v>8072.96</v>
      </c>
      <c r="Q227" s="134"/>
      <c r="R227" s="134"/>
      <c r="S227" s="188">
        <v>8072.96</v>
      </c>
      <c r="T227" s="188">
        <v>8072.96</v>
      </c>
      <c r="U227" s="188">
        <v>8072.96</v>
      </c>
      <c r="V227" s="130"/>
      <c r="W227" s="58"/>
      <c r="X227" s="188">
        <v>8752</v>
      </c>
      <c r="Y227" s="188">
        <v>8752</v>
      </c>
      <c r="Z227" s="134"/>
      <c r="AA227" s="134"/>
      <c r="AB227" s="134"/>
      <c r="AC227" s="188">
        <v>8752</v>
      </c>
      <c r="AD227" s="188">
        <v>8752</v>
      </c>
      <c r="AE227" s="61"/>
      <c r="AF227" s="65"/>
      <c r="AG227" s="58"/>
      <c r="AH227" s="188">
        <v>8858</v>
      </c>
      <c r="AI227" s="134"/>
      <c r="AJ227" s="134"/>
      <c r="AK227" s="134"/>
      <c r="AL227" s="134"/>
      <c r="AM227" s="188">
        <v>8858</v>
      </c>
      <c r="AN227" s="135"/>
      <c r="AO227" s="135"/>
      <c r="AP227" s="135"/>
    </row>
    <row r="228" spans="1:42" x14ac:dyDescent="0.25">
      <c r="A228" t="s">
        <v>70</v>
      </c>
      <c r="B228" t="s">
        <v>39</v>
      </c>
      <c r="C228" s="212" t="str">
        <f t="shared" si="3"/>
        <v>Gulf County Criminal</v>
      </c>
      <c r="D228" s="188">
        <v>12421.06</v>
      </c>
      <c r="E228" s="188">
        <v>12421.06</v>
      </c>
      <c r="F228" s="188">
        <v>12421.06</v>
      </c>
      <c r="G228" s="188">
        <v>12421.06</v>
      </c>
      <c r="H228" s="133"/>
      <c r="I228" s="188">
        <v>2753.56</v>
      </c>
      <c r="J228" s="188">
        <v>4993.5600000000004</v>
      </c>
      <c r="K228" s="188">
        <v>5877.06</v>
      </c>
      <c r="L228" s="188">
        <v>6892.06</v>
      </c>
      <c r="M228" s="70"/>
      <c r="N228" s="188">
        <v>14735.5</v>
      </c>
      <c r="O228" s="188">
        <v>14735.5</v>
      </c>
      <c r="P228" s="188">
        <v>14735.5</v>
      </c>
      <c r="Q228" s="133"/>
      <c r="R228" s="133"/>
      <c r="S228" s="188">
        <v>3771.18</v>
      </c>
      <c r="T228" s="188">
        <v>7815.13</v>
      </c>
      <c r="U228" s="188">
        <v>9064.74</v>
      </c>
      <c r="V228" s="61"/>
      <c r="W228" s="58"/>
      <c r="X228" s="188">
        <v>19225.189999999999</v>
      </c>
      <c r="Y228" s="188">
        <v>19225.189999999999</v>
      </c>
      <c r="Z228" s="134"/>
      <c r="AA228" s="134"/>
      <c r="AB228" s="134"/>
      <c r="AC228" s="188">
        <v>4781.3599999999997</v>
      </c>
      <c r="AD228" s="188">
        <v>10093.709999999999</v>
      </c>
      <c r="AE228" s="61"/>
      <c r="AF228" s="65"/>
      <c r="AG228" s="58"/>
      <c r="AH228" s="188">
        <v>14020.53</v>
      </c>
      <c r="AI228" s="134"/>
      <c r="AJ228" s="134"/>
      <c r="AK228" s="134"/>
      <c r="AL228" s="134"/>
      <c r="AM228" s="188">
        <v>5513.46</v>
      </c>
      <c r="AN228" s="135"/>
      <c r="AO228" s="135"/>
      <c r="AP228" s="135"/>
    </row>
    <row r="229" spans="1:42" x14ac:dyDescent="0.25">
      <c r="A229" t="s">
        <v>70</v>
      </c>
      <c r="B229" t="s">
        <v>41</v>
      </c>
      <c r="C229" s="212" t="str">
        <f t="shared" si="3"/>
        <v>Gulf Criminal Traffic</v>
      </c>
      <c r="D229" s="188">
        <v>19044</v>
      </c>
      <c r="E229" s="188">
        <v>18939</v>
      </c>
      <c r="F229" s="188">
        <v>18939</v>
      </c>
      <c r="G229" s="188">
        <v>18939</v>
      </c>
      <c r="H229" s="134"/>
      <c r="I229" s="188">
        <v>3191.05</v>
      </c>
      <c r="J229" s="188">
        <v>6338.35</v>
      </c>
      <c r="K229" s="188">
        <v>8782.65</v>
      </c>
      <c r="L229" s="188">
        <v>10892.9</v>
      </c>
      <c r="M229" s="70"/>
      <c r="N229" s="188">
        <v>16431.73</v>
      </c>
      <c r="O229" s="188">
        <v>16431.73</v>
      </c>
      <c r="P229" s="188">
        <v>16431.73</v>
      </c>
      <c r="Q229" s="134"/>
      <c r="R229" s="134"/>
      <c r="S229" s="188">
        <v>6898.58</v>
      </c>
      <c r="T229" s="188">
        <v>10927.58</v>
      </c>
      <c r="U229" s="188">
        <v>12617.78</v>
      </c>
      <c r="V229" s="61"/>
      <c r="W229" s="58"/>
      <c r="X229" s="188">
        <v>16800.86</v>
      </c>
      <c r="Y229" s="188">
        <v>16800.86</v>
      </c>
      <c r="Z229" s="134"/>
      <c r="AA229" s="134"/>
      <c r="AB229" s="134"/>
      <c r="AC229" s="188">
        <v>8745.82</v>
      </c>
      <c r="AD229" s="188">
        <v>12192.11</v>
      </c>
      <c r="AE229" s="61"/>
      <c r="AF229" s="65"/>
      <c r="AG229" s="58"/>
      <c r="AH229" s="188">
        <v>14526</v>
      </c>
      <c r="AI229" s="134"/>
      <c r="AJ229" s="134"/>
      <c r="AK229" s="134"/>
      <c r="AL229" s="134"/>
      <c r="AM229" s="188">
        <v>5608.6</v>
      </c>
      <c r="AN229" s="135"/>
      <c r="AO229" s="135"/>
      <c r="AP229" s="135"/>
    </row>
    <row r="230" spans="1:42" x14ac:dyDescent="0.25">
      <c r="A230" t="s">
        <v>70</v>
      </c>
      <c r="B230" t="s">
        <v>46</v>
      </c>
      <c r="C230" s="212" t="str">
        <f t="shared" si="3"/>
        <v>Gulf Family</v>
      </c>
      <c r="D230" s="188">
        <v>5401.05</v>
      </c>
      <c r="E230" s="188">
        <v>5401.05</v>
      </c>
      <c r="F230" s="188">
        <v>5401.05</v>
      </c>
      <c r="G230" s="188">
        <v>5401.05</v>
      </c>
      <c r="H230" s="134"/>
      <c r="I230" s="188">
        <v>5106.05</v>
      </c>
      <c r="J230" s="188">
        <v>5401.05</v>
      </c>
      <c r="K230" s="188">
        <v>5401.05</v>
      </c>
      <c r="L230" s="188">
        <v>5401.05</v>
      </c>
      <c r="M230" s="70"/>
      <c r="N230" s="188">
        <v>7398.4</v>
      </c>
      <c r="O230" s="188">
        <v>7398.4</v>
      </c>
      <c r="P230" s="188">
        <v>7398.4</v>
      </c>
      <c r="Q230" s="134"/>
      <c r="R230" s="134"/>
      <c r="S230" s="188">
        <v>6540.4</v>
      </c>
      <c r="T230" s="188">
        <v>6640.4</v>
      </c>
      <c r="U230" s="188">
        <v>6640.4</v>
      </c>
      <c r="V230" s="61"/>
      <c r="W230" s="58"/>
      <c r="X230" s="188">
        <v>9410.5499999999993</v>
      </c>
      <c r="Y230" s="188">
        <v>9110.5499999999993</v>
      </c>
      <c r="Z230" s="134"/>
      <c r="AA230" s="134"/>
      <c r="AB230" s="134"/>
      <c r="AC230" s="188">
        <v>8685.9500000000007</v>
      </c>
      <c r="AD230" s="188">
        <v>8695.9500000000007</v>
      </c>
      <c r="AE230" s="61"/>
      <c r="AF230" s="65"/>
      <c r="AG230" s="58"/>
      <c r="AH230" s="188">
        <v>8585.7999999999993</v>
      </c>
      <c r="AI230" s="134"/>
      <c r="AJ230" s="134"/>
      <c r="AK230" s="134"/>
      <c r="AL230" s="134"/>
      <c r="AM230" s="188">
        <v>7777.8</v>
      </c>
      <c r="AN230" s="135"/>
      <c r="AO230" s="135"/>
      <c r="AP230" s="135"/>
    </row>
    <row r="231" spans="1:42" x14ac:dyDescent="0.25">
      <c r="A231" t="s">
        <v>70</v>
      </c>
      <c r="B231" t="s">
        <v>40</v>
      </c>
      <c r="C231" s="212" t="str">
        <f t="shared" si="3"/>
        <v>Gulf Juvenile Delinquency</v>
      </c>
      <c r="D231" s="188">
        <v>431</v>
      </c>
      <c r="E231" s="188">
        <v>431</v>
      </c>
      <c r="F231" s="188">
        <v>431</v>
      </c>
      <c r="G231" s="188">
        <v>281</v>
      </c>
      <c r="H231" s="134"/>
      <c r="I231" s="188">
        <v>11</v>
      </c>
      <c r="J231" s="188">
        <v>11</v>
      </c>
      <c r="K231" s="188">
        <v>11</v>
      </c>
      <c r="L231" s="188">
        <v>11</v>
      </c>
      <c r="M231" s="70"/>
      <c r="N231" s="188">
        <v>223.5</v>
      </c>
      <c r="O231" s="188">
        <v>223.5</v>
      </c>
      <c r="P231" s="188">
        <v>223.5</v>
      </c>
      <c r="Q231" s="134"/>
      <c r="R231" s="134"/>
      <c r="S231" s="188">
        <v>3.5</v>
      </c>
      <c r="T231" s="188">
        <v>3.5</v>
      </c>
      <c r="U231" s="188">
        <v>3.5</v>
      </c>
      <c r="V231" s="61"/>
      <c r="W231" s="58"/>
      <c r="X231" s="188">
        <v>563.5</v>
      </c>
      <c r="Y231" s="188">
        <v>563.5</v>
      </c>
      <c r="Z231" s="134"/>
      <c r="AA231" s="134"/>
      <c r="AB231" s="134"/>
      <c r="AC231" s="188">
        <v>3.5</v>
      </c>
      <c r="AD231" s="188">
        <v>3.5</v>
      </c>
      <c r="AE231" s="61"/>
      <c r="AF231" s="65"/>
      <c r="AG231" s="58"/>
      <c r="AH231" s="188">
        <v>0</v>
      </c>
      <c r="AI231" s="134"/>
      <c r="AJ231" s="134"/>
      <c r="AK231" s="134"/>
      <c r="AL231" s="134"/>
      <c r="AM231" s="188">
        <v>0</v>
      </c>
      <c r="AN231" s="135"/>
      <c r="AO231" s="135"/>
      <c r="AP231" s="135"/>
    </row>
    <row r="232" spans="1:42" x14ac:dyDescent="0.25">
      <c r="A232" t="s">
        <v>70</v>
      </c>
      <c r="B232" t="s">
        <v>45</v>
      </c>
      <c r="C232" s="212" t="str">
        <f t="shared" si="3"/>
        <v>Gulf Probate</v>
      </c>
      <c r="D232" s="188">
        <v>7389</v>
      </c>
      <c r="E232" s="188">
        <v>7389</v>
      </c>
      <c r="F232" s="188">
        <v>7389</v>
      </c>
      <c r="G232" s="188">
        <v>7389</v>
      </c>
      <c r="H232" s="134"/>
      <c r="I232" s="188">
        <v>7389</v>
      </c>
      <c r="J232" s="188">
        <v>7389</v>
      </c>
      <c r="K232" s="188">
        <v>7389</v>
      </c>
      <c r="L232" s="188">
        <v>7389</v>
      </c>
      <c r="M232" s="70"/>
      <c r="N232" s="188">
        <v>7909</v>
      </c>
      <c r="O232" s="188">
        <v>7909</v>
      </c>
      <c r="P232" s="188">
        <v>7909</v>
      </c>
      <c r="Q232" s="134"/>
      <c r="R232" s="134"/>
      <c r="S232" s="188">
        <v>7909</v>
      </c>
      <c r="T232" s="188">
        <v>7909</v>
      </c>
      <c r="U232" s="188">
        <v>7909</v>
      </c>
      <c r="V232" s="61"/>
      <c r="W232" s="58"/>
      <c r="X232" s="188">
        <v>6595</v>
      </c>
      <c r="Y232" s="188">
        <v>6595</v>
      </c>
      <c r="Z232" s="134"/>
      <c r="AA232" s="134"/>
      <c r="AB232" s="134"/>
      <c r="AC232" s="188">
        <v>6595</v>
      </c>
      <c r="AD232" s="188">
        <v>6595</v>
      </c>
      <c r="AE232" s="61"/>
      <c r="AF232" s="65"/>
      <c r="AG232" s="58"/>
      <c r="AH232" s="188">
        <v>5474</v>
      </c>
      <c r="AI232" s="134"/>
      <c r="AJ232" s="134"/>
      <c r="AK232" s="134"/>
      <c r="AL232" s="134"/>
      <c r="AM232" s="188">
        <v>5474</v>
      </c>
      <c r="AN232" s="135"/>
      <c r="AO232" s="135"/>
      <c r="AP232" s="135"/>
    </row>
    <row r="233" spans="1:42" x14ac:dyDescent="0.25">
      <c r="A233" t="s">
        <v>71</v>
      </c>
      <c r="B233" t="s">
        <v>42</v>
      </c>
      <c r="C233" s="212" t="str">
        <f t="shared" si="3"/>
        <v>Hamilton Circuit Civil</v>
      </c>
      <c r="D233" s="188">
        <v>62570.9</v>
      </c>
      <c r="E233" s="188">
        <v>62570.9</v>
      </c>
      <c r="F233" s="188">
        <v>62570.9</v>
      </c>
      <c r="G233" s="188">
        <v>62570.9</v>
      </c>
      <c r="H233" s="127"/>
      <c r="I233" s="188">
        <v>62110.9</v>
      </c>
      <c r="J233" s="188">
        <v>62160.9</v>
      </c>
      <c r="K233" s="188">
        <v>62160.9</v>
      </c>
      <c r="L233" s="188">
        <v>62160.9</v>
      </c>
      <c r="M233" s="70"/>
      <c r="N233" s="188">
        <v>49929</v>
      </c>
      <c r="O233" s="188">
        <v>49929</v>
      </c>
      <c r="P233" s="188">
        <v>49929</v>
      </c>
      <c r="Q233" s="127"/>
      <c r="R233" s="127"/>
      <c r="S233" s="188">
        <v>47029</v>
      </c>
      <c r="T233" s="188">
        <v>48649</v>
      </c>
      <c r="U233" s="188">
        <v>48649</v>
      </c>
      <c r="V233" s="61"/>
      <c r="W233" s="58"/>
      <c r="X233" s="188">
        <v>49350</v>
      </c>
      <c r="Y233" s="188">
        <v>49350</v>
      </c>
      <c r="Z233" s="127"/>
      <c r="AA233" s="127"/>
      <c r="AB233" s="127"/>
      <c r="AC233" s="188">
        <v>45350</v>
      </c>
      <c r="AD233" s="188">
        <v>48950</v>
      </c>
      <c r="AE233" s="61"/>
      <c r="AF233" s="65"/>
      <c r="AG233" s="58"/>
      <c r="AH233" s="188">
        <v>81693</v>
      </c>
      <c r="AI233" s="127"/>
      <c r="AJ233" s="127"/>
      <c r="AK233" s="127"/>
      <c r="AL233" s="127"/>
      <c r="AM233" s="188">
        <v>76183</v>
      </c>
      <c r="AN233" s="135"/>
      <c r="AO233" s="135"/>
      <c r="AP233" s="135"/>
    </row>
    <row r="234" spans="1:42" x14ac:dyDescent="0.25">
      <c r="A234" t="s">
        <v>71</v>
      </c>
      <c r="B234" t="s">
        <v>38</v>
      </c>
      <c r="C234" s="212" t="str">
        <f t="shared" si="3"/>
        <v>Hamilton Circuit Criminal</v>
      </c>
      <c r="D234" s="188">
        <v>47281.91</v>
      </c>
      <c r="E234" s="188">
        <v>47639.91</v>
      </c>
      <c r="F234" s="188">
        <v>47547.27</v>
      </c>
      <c r="G234" s="188">
        <v>47547.27</v>
      </c>
      <c r="H234" s="134"/>
      <c r="I234" s="188">
        <v>1939.21</v>
      </c>
      <c r="J234" s="188">
        <v>3002.63</v>
      </c>
      <c r="K234" s="188">
        <v>4051.82</v>
      </c>
      <c r="L234" s="188">
        <v>4406.4799999999996</v>
      </c>
      <c r="M234" s="70"/>
      <c r="N234" s="188">
        <v>16516.189999999999</v>
      </c>
      <c r="O234" s="188">
        <v>16616.189999999999</v>
      </c>
      <c r="P234" s="188">
        <v>20956.189999999999</v>
      </c>
      <c r="Q234" s="134"/>
      <c r="R234" s="134"/>
      <c r="S234" s="188">
        <v>1637.58</v>
      </c>
      <c r="T234" s="188">
        <v>2365.92</v>
      </c>
      <c r="U234" s="188">
        <v>3122.39</v>
      </c>
      <c r="V234" s="61"/>
      <c r="W234" s="58"/>
      <c r="X234" s="188">
        <v>16642.759999999998</v>
      </c>
      <c r="Y234" s="188">
        <v>16642.759999999998</v>
      </c>
      <c r="Z234" s="134"/>
      <c r="AA234" s="134"/>
      <c r="AB234" s="134"/>
      <c r="AC234" s="188">
        <v>439.32</v>
      </c>
      <c r="AD234" s="188">
        <v>874.58</v>
      </c>
      <c r="AE234" s="61"/>
      <c r="AF234" s="65"/>
      <c r="AG234" s="58"/>
      <c r="AH234" s="188">
        <v>45669.67</v>
      </c>
      <c r="AI234" s="134"/>
      <c r="AJ234" s="134"/>
      <c r="AK234" s="134"/>
      <c r="AL234" s="134"/>
      <c r="AM234" s="188">
        <v>313.13</v>
      </c>
      <c r="AN234" s="135"/>
      <c r="AO234" s="135"/>
      <c r="AP234" s="135"/>
    </row>
    <row r="235" spans="1:42" x14ac:dyDescent="0.25">
      <c r="A235" t="s">
        <v>71</v>
      </c>
      <c r="B235" t="s">
        <v>265</v>
      </c>
      <c r="C235" s="212" t="str">
        <f t="shared" si="3"/>
        <v>Hamilton Circuit Criminal Drug Cases</v>
      </c>
      <c r="D235" s="188"/>
      <c r="E235" s="188"/>
      <c r="F235" s="188"/>
      <c r="H235" s="63"/>
      <c r="I235" s="188"/>
      <c r="J235" s="188"/>
      <c r="K235" s="188"/>
      <c r="N235" s="188"/>
      <c r="O235" s="188"/>
      <c r="P235" s="188"/>
      <c r="Q235" s="63"/>
      <c r="R235" s="63"/>
      <c r="S235" s="188"/>
      <c r="T235" s="188"/>
      <c r="U235" s="188"/>
      <c r="X235" s="188"/>
      <c r="Y235" s="188"/>
      <c r="Z235" s="63"/>
      <c r="AB235" s="63"/>
      <c r="AC235" s="188"/>
      <c r="AD235" s="188"/>
      <c r="AH235" s="188"/>
      <c r="AI235" s="63"/>
      <c r="AL235" s="63"/>
      <c r="AM235" s="188"/>
    </row>
    <row r="236" spans="1:42" x14ac:dyDescent="0.25">
      <c r="A236" t="s">
        <v>71</v>
      </c>
      <c r="B236" t="s">
        <v>44</v>
      </c>
      <c r="C236" s="212" t="str">
        <f t="shared" si="3"/>
        <v>Hamilton Civil Traffic</v>
      </c>
      <c r="D236" s="188">
        <v>149533.37</v>
      </c>
      <c r="E236" s="188">
        <v>141206.47</v>
      </c>
      <c r="F236" s="188">
        <v>139896.97</v>
      </c>
      <c r="G236" s="188">
        <v>139730.94</v>
      </c>
      <c r="H236" s="127"/>
      <c r="I236" s="188">
        <v>50461.38</v>
      </c>
      <c r="J236" s="188">
        <v>107623.18</v>
      </c>
      <c r="K236" s="188">
        <v>113808.88</v>
      </c>
      <c r="L236" s="188">
        <v>116226.88</v>
      </c>
      <c r="M236" s="70"/>
      <c r="N236" s="188">
        <v>146158</v>
      </c>
      <c r="O236" s="188">
        <v>136814.31</v>
      </c>
      <c r="P236" s="188">
        <v>136934.31</v>
      </c>
      <c r="Q236" s="127"/>
      <c r="R236" s="127"/>
      <c r="S236" s="188">
        <v>55064</v>
      </c>
      <c r="T236" s="188">
        <v>105227.31</v>
      </c>
      <c r="U236" s="188">
        <v>112051.31</v>
      </c>
      <c r="V236" s="61"/>
      <c r="W236" s="58"/>
      <c r="X236" s="188">
        <v>151126.67000000001</v>
      </c>
      <c r="Y236" s="188">
        <v>143972.67000000001</v>
      </c>
      <c r="Z236" s="127"/>
      <c r="AA236" s="127"/>
      <c r="AB236" s="127"/>
      <c r="AC236" s="188">
        <v>70583.22</v>
      </c>
      <c r="AD236" s="188">
        <v>109846.22</v>
      </c>
      <c r="AE236" s="61"/>
      <c r="AF236" s="65"/>
      <c r="AG236" s="58"/>
      <c r="AH236" s="188">
        <v>159729</v>
      </c>
      <c r="AI236" s="127"/>
      <c r="AJ236" s="127"/>
      <c r="AK236" s="127"/>
      <c r="AL236" s="127"/>
      <c r="AM236" s="188">
        <v>61367.5</v>
      </c>
      <c r="AN236" s="135"/>
      <c r="AO236" s="135"/>
      <c r="AP236" s="135"/>
    </row>
    <row r="237" spans="1:42" x14ac:dyDescent="0.25">
      <c r="A237" t="s">
        <v>71</v>
      </c>
      <c r="B237" t="s">
        <v>43</v>
      </c>
      <c r="C237" s="212" t="str">
        <f t="shared" si="3"/>
        <v>Hamilton County Civil</v>
      </c>
      <c r="D237" s="188">
        <v>6365.75</v>
      </c>
      <c r="E237" s="188">
        <v>6365.75</v>
      </c>
      <c r="F237" s="188">
        <v>6365.75</v>
      </c>
      <c r="G237" s="188">
        <v>6365.75</v>
      </c>
      <c r="H237" s="127"/>
      <c r="I237" s="188">
        <v>6363.75</v>
      </c>
      <c r="J237" s="188">
        <v>6363.75</v>
      </c>
      <c r="K237" s="188">
        <v>6363.75</v>
      </c>
      <c r="L237" s="188">
        <v>6363.75</v>
      </c>
      <c r="M237" s="70"/>
      <c r="N237" s="188">
        <v>4415.76</v>
      </c>
      <c r="O237" s="188">
        <v>4415.76</v>
      </c>
      <c r="P237" s="188">
        <v>4415.76</v>
      </c>
      <c r="Q237" s="127"/>
      <c r="R237" s="127"/>
      <c r="S237" s="188">
        <v>4230.76</v>
      </c>
      <c r="T237" s="188">
        <v>4415.76</v>
      </c>
      <c r="U237" s="188">
        <v>4415.76</v>
      </c>
      <c r="V237" s="61"/>
      <c r="W237" s="58"/>
      <c r="X237" s="188">
        <v>8164.52</v>
      </c>
      <c r="Y237" s="188">
        <v>8164.52</v>
      </c>
      <c r="Z237" s="127"/>
      <c r="AA237" s="127"/>
      <c r="AB237" s="127"/>
      <c r="AC237" s="188">
        <v>7564.52</v>
      </c>
      <c r="AD237" s="188">
        <v>7864.52</v>
      </c>
      <c r="AE237" s="61"/>
      <c r="AF237" s="65"/>
      <c r="AG237" s="58"/>
      <c r="AH237" s="188">
        <v>12441</v>
      </c>
      <c r="AI237" s="127"/>
      <c r="AJ237" s="127"/>
      <c r="AK237" s="127"/>
      <c r="AL237" s="127"/>
      <c r="AM237" s="188">
        <v>12356</v>
      </c>
      <c r="AN237" s="135"/>
      <c r="AO237" s="135"/>
      <c r="AP237" s="135"/>
    </row>
    <row r="238" spans="1:42" x14ac:dyDescent="0.25">
      <c r="A238" t="s">
        <v>71</v>
      </c>
      <c r="B238" t="s">
        <v>39</v>
      </c>
      <c r="C238" s="212" t="str">
        <f t="shared" si="3"/>
        <v>Hamilton County Criminal</v>
      </c>
      <c r="D238" s="188">
        <v>13903.87</v>
      </c>
      <c r="E238" s="188">
        <v>14114.37</v>
      </c>
      <c r="F238" s="188">
        <v>14144.37</v>
      </c>
      <c r="G238" s="188">
        <v>14127.37</v>
      </c>
      <c r="H238" s="134"/>
      <c r="I238" s="188">
        <v>7674.87</v>
      </c>
      <c r="J238" s="188">
        <v>8640.8700000000008</v>
      </c>
      <c r="K238" s="188">
        <v>8640.8700000000008</v>
      </c>
      <c r="L238" s="188">
        <v>9298.8700000000008</v>
      </c>
      <c r="M238" s="70"/>
      <c r="N238" s="188">
        <v>9643.5</v>
      </c>
      <c r="O238" s="188">
        <v>9641.5</v>
      </c>
      <c r="P238" s="188">
        <v>9581.5</v>
      </c>
      <c r="Q238" s="134"/>
      <c r="R238" s="134"/>
      <c r="S238" s="188">
        <v>2560.5</v>
      </c>
      <c r="T238" s="188">
        <v>3268.5</v>
      </c>
      <c r="U238" s="188">
        <v>4294.5</v>
      </c>
      <c r="V238" s="61"/>
      <c r="W238" s="58"/>
      <c r="X238" s="188">
        <v>6752</v>
      </c>
      <c r="Y238" s="188">
        <v>6752</v>
      </c>
      <c r="Z238" s="134"/>
      <c r="AA238" s="134"/>
      <c r="AB238" s="134"/>
      <c r="AC238" s="188">
        <v>1319</v>
      </c>
      <c r="AD238" s="188">
        <v>1409</v>
      </c>
      <c r="AE238" s="61"/>
      <c r="AF238" s="65"/>
      <c r="AG238" s="58"/>
      <c r="AH238" s="188">
        <v>9915</v>
      </c>
      <c r="AI238" s="134"/>
      <c r="AJ238" s="134"/>
      <c r="AK238" s="134"/>
      <c r="AL238" s="134"/>
      <c r="AM238" s="188">
        <v>2344</v>
      </c>
      <c r="AN238" s="135"/>
      <c r="AO238" s="135"/>
      <c r="AP238" s="135"/>
    </row>
    <row r="239" spans="1:42" x14ac:dyDescent="0.25">
      <c r="A239" t="s">
        <v>71</v>
      </c>
      <c r="B239" t="s">
        <v>41</v>
      </c>
      <c r="C239" s="212" t="str">
        <f t="shared" si="3"/>
        <v>Hamilton Criminal Traffic</v>
      </c>
      <c r="D239" s="188">
        <v>40696.9</v>
      </c>
      <c r="E239" s="188">
        <v>40627.9</v>
      </c>
      <c r="F239" s="188">
        <v>40402.9</v>
      </c>
      <c r="G239" s="188">
        <v>40318.9</v>
      </c>
      <c r="H239" s="133"/>
      <c r="I239" s="188">
        <v>17439.46</v>
      </c>
      <c r="J239" s="188">
        <v>21478.959999999999</v>
      </c>
      <c r="K239" s="188">
        <v>22729.96</v>
      </c>
      <c r="L239" s="188">
        <v>24130.959999999999</v>
      </c>
      <c r="M239" s="70"/>
      <c r="N239" s="188">
        <v>22924.05</v>
      </c>
      <c r="O239" s="188">
        <v>23172.05</v>
      </c>
      <c r="P239" s="188">
        <v>23167.05</v>
      </c>
      <c r="Q239" s="133"/>
      <c r="R239" s="133"/>
      <c r="S239" s="188">
        <v>10744.05</v>
      </c>
      <c r="T239" s="188">
        <v>12357.05</v>
      </c>
      <c r="U239" s="188">
        <v>12715.05</v>
      </c>
      <c r="V239" s="61"/>
      <c r="W239" s="58"/>
      <c r="X239" s="188">
        <v>27149</v>
      </c>
      <c r="Y239" s="188">
        <v>27149</v>
      </c>
      <c r="Z239" s="133"/>
      <c r="AA239" s="133"/>
      <c r="AB239" s="133"/>
      <c r="AC239" s="188">
        <v>8730</v>
      </c>
      <c r="AD239" s="188">
        <v>9962</v>
      </c>
      <c r="AE239" s="61"/>
      <c r="AF239" s="65"/>
      <c r="AG239" s="58"/>
      <c r="AH239" s="188">
        <v>27383.5</v>
      </c>
      <c r="AI239" s="133"/>
      <c r="AJ239" s="133"/>
      <c r="AK239" s="133"/>
      <c r="AL239" s="133"/>
      <c r="AM239" s="188">
        <v>12538</v>
      </c>
      <c r="AN239" s="135"/>
      <c r="AO239" s="135"/>
      <c r="AP239" s="135"/>
    </row>
    <row r="240" spans="1:42" x14ac:dyDescent="0.25">
      <c r="A240" t="s">
        <v>71</v>
      </c>
      <c r="B240" t="s">
        <v>46</v>
      </c>
      <c r="C240" s="212" t="str">
        <f t="shared" si="3"/>
        <v>Hamilton Family</v>
      </c>
      <c r="D240" s="188">
        <v>6207</v>
      </c>
      <c r="E240" s="188">
        <v>6207</v>
      </c>
      <c r="F240" s="188">
        <v>6207</v>
      </c>
      <c r="G240" s="188">
        <v>6207</v>
      </c>
      <c r="H240" s="127"/>
      <c r="I240" s="188">
        <v>5091</v>
      </c>
      <c r="J240" s="188">
        <v>5091</v>
      </c>
      <c r="K240" s="188">
        <v>5091</v>
      </c>
      <c r="L240" s="188">
        <v>5091</v>
      </c>
      <c r="M240" s="70"/>
      <c r="N240" s="188">
        <v>6491</v>
      </c>
      <c r="O240" s="188">
        <v>6491</v>
      </c>
      <c r="P240" s="188">
        <v>6491</v>
      </c>
      <c r="Q240" s="127"/>
      <c r="R240" s="127"/>
      <c r="S240" s="188">
        <v>6196</v>
      </c>
      <c r="T240" s="188">
        <v>6196</v>
      </c>
      <c r="U240" s="188">
        <v>6196</v>
      </c>
      <c r="V240" s="61"/>
      <c r="W240" s="58"/>
      <c r="X240" s="188">
        <v>4070</v>
      </c>
      <c r="Y240" s="188">
        <v>4070</v>
      </c>
      <c r="Z240" s="127"/>
      <c r="AA240" s="127"/>
      <c r="AB240" s="127"/>
      <c r="AC240" s="188">
        <v>3652</v>
      </c>
      <c r="AD240" s="188">
        <v>4070</v>
      </c>
      <c r="AE240" s="61"/>
      <c r="AF240" s="65"/>
      <c r="AG240" s="58"/>
      <c r="AH240" s="188">
        <v>4880</v>
      </c>
      <c r="AI240" s="127"/>
      <c r="AJ240" s="127"/>
      <c r="AK240" s="127"/>
      <c r="AL240" s="127"/>
      <c r="AM240" s="188">
        <v>2786</v>
      </c>
      <c r="AN240" s="135"/>
      <c r="AO240" s="135"/>
      <c r="AP240" s="135"/>
    </row>
    <row r="241" spans="1:42" x14ac:dyDescent="0.25">
      <c r="A241" t="s">
        <v>71</v>
      </c>
      <c r="B241" t="s">
        <v>40</v>
      </c>
      <c r="C241" s="212" t="str">
        <f t="shared" si="3"/>
        <v>Hamilton Juvenile Delinquency</v>
      </c>
      <c r="D241" s="188">
        <v>0</v>
      </c>
      <c r="E241" s="188">
        <v>0</v>
      </c>
      <c r="F241" s="188">
        <v>0</v>
      </c>
      <c r="G241" s="188">
        <v>0</v>
      </c>
      <c r="H241" s="237"/>
      <c r="I241" s="188">
        <v>0</v>
      </c>
      <c r="J241" s="188">
        <v>0</v>
      </c>
      <c r="K241" s="188">
        <v>0</v>
      </c>
      <c r="L241" s="188">
        <v>0</v>
      </c>
      <c r="N241" s="188">
        <v>0</v>
      </c>
      <c r="O241" s="188">
        <v>0</v>
      </c>
      <c r="P241" s="188">
        <v>0</v>
      </c>
      <c r="Q241" s="237"/>
      <c r="R241" s="134"/>
      <c r="S241" s="188">
        <v>0</v>
      </c>
      <c r="T241" s="188">
        <v>0</v>
      </c>
      <c r="U241" s="188">
        <v>0</v>
      </c>
      <c r="X241" s="188">
        <v>0</v>
      </c>
      <c r="Y241" s="188">
        <v>0</v>
      </c>
      <c r="Z241" s="237"/>
      <c r="AA241" s="134"/>
      <c r="AB241" s="134"/>
      <c r="AC241" s="188">
        <v>0</v>
      </c>
      <c r="AD241" s="188">
        <v>0</v>
      </c>
      <c r="AH241" s="188">
        <v>0</v>
      </c>
      <c r="AI241" s="237"/>
      <c r="AJ241" s="134"/>
      <c r="AK241" s="134"/>
      <c r="AL241" s="134"/>
      <c r="AM241" s="188">
        <v>0</v>
      </c>
    </row>
    <row r="242" spans="1:42" x14ac:dyDescent="0.25">
      <c r="A242" t="s">
        <v>71</v>
      </c>
      <c r="B242" t="s">
        <v>45</v>
      </c>
      <c r="C242" s="212" t="str">
        <f t="shared" si="3"/>
        <v>Hamilton Probate</v>
      </c>
      <c r="D242" s="188">
        <v>4113</v>
      </c>
      <c r="E242" s="188">
        <v>4113</v>
      </c>
      <c r="F242" s="188">
        <v>4113</v>
      </c>
      <c r="G242" s="188">
        <v>4113</v>
      </c>
      <c r="H242" s="127"/>
      <c r="I242" s="188">
        <v>4113</v>
      </c>
      <c r="J242" s="188">
        <v>4113</v>
      </c>
      <c r="K242" s="188">
        <v>4113</v>
      </c>
      <c r="L242" s="188">
        <v>4113</v>
      </c>
      <c r="M242" s="70"/>
      <c r="N242" s="188">
        <v>4876</v>
      </c>
      <c r="O242" s="188">
        <v>4876</v>
      </c>
      <c r="P242" s="188">
        <v>4876</v>
      </c>
      <c r="Q242" s="127"/>
      <c r="R242" s="127"/>
      <c r="S242" s="188">
        <v>4531</v>
      </c>
      <c r="T242" s="188">
        <v>4876</v>
      </c>
      <c r="U242" s="188">
        <v>4876</v>
      </c>
      <c r="V242" s="61"/>
      <c r="W242" s="58"/>
      <c r="X242" s="188">
        <v>4098</v>
      </c>
      <c r="Y242" s="188">
        <v>4098</v>
      </c>
      <c r="Z242" s="127"/>
      <c r="AA242" s="127"/>
      <c r="AB242" s="127"/>
      <c r="AC242" s="188">
        <v>2718</v>
      </c>
      <c r="AD242" s="188">
        <v>3698</v>
      </c>
      <c r="AE242" s="61"/>
      <c r="AF242" s="65"/>
      <c r="AG242" s="58"/>
      <c r="AH242" s="188">
        <v>1672</v>
      </c>
      <c r="AI242" s="127"/>
      <c r="AJ242" s="127"/>
      <c r="AK242" s="127"/>
      <c r="AL242" s="127"/>
      <c r="AM242" s="188">
        <v>1672</v>
      </c>
      <c r="AN242" s="135"/>
      <c r="AO242" s="135"/>
      <c r="AP242" s="135"/>
    </row>
    <row r="243" spans="1:42" x14ac:dyDescent="0.25">
      <c r="A243" t="s">
        <v>72</v>
      </c>
      <c r="B243" t="s">
        <v>42</v>
      </c>
      <c r="C243" s="212" t="str">
        <f t="shared" si="3"/>
        <v>Hardee Circuit Civil</v>
      </c>
      <c r="D243" s="188">
        <v>507324.5</v>
      </c>
      <c r="E243" s="188">
        <v>507324.5</v>
      </c>
      <c r="F243" s="188">
        <v>507324.5</v>
      </c>
      <c r="G243" s="188">
        <v>507324.5</v>
      </c>
      <c r="H243" s="127"/>
      <c r="I243" s="188">
        <v>506072.71</v>
      </c>
      <c r="J243" s="188">
        <v>506047.5</v>
      </c>
      <c r="K243" s="188">
        <v>506057.5</v>
      </c>
      <c r="L243" s="188">
        <v>506057.5</v>
      </c>
      <c r="M243" s="70"/>
      <c r="N243" s="188">
        <v>98410.85</v>
      </c>
      <c r="O243" s="188">
        <v>96492.85</v>
      </c>
      <c r="P243" s="188">
        <v>96492.85</v>
      </c>
      <c r="Q243" s="127"/>
      <c r="R243" s="127"/>
      <c r="S243" s="188">
        <v>95688.85</v>
      </c>
      <c r="T243" s="188">
        <v>95688.85</v>
      </c>
      <c r="U243" s="188">
        <v>95688.85</v>
      </c>
      <c r="V243" s="61"/>
      <c r="W243" s="58"/>
      <c r="X243" s="188">
        <v>268063.92</v>
      </c>
      <c r="Y243" s="188">
        <v>268063.92</v>
      </c>
      <c r="Z243" s="127"/>
      <c r="AA243" s="127"/>
      <c r="AB243" s="127"/>
      <c r="AC243" s="188">
        <v>164323.37</v>
      </c>
      <c r="AD243" s="188">
        <v>164323.37</v>
      </c>
      <c r="AE243" s="61"/>
      <c r="AF243" s="65"/>
      <c r="AG243" s="58"/>
      <c r="AH243" s="188">
        <v>165814</v>
      </c>
      <c r="AI243" s="127"/>
      <c r="AJ243" s="127"/>
      <c r="AK243" s="127"/>
      <c r="AL243" s="127"/>
      <c r="AM243" s="188">
        <v>165038.97</v>
      </c>
      <c r="AN243" s="135"/>
      <c r="AO243" s="135"/>
      <c r="AP243" s="135"/>
    </row>
    <row r="244" spans="1:42" x14ac:dyDescent="0.25">
      <c r="A244" t="s">
        <v>72</v>
      </c>
      <c r="B244" t="s">
        <v>38</v>
      </c>
      <c r="C244" s="212" t="str">
        <f t="shared" si="3"/>
        <v>Hardee Circuit Criminal</v>
      </c>
      <c r="D244" s="188">
        <v>83532.5</v>
      </c>
      <c r="E244" s="188">
        <v>83532.5</v>
      </c>
      <c r="F244" s="188">
        <v>83532.5</v>
      </c>
      <c r="G244" s="188">
        <v>83532.5</v>
      </c>
      <c r="H244" s="127"/>
      <c r="I244" s="188">
        <v>718.35</v>
      </c>
      <c r="J244" s="188">
        <v>2911.54</v>
      </c>
      <c r="K244" s="188">
        <v>4608.2</v>
      </c>
      <c r="L244" s="188">
        <v>6811.58</v>
      </c>
      <c r="M244" s="70"/>
      <c r="N244" s="188">
        <v>216213.2</v>
      </c>
      <c r="O244" s="188">
        <v>214643.20000000001</v>
      </c>
      <c r="P244" s="188">
        <v>214643.20000000001</v>
      </c>
      <c r="Q244" s="127"/>
      <c r="R244" s="127"/>
      <c r="S244" s="188">
        <v>4228.9799999999996</v>
      </c>
      <c r="T244" s="188">
        <v>5714.49</v>
      </c>
      <c r="U244" s="188">
        <v>7251.4</v>
      </c>
      <c r="V244" s="61"/>
      <c r="W244" s="58"/>
      <c r="X244" s="188">
        <v>168535</v>
      </c>
      <c r="Y244" s="188">
        <v>168535</v>
      </c>
      <c r="Z244" s="127"/>
      <c r="AA244" s="127"/>
      <c r="AB244" s="127"/>
      <c r="AC244" s="188">
        <v>2267.06</v>
      </c>
      <c r="AD244" s="188">
        <v>7633.81</v>
      </c>
      <c r="AE244" s="61"/>
      <c r="AF244" s="65"/>
      <c r="AG244" s="58"/>
      <c r="AH244" s="188">
        <v>114460.47</v>
      </c>
      <c r="AI244" s="127"/>
      <c r="AJ244" s="127"/>
      <c r="AK244" s="127"/>
      <c r="AL244" s="127"/>
      <c r="AM244" s="188">
        <v>2070.9</v>
      </c>
      <c r="AN244" s="135"/>
      <c r="AO244" s="135"/>
      <c r="AP244" s="135"/>
    </row>
    <row r="245" spans="1:42" x14ac:dyDescent="0.25">
      <c r="A245" t="s">
        <v>72</v>
      </c>
      <c r="B245" t="s">
        <v>265</v>
      </c>
      <c r="C245" s="212" t="str">
        <f t="shared" si="3"/>
        <v>Hardee Circuit Criminal Drug Cases</v>
      </c>
      <c r="D245" s="188">
        <v>0</v>
      </c>
      <c r="E245" s="188">
        <v>0</v>
      </c>
      <c r="F245" s="188">
        <v>0</v>
      </c>
      <c r="G245" s="188">
        <v>0</v>
      </c>
      <c r="H245" s="63"/>
      <c r="I245" s="188">
        <v>0</v>
      </c>
      <c r="J245" s="188">
        <v>0</v>
      </c>
      <c r="K245" s="188">
        <v>0</v>
      </c>
      <c r="L245" s="188">
        <v>0</v>
      </c>
      <c r="N245" s="188">
        <v>0</v>
      </c>
      <c r="O245" s="188">
        <v>0</v>
      </c>
      <c r="P245" s="188">
        <v>0</v>
      </c>
      <c r="Q245" s="63"/>
      <c r="R245" s="63"/>
      <c r="S245" s="188">
        <v>0</v>
      </c>
      <c r="T245" s="188">
        <v>0</v>
      </c>
      <c r="U245" s="188">
        <v>0</v>
      </c>
      <c r="X245" s="188">
        <v>0</v>
      </c>
      <c r="Y245" s="188">
        <v>0</v>
      </c>
      <c r="Z245" s="63"/>
      <c r="AB245" s="63"/>
      <c r="AC245" s="188">
        <v>0</v>
      </c>
      <c r="AD245" s="188">
        <v>0</v>
      </c>
      <c r="AH245" s="188">
        <v>0</v>
      </c>
      <c r="AI245" s="63"/>
      <c r="AL245" s="63"/>
      <c r="AM245" s="188">
        <v>0</v>
      </c>
    </row>
    <row r="246" spans="1:42" x14ac:dyDescent="0.25">
      <c r="A246" t="s">
        <v>72</v>
      </c>
      <c r="B246" t="s">
        <v>44</v>
      </c>
      <c r="C246" s="212" t="str">
        <f t="shared" si="3"/>
        <v>Hardee Civil Traffic</v>
      </c>
      <c r="D246" s="188">
        <v>251814.55</v>
      </c>
      <c r="E246" s="188">
        <v>250122.8</v>
      </c>
      <c r="F246" s="188">
        <v>249959.8</v>
      </c>
      <c r="G246" s="188">
        <v>247319.04000000001</v>
      </c>
      <c r="H246" s="127"/>
      <c r="I246" s="188">
        <v>135406.5</v>
      </c>
      <c r="J246" s="188">
        <v>216321.23</v>
      </c>
      <c r="K246" s="188">
        <v>227827.7</v>
      </c>
      <c r="L246" s="188">
        <v>229158.85</v>
      </c>
      <c r="M246" s="70"/>
      <c r="N246" s="188">
        <v>257880.3</v>
      </c>
      <c r="O246" s="188">
        <v>257537.45</v>
      </c>
      <c r="P246" s="188">
        <v>257434.45</v>
      </c>
      <c r="Q246" s="127"/>
      <c r="R246" s="127"/>
      <c r="S246" s="188">
        <v>139842.29999999999</v>
      </c>
      <c r="T246" s="188">
        <v>223386.45</v>
      </c>
      <c r="U246" s="188">
        <v>236836.45</v>
      </c>
      <c r="V246" s="61"/>
      <c r="W246" s="58"/>
      <c r="X246" s="188">
        <v>203701.25</v>
      </c>
      <c r="Y246" s="188">
        <v>200004.75</v>
      </c>
      <c r="Z246" s="127"/>
      <c r="AA246" s="127"/>
      <c r="AB246" s="127"/>
      <c r="AC246" s="188">
        <v>103798.25</v>
      </c>
      <c r="AD246" s="188">
        <v>167399.75</v>
      </c>
      <c r="AE246" s="61"/>
      <c r="AF246" s="65"/>
      <c r="AG246" s="58"/>
      <c r="AH246" s="188">
        <v>199539</v>
      </c>
      <c r="AI246" s="127"/>
      <c r="AJ246" s="127"/>
      <c r="AK246" s="127"/>
      <c r="AL246" s="127"/>
      <c r="AM246" s="188">
        <v>95179.86</v>
      </c>
      <c r="AN246" s="135"/>
      <c r="AO246" s="135"/>
      <c r="AP246" s="135"/>
    </row>
    <row r="247" spans="1:42" x14ac:dyDescent="0.25">
      <c r="A247" t="s">
        <v>72</v>
      </c>
      <c r="B247" t="s">
        <v>43</v>
      </c>
      <c r="C247" s="212" t="str">
        <f t="shared" si="3"/>
        <v>Hardee County Civil</v>
      </c>
      <c r="D247" s="188">
        <v>13682.2</v>
      </c>
      <c r="E247" s="188">
        <v>13682.2</v>
      </c>
      <c r="F247" s="188">
        <v>13682.2</v>
      </c>
      <c r="G247" s="188">
        <v>13682.2</v>
      </c>
      <c r="H247" s="127"/>
      <c r="I247" s="188">
        <v>13672.2</v>
      </c>
      <c r="J247" s="188">
        <v>13672.2</v>
      </c>
      <c r="K247" s="188">
        <v>13672.2</v>
      </c>
      <c r="L247" s="188">
        <v>13672.2</v>
      </c>
      <c r="M247" s="70"/>
      <c r="N247" s="188">
        <v>13570</v>
      </c>
      <c r="O247" s="188">
        <v>13570</v>
      </c>
      <c r="P247" s="188">
        <v>13570</v>
      </c>
      <c r="Q247" s="127"/>
      <c r="R247" s="127"/>
      <c r="S247" s="188">
        <v>12860</v>
      </c>
      <c r="T247" s="188">
        <v>13385</v>
      </c>
      <c r="U247" s="188">
        <v>13385</v>
      </c>
      <c r="V247" s="61"/>
      <c r="W247" s="58"/>
      <c r="X247" s="188">
        <v>13497</v>
      </c>
      <c r="Y247" s="188">
        <v>13497</v>
      </c>
      <c r="Z247" s="127"/>
      <c r="AA247" s="127"/>
      <c r="AB247" s="127"/>
      <c r="AC247" s="188">
        <v>13487</v>
      </c>
      <c r="AD247" s="188">
        <v>13487</v>
      </c>
      <c r="AE247" s="61"/>
      <c r="AF247" s="65"/>
      <c r="AG247" s="58"/>
      <c r="AH247" s="188">
        <v>14480</v>
      </c>
      <c r="AI247" s="127"/>
      <c r="AJ247" s="127"/>
      <c r="AK247" s="127"/>
      <c r="AL247" s="127"/>
      <c r="AM247" s="188">
        <v>14160</v>
      </c>
      <c r="AN247" s="135"/>
      <c r="AO247" s="135"/>
      <c r="AP247" s="135"/>
    </row>
    <row r="248" spans="1:42" x14ac:dyDescent="0.25">
      <c r="A248" t="s">
        <v>72</v>
      </c>
      <c r="B248" t="s">
        <v>39</v>
      </c>
      <c r="C248" s="212" t="str">
        <f t="shared" si="3"/>
        <v>Hardee County Criminal</v>
      </c>
      <c r="D248" s="188">
        <v>35960</v>
      </c>
      <c r="E248" s="188">
        <v>35600</v>
      </c>
      <c r="F248" s="188">
        <v>35600</v>
      </c>
      <c r="G248" s="188">
        <v>34823</v>
      </c>
      <c r="H248" s="127"/>
      <c r="I248" s="188">
        <v>4884</v>
      </c>
      <c r="J248" s="188">
        <v>8374</v>
      </c>
      <c r="K248" s="188">
        <v>9379</v>
      </c>
      <c r="L248" s="188">
        <v>10224</v>
      </c>
      <c r="M248" s="70"/>
      <c r="N248" s="188">
        <v>37050.82</v>
      </c>
      <c r="O248" s="188">
        <v>36837.82</v>
      </c>
      <c r="P248" s="188">
        <v>36567.82</v>
      </c>
      <c r="Q248" s="127"/>
      <c r="R248" s="127"/>
      <c r="S248" s="188">
        <v>11570.35</v>
      </c>
      <c r="T248" s="188">
        <v>15972.35</v>
      </c>
      <c r="U248" s="188">
        <v>18559.349999999999</v>
      </c>
      <c r="V248" s="61"/>
      <c r="W248" s="58"/>
      <c r="X248" s="188">
        <v>39061</v>
      </c>
      <c r="Y248" s="188">
        <v>38938</v>
      </c>
      <c r="Z248" s="127"/>
      <c r="AA248" s="127"/>
      <c r="AB248" s="127"/>
      <c r="AC248" s="188">
        <v>6546</v>
      </c>
      <c r="AD248" s="188">
        <v>9571</v>
      </c>
      <c r="AE248" s="61"/>
      <c r="AF248" s="65"/>
      <c r="AG248" s="58"/>
      <c r="AH248" s="188">
        <v>32307.77</v>
      </c>
      <c r="AI248" s="127"/>
      <c r="AJ248" s="127"/>
      <c r="AK248" s="127"/>
      <c r="AL248" s="127"/>
      <c r="AM248" s="188">
        <v>6105.77</v>
      </c>
      <c r="AN248" s="135"/>
      <c r="AO248" s="135"/>
      <c r="AP248" s="135"/>
    </row>
    <row r="249" spans="1:42" x14ac:dyDescent="0.25">
      <c r="A249" t="s">
        <v>72</v>
      </c>
      <c r="B249" t="s">
        <v>41</v>
      </c>
      <c r="C249" s="212" t="str">
        <f t="shared" si="3"/>
        <v>Hardee Criminal Traffic</v>
      </c>
      <c r="D249" s="188">
        <v>65239.72</v>
      </c>
      <c r="E249" s="188">
        <v>65692.72</v>
      </c>
      <c r="F249" s="188">
        <v>64927.72</v>
      </c>
      <c r="G249" s="188">
        <v>64927.72</v>
      </c>
      <c r="H249" s="127"/>
      <c r="I249" s="188">
        <v>23140.720000000001</v>
      </c>
      <c r="J249" s="188">
        <v>38741.82</v>
      </c>
      <c r="K249" s="188">
        <v>43889.72</v>
      </c>
      <c r="L249" s="188">
        <v>47217.32</v>
      </c>
      <c r="M249" s="70"/>
      <c r="N249" s="188">
        <v>84002</v>
      </c>
      <c r="O249" s="188">
        <v>84282</v>
      </c>
      <c r="P249" s="188">
        <v>84282</v>
      </c>
      <c r="Q249" s="127"/>
      <c r="R249" s="127"/>
      <c r="S249" s="188">
        <v>41269</v>
      </c>
      <c r="T249" s="188">
        <v>54894.03</v>
      </c>
      <c r="U249" s="188">
        <v>58375.33</v>
      </c>
      <c r="V249" s="61"/>
      <c r="W249" s="58"/>
      <c r="X249" s="188">
        <v>58972.22</v>
      </c>
      <c r="Y249" s="188">
        <v>58147.22</v>
      </c>
      <c r="Z249" s="127"/>
      <c r="AA249" s="127"/>
      <c r="AB249" s="127"/>
      <c r="AC249" s="188">
        <v>27599.22</v>
      </c>
      <c r="AD249" s="188">
        <v>36414.82</v>
      </c>
      <c r="AE249" s="61"/>
      <c r="AF249" s="65"/>
      <c r="AG249" s="58"/>
      <c r="AH249" s="188">
        <v>45177.5</v>
      </c>
      <c r="AI249" s="127"/>
      <c r="AJ249" s="127"/>
      <c r="AK249" s="127"/>
      <c r="AL249" s="127"/>
      <c r="AM249" s="188">
        <v>15445.36</v>
      </c>
      <c r="AN249" s="135"/>
      <c r="AO249" s="135"/>
      <c r="AP249" s="135"/>
    </row>
    <row r="250" spans="1:42" x14ac:dyDescent="0.25">
      <c r="A250" t="s">
        <v>72</v>
      </c>
      <c r="B250" t="s">
        <v>46</v>
      </c>
      <c r="C250" s="212" t="str">
        <f t="shared" si="3"/>
        <v>Hardee Family</v>
      </c>
      <c r="D250" s="188">
        <v>13186.53</v>
      </c>
      <c r="E250" s="188">
        <v>13186.53</v>
      </c>
      <c r="F250" s="188">
        <v>12778.53</v>
      </c>
      <c r="G250" s="188">
        <v>12360.53</v>
      </c>
      <c r="H250" s="127"/>
      <c r="I250" s="188">
        <v>10719.84</v>
      </c>
      <c r="J250" s="188">
        <v>11608.34</v>
      </c>
      <c r="K250" s="188">
        <v>11608.34</v>
      </c>
      <c r="L250" s="188">
        <v>11608.34</v>
      </c>
      <c r="M250" s="70"/>
      <c r="N250" s="188">
        <v>14062</v>
      </c>
      <c r="O250" s="188">
        <v>13236</v>
      </c>
      <c r="P250" s="188">
        <v>12828</v>
      </c>
      <c r="Q250" s="127"/>
      <c r="R250" s="127"/>
      <c r="S250" s="188">
        <v>11569</v>
      </c>
      <c r="T250" s="188">
        <v>11569</v>
      </c>
      <c r="U250" s="188">
        <v>11569</v>
      </c>
      <c r="V250" s="61"/>
      <c r="W250" s="58"/>
      <c r="X250" s="188">
        <v>9328</v>
      </c>
      <c r="Y250" s="188">
        <v>8920</v>
      </c>
      <c r="Z250" s="127"/>
      <c r="AA250" s="127"/>
      <c r="AB250" s="127"/>
      <c r="AC250" s="188">
        <v>6052</v>
      </c>
      <c r="AD250" s="188">
        <v>6452</v>
      </c>
      <c r="AE250" s="61"/>
      <c r="AF250" s="65"/>
      <c r="AG250" s="58"/>
      <c r="AH250" s="188">
        <v>14165</v>
      </c>
      <c r="AI250" s="127"/>
      <c r="AJ250" s="127"/>
      <c r="AK250" s="127"/>
      <c r="AL250" s="127"/>
      <c r="AM250" s="188">
        <v>12796.05</v>
      </c>
      <c r="AN250" s="135"/>
      <c r="AO250" s="135"/>
      <c r="AP250" s="135"/>
    </row>
    <row r="251" spans="1:42" x14ac:dyDescent="0.25">
      <c r="A251" t="s">
        <v>72</v>
      </c>
      <c r="B251" t="s">
        <v>40</v>
      </c>
      <c r="C251" s="212" t="str">
        <f t="shared" si="3"/>
        <v>Hardee Juvenile Delinquency</v>
      </c>
      <c r="D251" s="188">
        <v>1909.24</v>
      </c>
      <c r="E251" s="188">
        <v>1844.75</v>
      </c>
      <c r="F251" s="188">
        <v>1844.75</v>
      </c>
      <c r="G251" s="188">
        <v>1844.75</v>
      </c>
      <c r="H251" s="127"/>
      <c r="I251" s="188">
        <v>484.75</v>
      </c>
      <c r="J251" s="188">
        <v>734.75</v>
      </c>
      <c r="K251" s="188">
        <v>734.75</v>
      </c>
      <c r="L251" s="188">
        <v>734.75</v>
      </c>
      <c r="M251" s="70"/>
      <c r="N251" s="188">
        <v>1264</v>
      </c>
      <c r="O251" s="188">
        <v>1214</v>
      </c>
      <c r="P251" s="188">
        <v>1214</v>
      </c>
      <c r="Q251" s="127"/>
      <c r="R251" s="127"/>
      <c r="S251" s="188">
        <v>671</v>
      </c>
      <c r="T251" s="188">
        <v>771</v>
      </c>
      <c r="U251" s="188">
        <v>921</v>
      </c>
      <c r="V251" s="61"/>
      <c r="W251" s="58"/>
      <c r="X251" s="188">
        <v>3152.5</v>
      </c>
      <c r="Y251" s="188">
        <v>3202.5</v>
      </c>
      <c r="Z251" s="127"/>
      <c r="AA251" s="127"/>
      <c r="AB251" s="127"/>
      <c r="AC251" s="188">
        <v>1072.5</v>
      </c>
      <c r="AD251" s="188">
        <v>1147.5</v>
      </c>
      <c r="AE251" s="61"/>
      <c r="AF251" s="65"/>
      <c r="AG251" s="58"/>
      <c r="AH251" s="188">
        <v>2000</v>
      </c>
      <c r="AI251" s="127"/>
      <c r="AJ251" s="127"/>
      <c r="AK251" s="127"/>
      <c r="AL251" s="127"/>
      <c r="AM251" s="188">
        <v>970</v>
      </c>
      <c r="AN251" s="135"/>
      <c r="AO251" s="135"/>
      <c r="AP251" s="135"/>
    </row>
    <row r="252" spans="1:42" x14ac:dyDescent="0.25">
      <c r="A252" t="s">
        <v>72</v>
      </c>
      <c r="B252" t="s">
        <v>45</v>
      </c>
      <c r="C252" s="212" t="str">
        <f t="shared" si="3"/>
        <v>Hardee Probate</v>
      </c>
      <c r="D252" s="188">
        <v>5329</v>
      </c>
      <c r="E252" s="188">
        <v>5329</v>
      </c>
      <c r="F252" s="188">
        <v>5329</v>
      </c>
      <c r="G252" s="188">
        <v>5329</v>
      </c>
      <c r="H252" s="127"/>
      <c r="I252" s="188">
        <v>5326</v>
      </c>
      <c r="J252" s="188">
        <v>5326</v>
      </c>
      <c r="K252" s="188">
        <v>5326</v>
      </c>
      <c r="L252" s="188">
        <v>5326</v>
      </c>
      <c r="M252" s="70"/>
      <c r="N252" s="188">
        <v>8009</v>
      </c>
      <c r="O252" s="188">
        <v>8009</v>
      </c>
      <c r="P252" s="188">
        <v>8009</v>
      </c>
      <c r="Q252" s="127"/>
      <c r="R252" s="127"/>
      <c r="S252" s="188">
        <v>7603</v>
      </c>
      <c r="T252" s="188">
        <v>8009</v>
      </c>
      <c r="U252" s="188">
        <v>8009</v>
      </c>
      <c r="V252" s="61"/>
      <c r="W252" s="58"/>
      <c r="X252" s="188">
        <v>9189</v>
      </c>
      <c r="Y252" s="188">
        <v>9189</v>
      </c>
      <c r="Z252" s="127"/>
      <c r="AA252" s="127"/>
      <c r="AB252" s="127"/>
      <c r="AC252" s="188">
        <v>9189</v>
      </c>
      <c r="AD252" s="188">
        <v>9189</v>
      </c>
      <c r="AE252" s="61"/>
      <c r="AF252" s="65"/>
      <c r="AG252" s="58"/>
      <c r="AH252" s="188">
        <v>5937.8</v>
      </c>
      <c r="AI252" s="127"/>
      <c r="AJ252" s="127"/>
      <c r="AK252" s="127"/>
      <c r="AL252" s="127"/>
      <c r="AM252" s="188">
        <v>5937.8</v>
      </c>
      <c r="AN252" s="135"/>
      <c r="AO252" s="135"/>
      <c r="AP252" s="135"/>
    </row>
    <row r="253" spans="1:42" x14ac:dyDescent="0.25">
      <c r="A253" t="s">
        <v>73</v>
      </c>
      <c r="B253" t="s">
        <v>42</v>
      </c>
      <c r="C253" s="212" t="str">
        <f t="shared" si="3"/>
        <v>Hendry Circuit Civil</v>
      </c>
      <c r="D253" s="188">
        <v>46368.5</v>
      </c>
      <c r="E253" s="188">
        <v>46368.5</v>
      </c>
      <c r="F253" s="188">
        <v>45968.5</v>
      </c>
      <c r="G253" s="188">
        <v>45968.5</v>
      </c>
      <c r="H253" s="127"/>
      <c r="I253" s="188">
        <v>43500</v>
      </c>
      <c r="J253" s="188">
        <v>43958.5</v>
      </c>
      <c r="K253" s="188">
        <v>43958.5</v>
      </c>
      <c r="L253" s="188">
        <v>43958.5</v>
      </c>
      <c r="M253" s="70"/>
      <c r="N253" s="188">
        <v>40133.5</v>
      </c>
      <c r="O253" s="188">
        <v>40133.5</v>
      </c>
      <c r="P253" s="188">
        <v>40133.5</v>
      </c>
      <c r="Q253" s="127"/>
      <c r="R253" s="127"/>
      <c r="S253" s="188">
        <v>39677.5</v>
      </c>
      <c r="T253" s="188">
        <v>40143.5</v>
      </c>
      <c r="U253" s="188">
        <v>40143.5</v>
      </c>
      <c r="V253" s="61"/>
      <c r="W253" s="58"/>
      <c r="X253" s="188">
        <v>42799</v>
      </c>
      <c r="Y253" s="188">
        <v>42799</v>
      </c>
      <c r="Z253" s="127"/>
      <c r="AA253" s="127"/>
      <c r="AB253" s="127"/>
      <c r="AC253" s="188">
        <v>42399</v>
      </c>
      <c r="AD253" s="188">
        <v>42399</v>
      </c>
      <c r="AE253" s="61"/>
      <c r="AF253" s="65"/>
      <c r="AG253" s="58"/>
      <c r="AH253" s="188">
        <v>40293</v>
      </c>
      <c r="AI253" s="127"/>
      <c r="AJ253" s="127"/>
      <c r="AK253" s="127"/>
      <c r="AL253" s="127"/>
      <c r="AM253" s="188">
        <v>39083</v>
      </c>
      <c r="AN253" s="135"/>
      <c r="AO253" s="135"/>
      <c r="AP253" s="135"/>
    </row>
    <row r="254" spans="1:42" x14ac:dyDescent="0.25">
      <c r="A254" t="s">
        <v>73</v>
      </c>
      <c r="B254" t="s">
        <v>38</v>
      </c>
      <c r="C254" s="212" t="str">
        <f t="shared" si="3"/>
        <v>Hendry Circuit Criminal</v>
      </c>
      <c r="D254" s="188">
        <v>51365</v>
      </c>
      <c r="E254" s="188">
        <v>51365</v>
      </c>
      <c r="F254" s="188">
        <v>51365</v>
      </c>
      <c r="G254" s="188">
        <v>51365</v>
      </c>
      <c r="H254" s="127"/>
      <c r="I254" s="188">
        <v>2898.82</v>
      </c>
      <c r="J254" s="188">
        <v>6900.53</v>
      </c>
      <c r="K254" s="188">
        <v>10443.1</v>
      </c>
      <c r="L254" s="188">
        <v>14116.05</v>
      </c>
      <c r="M254" s="70"/>
      <c r="N254" s="188">
        <v>53628.5</v>
      </c>
      <c r="O254" s="188">
        <v>53628.5</v>
      </c>
      <c r="P254" s="188">
        <v>53628.5</v>
      </c>
      <c r="Q254" s="127"/>
      <c r="R254" s="127"/>
      <c r="S254" s="188">
        <v>3791.81</v>
      </c>
      <c r="T254" s="188">
        <v>9357.17</v>
      </c>
      <c r="U254" s="188">
        <v>12757.03</v>
      </c>
      <c r="V254" s="61"/>
      <c r="W254" s="58"/>
      <c r="X254" s="188">
        <v>114058.5</v>
      </c>
      <c r="Y254" s="188">
        <v>114058.5</v>
      </c>
      <c r="Z254" s="127"/>
      <c r="AA254" s="127"/>
      <c r="AB254" s="127"/>
      <c r="AC254" s="188">
        <v>18590.5</v>
      </c>
      <c r="AD254" s="188">
        <v>22634.85</v>
      </c>
      <c r="AE254" s="61"/>
      <c r="AF254" s="65"/>
      <c r="AG254" s="58"/>
      <c r="AH254" s="188">
        <v>65312</v>
      </c>
      <c r="AI254" s="127"/>
      <c r="AJ254" s="127"/>
      <c r="AK254" s="127"/>
      <c r="AL254" s="127"/>
      <c r="AM254" s="188">
        <v>7648.65</v>
      </c>
      <c r="AN254" s="135"/>
      <c r="AO254" s="135"/>
      <c r="AP254" s="135"/>
    </row>
    <row r="255" spans="1:42" x14ac:dyDescent="0.25">
      <c r="A255" t="s">
        <v>73</v>
      </c>
      <c r="B255" t="s">
        <v>265</v>
      </c>
      <c r="C255" s="212" t="str">
        <f t="shared" si="3"/>
        <v>Hendry Circuit Criminal Drug Cases</v>
      </c>
      <c r="D255" s="188">
        <v>0</v>
      </c>
      <c r="E255" s="188">
        <v>0</v>
      </c>
      <c r="F255" s="188">
        <v>0</v>
      </c>
      <c r="G255" s="188">
        <v>0</v>
      </c>
      <c r="H255" s="63"/>
      <c r="I255" s="188">
        <v>0</v>
      </c>
      <c r="J255" s="188">
        <v>0</v>
      </c>
      <c r="K255" s="188">
        <v>0</v>
      </c>
      <c r="L255" s="188">
        <v>0</v>
      </c>
      <c r="N255" s="188">
        <v>0</v>
      </c>
      <c r="O255" s="188">
        <v>0</v>
      </c>
      <c r="P255" s="188">
        <v>0</v>
      </c>
      <c r="Q255" s="63"/>
      <c r="R255" s="63"/>
      <c r="S255" s="188">
        <v>0</v>
      </c>
      <c r="T255" s="188">
        <v>0</v>
      </c>
      <c r="U255" s="188">
        <v>0</v>
      </c>
      <c r="X255" s="188">
        <v>0</v>
      </c>
      <c r="Y255" s="188">
        <v>0</v>
      </c>
      <c r="Z255" s="63"/>
      <c r="AB255" s="63"/>
      <c r="AC255" s="188">
        <v>0</v>
      </c>
      <c r="AD255" s="188">
        <v>0</v>
      </c>
      <c r="AH255" s="188">
        <v>0</v>
      </c>
      <c r="AI255" s="63"/>
      <c r="AL255" s="63"/>
      <c r="AM255" s="188">
        <v>0</v>
      </c>
    </row>
    <row r="256" spans="1:42" x14ac:dyDescent="0.25">
      <c r="A256" t="s">
        <v>73</v>
      </c>
      <c r="B256" t="s">
        <v>44</v>
      </c>
      <c r="C256" s="212" t="str">
        <f t="shared" si="3"/>
        <v>Hendry Civil Traffic</v>
      </c>
      <c r="D256" s="188">
        <v>222481.25</v>
      </c>
      <c r="E256" s="188">
        <v>222481.25</v>
      </c>
      <c r="F256" s="188">
        <v>222481.25</v>
      </c>
      <c r="G256" s="188">
        <v>222481.25</v>
      </c>
      <c r="H256" s="127"/>
      <c r="I256" s="188">
        <v>90681.71</v>
      </c>
      <c r="J256" s="188">
        <v>161520.85</v>
      </c>
      <c r="K256" s="188">
        <v>192590.85</v>
      </c>
      <c r="L256" s="188">
        <v>199806.85</v>
      </c>
      <c r="M256" s="70"/>
      <c r="N256" s="188">
        <v>323178.40000000002</v>
      </c>
      <c r="O256" s="188">
        <v>319179.90000000002</v>
      </c>
      <c r="P256" s="188">
        <v>312638.90000000002</v>
      </c>
      <c r="Q256" s="127"/>
      <c r="R256" s="127"/>
      <c r="S256" s="188">
        <v>124325.57</v>
      </c>
      <c r="T256" s="188">
        <v>210135.73</v>
      </c>
      <c r="U256" s="188">
        <v>247045.29</v>
      </c>
      <c r="V256" s="61"/>
      <c r="W256" s="58"/>
      <c r="X256" s="188">
        <v>279466.15000000002</v>
      </c>
      <c r="Y256" s="188">
        <v>279466.15000000002</v>
      </c>
      <c r="Z256" s="127"/>
      <c r="AA256" s="127"/>
      <c r="AB256" s="127"/>
      <c r="AC256" s="188">
        <v>111213.07</v>
      </c>
      <c r="AD256" s="188">
        <v>192752.04</v>
      </c>
      <c r="AE256" s="61"/>
      <c r="AF256" s="65"/>
      <c r="AG256" s="58"/>
      <c r="AH256" s="188">
        <v>270473.40000000002</v>
      </c>
      <c r="AI256" s="127"/>
      <c r="AJ256" s="127"/>
      <c r="AK256" s="127"/>
      <c r="AL256" s="127"/>
      <c r="AM256" s="188">
        <v>106216.5</v>
      </c>
      <c r="AN256" s="135"/>
      <c r="AO256" s="135"/>
      <c r="AP256" s="135"/>
    </row>
    <row r="257" spans="1:42" x14ac:dyDescent="0.25">
      <c r="A257" t="s">
        <v>73</v>
      </c>
      <c r="B257" t="s">
        <v>43</v>
      </c>
      <c r="C257" s="212" t="str">
        <f t="shared" si="3"/>
        <v>Hendry County Civil</v>
      </c>
      <c r="D257" s="188">
        <v>26891.5</v>
      </c>
      <c r="E257" s="188">
        <v>26891.5</v>
      </c>
      <c r="F257" s="188">
        <v>26891.5</v>
      </c>
      <c r="G257" s="188">
        <v>26891.5</v>
      </c>
      <c r="H257" s="126"/>
      <c r="I257" s="188">
        <v>26890.5</v>
      </c>
      <c r="J257" s="188">
        <v>26890.5</v>
      </c>
      <c r="K257" s="188">
        <v>26890.5</v>
      </c>
      <c r="L257" s="188">
        <v>26890.5</v>
      </c>
      <c r="M257" s="70"/>
      <c r="N257" s="188">
        <v>21205.5</v>
      </c>
      <c r="O257" s="188">
        <v>21205.5</v>
      </c>
      <c r="P257" s="188">
        <v>21205.5</v>
      </c>
      <c r="Q257" s="130"/>
      <c r="R257" s="131"/>
      <c r="S257" s="188">
        <v>20650.5</v>
      </c>
      <c r="T257" s="188">
        <v>20650.5</v>
      </c>
      <c r="U257" s="188">
        <v>20650.5</v>
      </c>
      <c r="V257" s="61"/>
      <c r="W257" s="58"/>
      <c r="X257" s="188">
        <v>28838</v>
      </c>
      <c r="Y257" s="188">
        <v>28838</v>
      </c>
      <c r="Z257" s="130"/>
      <c r="AA257" s="127"/>
      <c r="AB257" s="131"/>
      <c r="AC257" s="188">
        <v>27913</v>
      </c>
      <c r="AD257" s="188">
        <v>27913</v>
      </c>
      <c r="AE257" s="61"/>
      <c r="AF257" s="65"/>
      <c r="AG257" s="58"/>
      <c r="AH257" s="188">
        <v>29567</v>
      </c>
      <c r="AI257" s="130"/>
      <c r="AJ257" s="127"/>
      <c r="AK257" s="127"/>
      <c r="AL257" s="131"/>
      <c r="AM257" s="188">
        <v>29257</v>
      </c>
      <c r="AN257" s="135"/>
      <c r="AO257" s="135"/>
      <c r="AP257" s="135"/>
    </row>
    <row r="258" spans="1:42" x14ac:dyDescent="0.25">
      <c r="A258" t="s">
        <v>73</v>
      </c>
      <c r="B258" t="s">
        <v>39</v>
      </c>
      <c r="C258" s="212" t="str">
        <f t="shared" si="3"/>
        <v>Hendry County Criminal</v>
      </c>
      <c r="D258" s="188">
        <v>67137</v>
      </c>
      <c r="E258" s="188">
        <v>64477</v>
      </c>
      <c r="F258" s="188">
        <v>63483</v>
      </c>
      <c r="G258" s="188">
        <v>61929</v>
      </c>
      <c r="H258" s="127"/>
      <c r="I258" s="188">
        <v>14010.41</v>
      </c>
      <c r="J258" s="188">
        <v>27871.18</v>
      </c>
      <c r="K258" s="188">
        <v>34416.269999999997</v>
      </c>
      <c r="L258" s="188">
        <v>37652.269999999997</v>
      </c>
      <c r="M258" s="70"/>
      <c r="N258" s="188">
        <v>76896</v>
      </c>
      <c r="O258" s="188">
        <v>75033</v>
      </c>
      <c r="P258" s="188">
        <v>72291.33</v>
      </c>
      <c r="Q258" s="127"/>
      <c r="R258" s="127"/>
      <c r="S258" s="188">
        <v>17398.73</v>
      </c>
      <c r="T258" s="188">
        <v>34360</v>
      </c>
      <c r="U258" s="188">
        <v>43006.12</v>
      </c>
      <c r="V258" s="61"/>
      <c r="W258" s="58"/>
      <c r="X258" s="188">
        <v>87749.75</v>
      </c>
      <c r="Y258" s="188">
        <v>82044.75</v>
      </c>
      <c r="Z258" s="127"/>
      <c r="AA258" s="127"/>
      <c r="AB258" s="127"/>
      <c r="AC258" s="188">
        <v>25133.27</v>
      </c>
      <c r="AD258" s="188">
        <v>34343.730000000003</v>
      </c>
      <c r="AE258" s="61"/>
      <c r="AF258" s="65"/>
      <c r="AG258" s="58"/>
      <c r="AH258" s="188">
        <v>102673.5</v>
      </c>
      <c r="AI258" s="127"/>
      <c r="AJ258" s="127"/>
      <c r="AK258" s="127"/>
      <c r="AL258" s="127"/>
      <c r="AM258" s="188">
        <v>23589.85</v>
      </c>
      <c r="AN258" s="135"/>
      <c r="AO258" s="135"/>
      <c r="AP258" s="135"/>
    </row>
    <row r="259" spans="1:42" x14ac:dyDescent="0.25">
      <c r="A259" t="s">
        <v>73</v>
      </c>
      <c r="B259" t="s">
        <v>41</v>
      </c>
      <c r="C259" s="212" t="str">
        <f t="shared" ref="C259:C322" si="4">A259&amp;" "&amp;B259</f>
        <v>Hendry Criminal Traffic</v>
      </c>
      <c r="D259" s="188">
        <v>138779.5</v>
      </c>
      <c r="E259" s="188">
        <v>134322.5</v>
      </c>
      <c r="F259" s="188">
        <v>134304.5</v>
      </c>
      <c r="G259" s="188">
        <v>131479.5</v>
      </c>
      <c r="H259" s="127"/>
      <c r="I259" s="188">
        <v>39518.28</v>
      </c>
      <c r="J259" s="188">
        <v>73295.73</v>
      </c>
      <c r="K259" s="188">
        <v>86763.81</v>
      </c>
      <c r="L259" s="188">
        <v>91815.91</v>
      </c>
      <c r="M259" s="70"/>
      <c r="N259" s="188">
        <v>158659</v>
      </c>
      <c r="O259" s="188">
        <v>156512</v>
      </c>
      <c r="P259" s="188">
        <v>153122.92000000001</v>
      </c>
      <c r="Q259" s="127"/>
      <c r="R259" s="127"/>
      <c r="S259" s="188">
        <v>49196.46</v>
      </c>
      <c r="T259" s="188">
        <v>92780.54</v>
      </c>
      <c r="U259" s="188">
        <v>108736.04</v>
      </c>
      <c r="V259" s="61"/>
      <c r="W259" s="58"/>
      <c r="X259" s="188">
        <v>194394.5</v>
      </c>
      <c r="Y259" s="188">
        <v>189127.5</v>
      </c>
      <c r="Z259" s="127"/>
      <c r="AA259" s="127"/>
      <c r="AB259" s="127"/>
      <c r="AC259" s="188">
        <v>76155.289999999994</v>
      </c>
      <c r="AD259" s="188">
        <v>112627.15</v>
      </c>
      <c r="AE259" s="61"/>
      <c r="AF259" s="65"/>
      <c r="AG259" s="58"/>
      <c r="AH259" s="188">
        <v>168171</v>
      </c>
      <c r="AI259" s="127"/>
      <c r="AJ259" s="127"/>
      <c r="AK259" s="127"/>
      <c r="AL259" s="127"/>
      <c r="AM259" s="188">
        <v>49252.55</v>
      </c>
      <c r="AN259" s="135"/>
      <c r="AO259" s="135"/>
      <c r="AP259" s="135"/>
    </row>
    <row r="260" spans="1:42" x14ac:dyDescent="0.25">
      <c r="A260" t="s">
        <v>73</v>
      </c>
      <c r="B260" t="s">
        <v>46</v>
      </c>
      <c r="C260" s="212" t="str">
        <f t="shared" si="4"/>
        <v>Hendry Family</v>
      </c>
      <c r="D260" s="188">
        <v>18686.55</v>
      </c>
      <c r="E260" s="188">
        <v>18686.55</v>
      </c>
      <c r="F260" s="188">
        <v>18544.55</v>
      </c>
      <c r="G260" s="188">
        <v>18544.55</v>
      </c>
      <c r="H260" s="126"/>
      <c r="I260" s="188">
        <v>18544.55</v>
      </c>
      <c r="J260" s="188">
        <v>18544.55</v>
      </c>
      <c r="K260" s="188">
        <v>18544.55</v>
      </c>
      <c r="L260" s="188">
        <v>18544.55</v>
      </c>
      <c r="M260" s="70"/>
      <c r="N260" s="188">
        <v>23285.65</v>
      </c>
      <c r="O260" s="188">
        <v>22877.65</v>
      </c>
      <c r="P260" s="188">
        <v>22877.65</v>
      </c>
      <c r="Q260" s="130"/>
      <c r="R260" s="131"/>
      <c r="S260" s="188">
        <v>22469.65</v>
      </c>
      <c r="T260" s="188">
        <v>22469.65</v>
      </c>
      <c r="U260" s="188">
        <v>22469.65</v>
      </c>
      <c r="V260" s="61"/>
      <c r="W260" s="58"/>
      <c r="X260" s="188">
        <v>24263.599999999999</v>
      </c>
      <c r="Y260" s="188">
        <v>24263.599999999999</v>
      </c>
      <c r="Z260" s="130"/>
      <c r="AA260" s="127"/>
      <c r="AB260" s="131"/>
      <c r="AC260" s="188">
        <v>23395.599999999999</v>
      </c>
      <c r="AD260" s="188">
        <v>23395.599999999999</v>
      </c>
      <c r="AE260" s="61"/>
      <c r="AF260" s="65"/>
      <c r="AG260" s="58"/>
      <c r="AH260" s="188">
        <v>23013.45</v>
      </c>
      <c r="AI260" s="130"/>
      <c r="AJ260" s="127"/>
      <c r="AK260" s="127"/>
      <c r="AL260" s="131"/>
      <c r="AM260" s="188">
        <v>20157.45</v>
      </c>
      <c r="AN260" s="135"/>
      <c r="AO260" s="135"/>
      <c r="AP260" s="135"/>
    </row>
    <row r="261" spans="1:42" x14ac:dyDescent="0.25">
      <c r="A261" t="s">
        <v>73</v>
      </c>
      <c r="B261" t="s">
        <v>40</v>
      </c>
      <c r="C261" s="212" t="str">
        <f t="shared" si="4"/>
        <v>Hendry Juvenile Delinquency</v>
      </c>
      <c r="D261" s="188">
        <v>477</v>
      </c>
      <c r="E261" s="188">
        <v>477</v>
      </c>
      <c r="F261" s="188">
        <v>477</v>
      </c>
      <c r="G261" s="188">
        <v>477</v>
      </c>
      <c r="H261" s="127"/>
      <c r="I261" s="188">
        <v>12</v>
      </c>
      <c r="J261" s="188">
        <v>12</v>
      </c>
      <c r="K261" s="188">
        <v>12</v>
      </c>
      <c r="L261" s="188">
        <v>12</v>
      </c>
      <c r="M261" s="70"/>
      <c r="N261" s="188">
        <v>1950</v>
      </c>
      <c r="O261" s="188">
        <v>1950</v>
      </c>
      <c r="P261" s="188">
        <v>1950</v>
      </c>
      <c r="Q261" s="127"/>
      <c r="R261" s="127"/>
      <c r="S261" s="188">
        <v>400</v>
      </c>
      <c r="T261" s="188">
        <v>450</v>
      </c>
      <c r="U261" s="188">
        <v>450</v>
      </c>
      <c r="V261" s="61"/>
      <c r="W261" s="58"/>
      <c r="X261" s="188">
        <v>1750</v>
      </c>
      <c r="Y261" s="188">
        <v>1750</v>
      </c>
      <c r="Z261" s="127"/>
      <c r="AA261" s="127"/>
      <c r="AB261" s="127"/>
      <c r="AC261" s="188">
        <v>0</v>
      </c>
      <c r="AD261" s="188">
        <v>0</v>
      </c>
      <c r="AE261" s="61"/>
      <c r="AF261" s="65"/>
      <c r="AG261" s="58"/>
      <c r="AH261" s="188">
        <v>750</v>
      </c>
      <c r="AI261" s="127"/>
      <c r="AJ261" s="127"/>
      <c r="AK261" s="127"/>
      <c r="AL261" s="127"/>
      <c r="AM261" s="188">
        <v>0</v>
      </c>
      <c r="AN261" s="135"/>
      <c r="AO261" s="135"/>
      <c r="AP261" s="135"/>
    </row>
    <row r="262" spans="1:42" x14ac:dyDescent="0.25">
      <c r="A262" t="s">
        <v>73</v>
      </c>
      <c r="B262" t="s">
        <v>45</v>
      </c>
      <c r="C262" s="212" t="str">
        <f t="shared" si="4"/>
        <v>Hendry Probate</v>
      </c>
      <c r="D262" s="188">
        <v>6645.5</v>
      </c>
      <c r="E262" s="188">
        <v>6645.5</v>
      </c>
      <c r="F262" s="188">
        <v>6645.5</v>
      </c>
      <c r="G262" s="188">
        <v>6645.5</v>
      </c>
      <c r="H262" s="127"/>
      <c r="I262" s="188">
        <v>6645.5</v>
      </c>
      <c r="J262" s="188">
        <v>6645.5</v>
      </c>
      <c r="K262" s="188">
        <v>6645.5</v>
      </c>
      <c r="L262" s="188">
        <v>6645.5</v>
      </c>
      <c r="M262" s="70"/>
      <c r="N262" s="188">
        <v>4261.5</v>
      </c>
      <c r="O262" s="188">
        <v>4261.5</v>
      </c>
      <c r="P262" s="188">
        <v>4261.5</v>
      </c>
      <c r="Q262" s="127"/>
      <c r="R262" s="127"/>
      <c r="S262" s="188">
        <v>4261.5</v>
      </c>
      <c r="T262" s="188">
        <v>4261.5</v>
      </c>
      <c r="U262" s="188">
        <v>4261.5</v>
      </c>
      <c r="V262" s="61"/>
      <c r="W262" s="58"/>
      <c r="X262" s="188">
        <v>13534.5</v>
      </c>
      <c r="Y262" s="188">
        <v>13534.5</v>
      </c>
      <c r="Z262" s="127"/>
      <c r="AA262" s="127"/>
      <c r="AB262" s="127"/>
      <c r="AC262" s="188">
        <v>12734.5</v>
      </c>
      <c r="AD262" s="188">
        <v>12734.5</v>
      </c>
      <c r="AE262" s="61"/>
      <c r="AF262" s="65"/>
      <c r="AG262" s="58"/>
      <c r="AH262" s="188">
        <v>7238.65</v>
      </c>
      <c r="AI262" s="127"/>
      <c r="AJ262" s="127"/>
      <c r="AK262" s="127"/>
      <c r="AL262" s="127"/>
      <c r="AM262" s="188">
        <v>6998.5</v>
      </c>
      <c r="AN262" s="135"/>
      <c r="AO262" s="135"/>
      <c r="AP262" s="135"/>
    </row>
    <row r="263" spans="1:42" x14ac:dyDescent="0.25">
      <c r="A263" t="s">
        <v>74</v>
      </c>
      <c r="B263" t="s">
        <v>42</v>
      </c>
      <c r="C263" s="212" t="str">
        <f t="shared" si="4"/>
        <v>Hernando Circuit Civil</v>
      </c>
      <c r="D263" s="188">
        <v>352076.07</v>
      </c>
      <c r="E263" s="188">
        <v>352420.57</v>
      </c>
      <c r="F263" s="188">
        <v>352020.57</v>
      </c>
      <c r="G263" s="188">
        <v>350093.07</v>
      </c>
      <c r="H263" s="127"/>
      <c r="I263" s="188">
        <v>343333.07</v>
      </c>
      <c r="J263" s="188">
        <v>350103.57</v>
      </c>
      <c r="K263" s="188">
        <v>350103.57</v>
      </c>
      <c r="L263" s="188">
        <v>348176.07</v>
      </c>
      <c r="M263" s="70"/>
      <c r="N263" s="188">
        <v>335740</v>
      </c>
      <c r="O263" s="188">
        <v>334940</v>
      </c>
      <c r="P263" s="188">
        <v>334940</v>
      </c>
      <c r="Q263" s="127"/>
      <c r="R263" s="127"/>
      <c r="S263" s="188">
        <v>328345.5</v>
      </c>
      <c r="T263" s="188">
        <v>334033</v>
      </c>
      <c r="U263" s="188">
        <v>334033</v>
      </c>
      <c r="V263" s="61"/>
      <c r="W263" s="58"/>
      <c r="X263" s="188">
        <v>395190.08</v>
      </c>
      <c r="Y263" s="188">
        <v>395120.08</v>
      </c>
      <c r="Z263" s="127"/>
      <c r="AA263" s="127"/>
      <c r="AB263" s="127"/>
      <c r="AC263" s="188">
        <v>383586.58</v>
      </c>
      <c r="AD263" s="188">
        <v>393709.08</v>
      </c>
      <c r="AE263" s="61"/>
      <c r="AF263" s="65"/>
      <c r="AG263" s="58"/>
      <c r="AH263" s="188">
        <v>362688.5</v>
      </c>
      <c r="AI263" s="127"/>
      <c r="AJ263" s="127"/>
      <c r="AK263" s="127"/>
      <c r="AL263" s="127"/>
      <c r="AM263" s="188">
        <v>353133.5</v>
      </c>
      <c r="AN263" s="135"/>
      <c r="AO263" s="135"/>
      <c r="AP263" s="135"/>
    </row>
    <row r="264" spans="1:42" x14ac:dyDescent="0.25">
      <c r="A264" t="s">
        <v>74</v>
      </c>
      <c r="B264" t="s">
        <v>38</v>
      </c>
      <c r="C264" s="212" t="str">
        <f t="shared" si="4"/>
        <v>Hernando Circuit Criminal</v>
      </c>
      <c r="D264" s="188">
        <v>650412.05000000005</v>
      </c>
      <c r="E264" s="188">
        <v>651334.05000000005</v>
      </c>
      <c r="F264" s="188">
        <v>643927.05000000005</v>
      </c>
      <c r="G264" s="188">
        <v>642518.15</v>
      </c>
      <c r="H264" s="127"/>
      <c r="I264" s="188">
        <v>17223.96</v>
      </c>
      <c r="J264" s="188">
        <v>29899.29</v>
      </c>
      <c r="K264" s="188">
        <v>37504.839999999997</v>
      </c>
      <c r="L264" s="188">
        <v>43115</v>
      </c>
      <c r="M264" s="70"/>
      <c r="N264" s="188">
        <v>521268.47999999998</v>
      </c>
      <c r="O264" s="188">
        <v>520224.48</v>
      </c>
      <c r="P264" s="188">
        <v>515275.89</v>
      </c>
      <c r="Q264" s="127"/>
      <c r="R264" s="127"/>
      <c r="S264" s="188">
        <v>25264.97</v>
      </c>
      <c r="T264" s="188">
        <v>38085.47</v>
      </c>
      <c r="U264" s="188">
        <v>45393.599999999999</v>
      </c>
      <c r="V264" s="61"/>
      <c r="W264" s="58"/>
      <c r="X264" s="188">
        <v>494530.77</v>
      </c>
      <c r="Y264" s="188">
        <v>498706.77</v>
      </c>
      <c r="Z264" s="127"/>
      <c r="AA264" s="127"/>
      <c r="AB264" s="127"/>
      <c r="AC264" s="188">
        <v>21125.01</v>
      </c>
      <c r="AD264" s="188">
        <v>30677.01</v>
      </c>
      <c r="AE264" s="61"/>
      <c r="AF264" s="65"/>
      <c r="AG264" s="58"/>
      <c r="AH264" s="188">
        <v>509620.51</v>
      </c>
      <c r="AI264" s="127"/>
      <c r="AJ264" s="127"/>
      <c r="AK264" s="127"/>
      <c r="AL264" s="127"/>
      <c r="AM264" s="188">
        <v>24451.99</v>
      </c>
      <c r="AN264" s="135"/>
      <c r="AO264" s="135"/>
      <c r="AP264" s="135"/>
    </row>
    <row r="265" spans="1:42" x14ac:dyDescent="0.25">
      <c r="A265" t="s">
        <v>74</v>
      </c>
      <c r="B265" t="s">
        <v>265</v>
      </c>
      <c r="C265" s="212" t="str">
        <f t="shared" si="4"/>
        <v>Hernando Circuit Criminal Drug Cases</v>
      </c>
      <c r="D265" s="188">
        <v>212147</v>
      </c>
      <c r="E265" s="188">
        <v>212147</v>
      </c>
      <c r="F265" s="188">
        <v>212147</v>
      </c>
      <c r="G265" s="188">
        <v>212147</v>
      </c>
      <c r="H265" s="63"/>
      <c r="I265" s="188">
        <v>0</v>
      </c>
      <c r="J265" s="188">
        <v>0</v>
      </c>
      <c r="K265" s="188">
        <v>0</v>
      </c>
      <c r="N265" s="188">
        <v>106051</v>
      </c>
      <c r="O265" s="188">
        <v>106051</v>
      </c>
      <c r="P265" s="188">
        <v>106051</v>
      </c>
      <c r="Q265" s="63"/>
      <c r="R265" s="63"/>
      <c r="S265" s="188">
        <v>0</v>
      </c>
      <c r="T265" s="188">
        <v>0</v>
      </c>
      <c r="U265" s="188"/>
      <c r="X265" s="188">
        <v>79816</v>
      </c>
      <c r="Y265" s="188">
        <v>79816</v>
      </c>
      <c r="Z265" s="63"/>
      <c r="AB265" s="63"/>
      <c r="AC265" s="188">
        <v>0</v>
      </c>
      <c r="AD265" s="188"/>
      <c r="AH265" s="188">
        <v>53236</v>
      </c>
      <c r="AI265" s="63"/>
      <c r="AL265" s="63"/>
      <c r="AM265" s="188"/>
    </row>
    <row r="266" spans="1:42" x14ac:dyDescent="0.25">
      <c r="A266" t="s">
        <v>74</v>
      </c>
      <c r="B266" t="s">
        <v>44</v>
      </c>
      <c r="C266" s="212" t="str">
        <f t="shared" si="4"/>
        <v>Hernando Civil Traffic</v>
      </c>
      <c r="D266" s="188">
        <v>956101.35</v>
      </c>
      <c r="E266" s="188">
        <v>1064445.05</v>
      </c>
      <c r="F266" s="188">
        <v>972089.45</v>
      </c>
      <c r="G266" s="188">
        <v>949991.45</v>
      </c>
      <c r="H266" s="127"/>
      <c r="I266" s="188">
        <v>462225.97</v>
      </c>
      <c r="J266" s="188">
        <v>733938.82</v>
      </c>
      <c r="K266" s="188">
        <v>798898.46</v>
      </c>
      <c r="L266" s="188">
        <v>826636.12</v>
      </c>
      <c r="M266" s="70"/>
      <c r="N266" s="188">
        <v>998019.03</v>
      </c>
      <c r="O266" s="188">
        <v>1299577.78</v>
      </c>
      <c r="P266" s="188">
        <v>1131776.83</v>
      </c>
      <c r="Q266" s="127"/>
      <c r="R266" s="127"/>
      <c r="S266" s="188">
        <v>540874.1</v>
      </c>
      <c r="T266" s="188">
        <v>803118.94</v>
      </c>
      <c r="U266" s="188">
        <v>872099.08</v>
      </c>
      <c r="V266" s="61"/>
      <c r="W266" s="58"/>
      <c r="X266" s="188">
        <v>928761.27</v>
      </c>
      <c r="Y266" s="188">
        <v>1197358.82</v>
      </c>
      <c r="Z266" s="127"/>
      <c r="AA266" s="127"/>
      <c r="AB266" s="127"/>
      <c r="AC266" s="188">
        <v>454418.93</v>
      </c>
      <c r="AD266" s="188">
        <v>685683.97</v>
      </c>
      <c r="AE266" s="61"/>
      <c r="AF266" s="65"/>
      <c r="AG266" s="58"/>
      <c r="AH266" s="188">
        <v>955280.09</v>
      </c>
      <c r="AI266" s="127"/>
      <c r="AJ266" s="127"/>
      <c r="AK266" s="127"/>
      <c r="AL266" s="127"/>
      <c r="AM266" s="188">
        <v>450588.3</v>
      </c>
      <c r="AN266" s="135"/>
      <c r="AO266" s="135"/>
      <c r="AP266" s="135"/>
    </row>
    <row r="267" spans="1:42" x14ac:dyDescent="0.25">
      <c r="A267" t="s">
        <v>74</v>
      </c>
      <c r="B267" t="s">
        <v>43</v>
      </c>
      <c r="C267" s="212" t="str">
        <f t="shared" si="4"/>
        <v>Hernando County Civil</v>
      </c>
      <c r="D267" s="188">
        <v>151805.85</v>
      </c>
      <c r="E267" s="188">
        <v>151805.85</v>
      </c>
      <c r="F267" s="188">
        <v>151805.85</v>
      </c>
      <c r="G267" s="188">
        <v>152105.85</v>
      </c>
      <c r="H267" s="127"/>
      <c r="I267" s="188">
        <v>151115.22</v>
      </c>
      <c r="J267" s="188">
        <v>151735.22</v>
      </c>
      <c r="K267" s="188">
        <v>151735.22</v>
      </c>
      <c r="L267" s="188">
        <v>151735.22</v>
      </c>
      <c r="M267" s="70"/>
      <c r="N267" s="188">
        <v>178524.91</v>
      </c>
      <c r="O267" s="188">
        <v>178524.91</v>
      </c>
      <c r="P267" s="188">
        <v>178524.91</v>
      </c>
      <c r="Q267" s="127"/>
      <c r="R267" s="127"/>
      <c r="S267" s="188">
        <v>176455.91</v>
      </c>
      <c r="T267" s="188">
        <v>177930.91</v>
      </c>
      <c r="U267" s="188">
        <v>177930.91</v>
      </c>
      <c r="V267" s="61"/>
      <c r="W267" s="58"/>
      <c r="X267" s="188">
        <v>217576.27</v>
      </c>
      <c r="Y267" s="188">
        <v>216976.27</v>
      </c>
      <c r="Z267" s="127"/>
      <c r="AA267" s="127"/>
      <c r="AB267" s="127"/>
      <c r="AC267" s="188">
        <v>212346.27</v>
      </c>
      <c r="AD267" s="188">
        <v>216976.27</v>
      </c>
      <c r="AE267" s="61"/>
      <c r="AF267" s="65"/>
      <c r="AG267" s="58"/>
      <c r="AH267" s="188">
        <v>210796.19</v>
      </c>
      <c r="AI267" s="127"/>
      <c r="AJ267" s="127"/>
      <c r="AK267" s="127"/>
      <c r="AL267" s="127"/>
      <c r="AM267" s="188">
        <v>207741.19</v>
      </c>
      <c r="AN267" s="135"/>
      <c r="AO267" s="135"/>
      <c r="AP267" s="135"/>
    </row>
    <row r="268" spans="1:42" x14ac:dyDescent="0.25">
      <c r="A268" t="s">
        <v>74</v>
      </c>
      <c r="B268" t="s">
        <v>39</v>
      </c>
      <c r="C268" s="212" t="str">
        <f t="shared" si="4"/>
        <v>Hernando County Criminal</v>
      </c>
      <c r="D268" s="188">
        <v>304373.7</v>
      </c>
      <c r="E268" s="188">
        <v>302118.77</v>
      </c>
      <c r="F268" s="188">
        <v>299912.2</v>
      </c>
      <c r="G268" s="188">
        <v>298449.7</v>
      </c>
      <c r="H268" s="127"/>
      <c r="I268" s="188">
        <v>61572.38</v>
      </c>
      <c r="J268" s="188">
        <v>106768.91</v>
      </c>
      <c r="K268" s="188">
        <v>131962.17000000001</v>
      </c>
      <c r="L268" s="188">
        <v>140462.16</v>
      </c>
      <c r="M268" s="70"/>
      <c r="N268" s="188">
        <v>266576.5</v>
      </c>
      <c r="O268" s="188">
        <v>264456.5</v>
      </c>
      <c r="P268" s="188">
        <v>262737.5</v>
      </c>
      <c r="Q268" s="127"/>
      <c r="R268" s="127"/>
      <c r="S268" s="188">
        <v>52648.2</v>
      </c>
      <c r="T268" s="188">
        <v>90216.14</v>
      </c>
      <c r="U268" s="188">
        <v>109266.35</v>
      </c>
      <c r="V268" s="61"/>
      <c r="W268" s="58"/>
      <c r="X268" s="188">
        <v>310962.58</v>
      </c>
      <c r="Y268" s="188">
        <v>308315.64</v>
      </c>
      <c r="Z268" s="127"/>
      <c r="AA268" s="127"/>
      <c r="AB268" s="127"/>
      <c r="AC268" s="188">
        <v>102771.16</v>
      </c>
      <c r="AD268" s="188">
        <v>130178.99</v>
      </c>
      <c r="AE268" s="61"/>
      <c r="AF268" s="65"/>
      <c r="AG268" s="58"/>
      <c r="AH268" s="188">
        <v>310404.06</v>
      </c>
      <c r="AI268" s="127"/>
      <c r="AJ268" s="127"/>
      <c r="AK268" s="127"/>
      <c r="AL268" s="127"/>
      <c r="AM268" s="188">
        <v>71950.92</v>
      </c>
      <c r="AN268" s="135"/>
      <c r="AO268" s="135"/>
      <c r="AP268" s="135"/>
    </row>
    <row r="269" spans="1:42" x14ac:dyDescent="0.25">
      <c r="A269" t="s">
        <v>74</v>
      </c>
      <c r="B269" t="s">
        <v>41</v>
      </c>
      <c r="C269" s="212" t="str">
        <f t="shared" si="4"/>
        <v>Hernando Criminal Traffic</v>
      </c>
      <c r="D269" s="188">
        <v>245876.28</v>
      </c>
      <c r="E269" s="188">
        <v>245416.28</v>
      </c>
      <c r="F269" s="188">
        <v>243613.28</v>
      </c>
      <c r="G269" s="188">
        <v>243544.29</v>
      </c>
      <c r="H269" s="127"/>
      <c r="I269" s="188">
        <v>81221.59</v>
      </c>
      <c r="J269" s="188">
        <v>138764.60999999999</v>
      </c>
      <c r="K269" s="188">
        <v>158917.95000000001</v>
      </c>
      <c r="L269" s="188">
        <v>165448.67000000001</v>
      </c>
      <c r="M269" s="70"/>
      <c r="N269" s="188">
        <v>189730.35</v>
      </c>
      <c r="O269" s="188">
        <v>190093.35</v>
      </c>
      <c r="P269" s="188">
        <v>188883.35</v>
      </c>
      <c r="Q269" s="127"/>
      <c r="R269" s="127"/>
      <c r="S269" s="188">
        <v>67447.350000000006</v>
      </c>
      <c r="T269" s="188">
        <v>106894.13</v>
      </c>
      <c r="U269" s="188">
        <v>122178.18</v>
      </c>
      <c r="V269" s="61"/>
      <c r="W269" s="58"/>
      <c r="X269" s="188">
        <v>218149.47</v>
      </c>
      <c r="Y269" s="188">
        <v>219163.47</v>
      </c>
      <c r="Z269" s="127"/>
      <c r="AA269" s="127"/>
      <c r="AB269" s="127"/>
      <c r="AC269" s="188">
        <v>105862.32</v>
      </c>
      <c r="AD269" s="188">
        <v>133992.79</v>
      </c>
      <c r="AE269" s="61"/>
      <c r="AF269" s="65"/>
      <c r="AG269" s="58"/>
      <c r="AH269" s="188">
        <v>220923.7</v>
      </c>
      <c r="AI269" s="127"/>
      <c r="AJ269" s="127"/>
      <c r="AK269" s="127"/>
      <c r="AL269" s="127"/>
      <c r="AM269" s="188">
        <v>80453.22</v>
      </c>
      <c r="AN269" s="135"/>
      <c r="AO269" s="135"/>
      <c r="AP269" s="135"/>
    </row>
    <row r="270" spans="1:42" x14ac:dyDescent="0.25">
      <c r="A270" t="s">
        <v>74</v>
      </c>
      <c r="B270" t="s">
        <v>46</v>
      </c>
      <c r="C270" s="212" t="str">
        <f t="shared" si="4"/>
        <v>Hernando Family</v>
      </c>
      <c r="D270" s="188">
        <v>88879.25</v>
      </c>
      <c r="E270" s="188">
        <v>88929.25</v>
      </c>
      <c r="F270" s="188">
        <v>89229.25</v>
      </c>
      <c r="G270" s="188">
        <v>89229.25</v>
      </c>
      <c r="H270" s="127"/>
      <c r="I270" s="188">
        <v>85383.25</v>
      </c>
      <c r="J270" s="188">
        <v>85433.25</v>
      </c>
      <c r="K270" s="188">
        <v>85841.25</v>
      </c>
      <c r="L270" s="188">
        <v>85841.25</v>
      </c>
      <c r="M270" s="70"/>
      <c r="N270" s="188">
        <v>102489.39</v>
      </c>
      <c r="O270" s="188">
        <v>100847.39</v>
      </c>
      <c r="P270" s="188">
        <v>100847.39</v>
      </c>
      <c r="Q270" s="127"/>
      <c r="R270" s="127"/>
      <c r="S270" s="188">
        <v>99463.39</v>
      </c>
      <c r="T270" s="188">
        <v>100491.39</v>
      </c>
      <c r="U270" s="188">
        <v>100491.39</v>
      </c>
      <c r="V270" s="61"/>
      <c r="W270" s="58"/>
      <c r="X270" s="188">
        <v>88688.8</v>
      </c>
      <c r="Y270" s="188">
        <v>87480.8</v>
      </c>
      <c r="Z270" s="127"/>
      <c r="AA270" s="127"/>
      <c r="AB270" s="127"/>
      <c r="AC270" s="188">
        <v>83686.8</v>
      </c>
      <c r="AD270" s="188">
        <v>84021.8</v>
      </c>
      <c r="AE270" s="61"/>
      <c r="AF270" s="65"/>
      <c r="AG270" s="58"/>
      <c r="AH270" s="188">
        <v>86725.9</v>
      </c>
      <c r="AI270" s="127"/>
      <c r="AJ270" s="127"/>
      <c r="AK270" s="127"/>
      <c r="AL270" s="127"/>
      <c r="AM270" s="188">
        <v>84122.9</v>
      </c>
      <c r="AN270" s="135"/>
      <c r="AO270" s="135"/>
      <c r="AP270" s="135"/>
    </row>
    <row r="271" spans="1:42" x14ac:dyDescent="0.25">
      <c r="A271" t="s">
        <v>74</v>
      </c>
      <c r="B271" t="s">
        <v>40</v>
      </c>
      <c r="C271" s="212" t="str">
        <f t="shared" si="4"/>
        <v>Hernando Juvenile Delinquency</v>
      </c>
      <c r="D271" s="188">
        <v>5377.97</v>
      </c>
      <c r="E271" s="188">
        <v>5377.97</v>
      </c>
      <c r="F271" s="188">
        <v>5239.97</v>
      </c>
      <c r="G271" s="188">
        <v>5239.97</v>
      </c>
      <c r="H271" s="127"/>
      <c r="I271" s="188">
        <v>439.97</v>
      </c>
      <c r="J271" s="188">
        <v>611.45000000000005</v>
      </c>
      <c r="K271" s="188">
        <v>620.97</v>
      </c>
      <c r="L271" s="188">
        <v>620.97</v>
      </c>
      <c r="M271" s="70"/>
      <c r="N271" s="188">
        <v>22293</v>
      </c>
      <c r="O271" s="188">
        <v>22293</v>
      </c>
      <c r="P271" s="188">
        <v>22250</v>
      </c>
      <c r="Q271" s="127"/>
      <c r="R271" s="127"/>
      <c r="S271" s="188">
        <v>563.92999999999995</v>
      </c>
      <c r="T271" s="188">
        <v>766.5</v>
      </c>
      <c r="U271" s="188">
        <v>858.5</v>
      </c>
      <c r="V271" s="61"/>
      <c r="W271" s="58"/>
      <c r="X271" s="188">
        <v>21102</v>
      </c>
      <c r="Y271" s="188">
        <v>21423</v>
      </c>
      <c r="Z271" s="127"/>
      <c r="AA271" s="127"/>
      <c r="AB271" s="127"/>
      <c r="AC271" s="188">
        <v>459</v>
      </c>
      <c r="AD271" s="188">
        <v>1984</v>
      </c>
      <c r="AE271" s="61"/>
      <c r="AF271" s="65"/>
      <c r="AG271" s="58"/>
      <c r="AH271" s="188">
        <v>14671.51</v>
      </c>
      <c r="AI271" s="127"/>
      <c r="AJ271" s="127"/>
      <c r="AK271" s="127"/>
      <c r="AL271" s="127"/>
      <c r="AM271" s="188">
        <v>1476</v>
      </c>
      <c r="AN271" s="135"/>
      <c r="AO271" s="135"/>
      <c r="AP271" s="135"/>
    </row>
    <row r="272" spans="1:42" x14ac:dyDescent="0.25">
      <c r="A272" t="s">
        <v>74</v>
      </c>
      <c r="B272" t="s">
        <v>45</v>
      </c>
      <c r="C272" s="212" t="str">
        <f t="shared" si="4"/>
        <v>Hernando Probate</v>
      </c>
      <c r="D272" s="188">
        <v>89076.63</v>
      </c>
      <c r="E272" s="188">
        <v>88445.63</v>
      </c>
      <c r="F272" s="188">
        <v>88445.63</v>
      </c>
      <c r="G272" s="188">
        <v>88445.63</v>
      </c>
      <c r="H272" s="127"/>
      <c r="I272" s="188">
        <v>84815.63</v>
      </c>
      <c r="J272" s="188">
        <v>85277.63</v>
      </c>
      <c r="K272" s="188">
        <v>85908.63</v>
      </c>
      <c r="L272" s="188">
        <v>85908.63</v>
      </c>
      <c r="M272" s="70"/>
      <c r="N272" s="188">
        <v>90964.05</v>
      </c>
      <c r="O272" s="188">
        <v>89742.05</v>
      </c>
      <c r="P272" s="188">
        <v>89342.05</v>
      </c>
      <c r="Q272" s="127"/>
      <c r="R272" s="127"/>
      <c r="S272" s="188">
        <v>87466.3</v>
      </c>
      <c r="T272" s="188">
        <v>88385.3</v>
      </c>
      <c r="U272" s="188">
        <v>87985.3</v>
      </c>
      <c r="V272" s="61"/>
      <c r="W272" s="58"/>
      <c r="X272" s="188">
        <v>96991.360000000001</v>
      </c>
      <c r="Y272" s="188">
        <v>96906.36</v>
      </c>
      <c r="Z272" s="127"/>
      <c r="AA272" s="127"/>
      <c r="AB272" s="127"/>
      <c r="AC272" s="188">
        <v>94987.36</v>
      </c>
      <c r="AD272" s="188">
        <v>95961.36</v>
      </c>
      <c r="AE272" s="61"/>
      <c r="AF272" s="65"/>
      <c r="AG272" s="58"/>
      <c r="AH272" s="188">
        <v>82415.83</v>
      </c>
      <c r="AI272" s="127"/>
      <c r="AJ272" s="127"/>
      <c r="AK272" s="127"/>
      <c r="AL272" s="127"/>
      <c r="AM272" s="188">
        <v>79394.83</v>
      </c>
      <c r="AN272" s="135"/>
      <c r="AO272" s="135"/>
      <c r="AP272" s="135"/>
    </row>
    <row r="273" spans="1:42" x14ac:dyDescent="0.25">
      <c r="A273" t="s">
        <v>75</v>
      </c>
      <c r="B273" t="s">
        <v>42</v>
      </c>
      <c r="C273" s="212" t="str">
        <f t="shared" si="4"/>
        <v>Highlands Circuit Civil</v>
      </c>
      <c r="D273" s="188">
        <v>163904.26999999999</v>
      </c>
      <c r="E273" s="188">
        <v>164304.26999999999</v>
      </c>
      <c r="F273" s="188">
        <v>164304.26999999999</v>
      </c>
      <c r="G273" s="188">
        <v>163904.26999999999</v>
      </c>
      <c r="H273" s="127"/>
      <c r="I273" s="188">
        <v>162129.26999999999</v>
      </c>
      <c r="J273" s="188">
        <v>162129.26999999999</v>
      </c>
      <c r="K273" s="188">
        <v>162129.26999999999</v>
      </c>
      <c r="L273" s="188">
        <v>162129.26999999999</v>
      </c>
      <c r="M273" s="70"/>
      <c r="N273" s="188">
        <v>131025.58</v>
      </c>
      <c r="O273" s="188">
        <v>131025.58</v>
      </c>
      <c r="P273" s="188">
        <v>131025.58</v>
      </c>
      <c r="Q273" s="127"/>
      <c r="R273" s="127"/>
      <c r="S273" s="188">
        <v>128308.08</v>
      </c>
      <c r="T273" s="188">
        <v>131025.58</v>
      </c>
      <c r="U273" s="188">
        <v>131025.58</v>
      </c>
      <c r="V273" s="61"/>
      <c r="W273" s="58"/>
      <c r="X273" s="188">
        <v>122337.7</v>
      </c>
      <c r="Y273" s="188">
        <v>122580.2</v>
      </c>
      <c r="Z273" s="127"/>
      <c r="AA273" s="127"/>
      <c r="AB273" s="127"/>
      <c r="AC273" s="188">
        <v>122337.7</v>
      </c>
      <c r="AD273" s="188">
        <v>122580.2</v>
      </c>
      <c r="AE273" s="61"/>
      <c r="AF273" s="65"/>
      <c r="AG273" s="58"/>
      <c r="AH273" s="188">
        <v>128845.1</v>
      </c>
      <c r="AI273" s="127"/>
      <c r="AJ273" s="127"/>
      <c r="AK273" s="127"/>
      <c r="AL273" s="127"/>
      <c r="AM273" s="188">
        <v>128785.1</v>
      </c>
      <c r="AN273" s="135"/>
      <c r="AO273" s="135"/>
      <c r="AP273" s="135"/>
    </row>
    <row r="274" spans="1:42" x14ac:dyDescent="0.25">
      <c r="A274" t="s">
        <v>75</v>
      </c>
      <c r="B274" t="s">
        <v>38</v>
      </c>
      <c r="C274" s="212" t="str">
        <f t="shared" si="4"/>
        <v>Highlands Circuit Criminal</v>
      </c>
      <c r="D274" s="188">
        <v>381447.21</v>
      </c>
      <c r="E274" s="188">
        <v>382273.21</v>
      </c>
      <c r="F274" s="188">
        <v>382223.21</v>
      </c>
      <c r="G274" s="188">
        <v>382223.21</v>
      </c>
      <c r="H274" s="127"/>
      <c r="I274" s="188">
        <v>3363.15</v>
      </c>
      <c r="J274" s="188">
        <v>7443.27</v>
      </c>
      <c r="K274" s="188">
        <v>10731.49</v>
      </c>
      <c r="L274" s="188">
        <v>12507.52</v>
      </c>
      <c r="M274" s="70"/>
      <c r="N274" s="188">
        <v>363097.44</v>
      </c>
      <c r="O274" s="188">
        <v>363247.44</v>
      </c>
      <c r="P274" s="188">
        <v>363497.44</v>
      </c>
      <c r="Q274" s="127"/>
      <c r="R274" s="127"/>
      <c r="S274" s="188">
        <v>2707.48</v>
      </c>
      <c r="T274" s="188">
        <v>6889.56</v>
      </c>
      <c r="U274" s="188">
        <v>9103.4</v>
      </c>
      <c r="V274" s="61"/>
      <c r="W274" s="58"/>
      <c r="X274" s="188">
        <v>322810.8</v>
      </c>
      <c r="Y274" s="188">
        <v>322860.79999999999</v>
      </c>
      <c r="Z274" s="127"/>
      <c r="AA274" s="127"/>
      <c r="AB274" s="127"/>
      <c r="AC274" s="188">
        <v>6071.32</v>
      </c>
      <c r="AD274" s="188">
        <v>7821.88</v>
      </c>
      <c r="AE274" s="61"/>
      <c r="AF274" s="65"/>
      <c r="AG274" s="58"/>
      <c r="AH274" s="188">
        <v>333569.25</v>
      </c>
      <c r="AI274" s="127"/>
      <c r="AJ274" s="127"/>
      <c r="AK274" s="127"/>
      <c r="AL274" s="127"/>
      <c r="AM274" s="188">
        <v>4834.57</v>
      </c>
      <c r="AN274" s="135"/>
      <c r="AO274" s="135"/>
      <c r="AP274" s="135"/>
    </row>
    <row r="275" spans="1:42" x14ac:dyDescent="0.25">
      <c r="A275" t="s">
        <v>75</v>
      </c>
      <c r="B275" t="s">
        <v>265</v>
      </c>
      <c r="C275" s="212" t="str">
        <f t="shared" si="4"/>
        <v>Highlands Circuit Criminal Drug Cases</v>
      </c>
      <c r="D275" s="188">
        <v>125000</v>
      </c>
      <c r="E275" s="188">
        <v>125000</v>
      </c>
      <c r="F275" s="188">
        <v>125000</v>
      </c>
      <c r="G275" s="188">
        <v>125000</v>
      </c>
      <c r="H275" s="63"/>
      <c r="I275" s="188">
        <v>0</v>
      </c>
      <c r="J275" s="188">
        <v>0</v>
      </c>
      <c r="K275" s="188">
        <v>0</v>
      </c>
      <c r="L275" s="188">
        <v>0</v>
      </c>
      <c r="N275" s="188">
        <v>100000</v>
      </c>
      <c r="O275" s="188">
        <v>100000</v>
      </c>
      <c r="P275" s="188">
        <v>100000</v>
      </c>
      <c r="Q275" s="63"/>
      <c r="R275" s="63"/>
      <c r="S275" s="188">
        <v>0</v>
      </c>
      <c r="T275" s="188">
        <v>0</v>
      </c>
      <c r="U275" s="188">
        <v>0</v>
      </c>
      <c r="X275" s="188">
        <v>50000</v>
      </c>
      <c r="Y275" s="188">
        <v>50000</v>
      </c>
      <c r="Z275" s="63"/>
      <c r="AB275" s="63"/>
      <c r="AC275" s="188">
        <v>0</v>
      </c>
      <c r="AD275" s="188">
        <v>0</v>
      </c>
      <c r="AH275" s="188">
        <v>55000</v>
      </c>
      <c r="AI275" s="63"/>
      <c r="AL275" s="63"/>
      <c r="AM275" s="188">
        <v>0</v>
      </c>
    </row>
    <row r="276" spans="1:42" x14ac:dyDescent="0.25">
      <c r="A276" t="s">
        <v>75</v>
      </c>
      <c r="B276" t="s">
        <v>44</v>
      </c>
      <c r="C276" s="212" t="str">
        <f t="shared" si="4"/>
        <v>Highlands Civil Traffic</v>
      </c>
      <c r="D276" s="188">
        <v>439240.6</v>
      </c>
      <c r="E276" s="188">
        <v>438484.5</v>
      </c>
      <c r="F276" s="188">
        <v>438518.5</v>
      </c>
      <c r="G276" s="188">
        <v>438495.5</v>
      </c>
      <c r="H276" s="127"/>
      <c r="I276" s="188">
        <v>211833.85</v>
      </c>
      <c r="J276" s="188">
        <v>347818.5</v>
      </c>
      <c r="K276" s="188">
        <v>393491.5</v>
      </c>
      <c r="L276" s="188">
        <v>402496.25</v>
      </c>
      <c r="M276" s="70"/>
      <c r="N276" s="188">
        <v>453547.55</v>
      </c>
      <c r="O276" s="188">
        <v>452085.55</v>
      </c>
      <c r="P276" s="188">
        <v>452012.55</v>
      </c>
      <c r="Q276" s="127"/>
      <c r="R276" s="127"/>
      <c r="S276" s="188">
        <v>217922.55</v>
      </c>
      <c r="T276" s="188">
        <v>356985.55</v>
      </c>
      <c r="U276" s="188">
        <v>401691.55</v>
      </c>
      <c r="V276" s="61"/>
      <c r="W276" s="58"/>
      <c r="X276" s="188">
        <v>471258.8</v>
      </c>
      <c r="Y276" s="188">
        <v>466041.45</v>
      </c>
      <c r="Z276" s="127"/>
      <c r="AA276" s="127"/>
      <c r="AB276" s="127"/>
      <c r="AC276" s="188">
        <v>230940.65</v>
      </c>
      <c r="AD276" s="188">
        <v>362069.45</v>
      </c>
      <c r="AE276" s="61"/>
      <c r="AF276" s="65"/>
      <c r="AG276" s="58"/>
      <c r="AH276" s="188">
        <v>359474.15</v>
      </c>
      <c r="AI276" s="127"/>
      <c r="AJ276" s="127"/>
      <c r="AK276" s="127"/>
      <c r="AL276" s="127"/>
      <c r="AM276" s="188">
        <v>175727.15</v>
      </c>
      <c r="AN276" s="135"/>
      <c r="AO276" s="135"/>
      <c r="AP276" s="135"/>
    </row>
    <row r="277" spans="1:42" x14ac:dyDescent="0.25">
      <c r="A277" t="s">
        <v>75</v>
      </c>
      <c r="B277" t="s">
        <v>43</v>
      </c>
      <c r="C277" s="212" t="str">
        <f t="shared" si="4"/>
        <v>Highlands County Civil</v>
      </c>
      <c r="D277" s="188">
        <v>74984.23</v>
      </c>
      <c r="E277" s="188">
        <v>74984.23</v>
      </c>
      <c r="F277" s="188">
        <v>74984.23</v>
      </c>
      <c r="G277" s="188">
        <v>74984.23</v>
      </c>
      <c r="H277" s="127"/>
      <c r="I277" s="188">
        <v>74674.23</v>
      </c>
      <c r="J277" s="188">
        <v>74984.23</v>
      </c>
      <c r="K277" s="188">
        <v>74984.23</v>
      </c>
      <c r="L277" s="188">
        <v>74984.23</v>
      </c>
      <c r="M277" s="70"/>
      <c r="N277" s="188">
        <v>76240.320000000007</v>
      </c>
      <c r="O277" s="188">
        <v>76250.320000000007</v>
      </c>
      <c r="P277" s="188">
        <v>76250.320000000007</v>
      </c>
      <c r="Q277" s="127"/>
      <c r="R277" s="127"/>
      <c r="S277" s="188">
        <v>76055.320000000007</v>
      </c>
      <c r="T277" s="188">
        <v>76250.320000000007</v>
      </c>
      <c r="U277" s="188">
        <v>76250.320000000007</v>
      </c>
      <c r="V277" s="61"/>
      <c r="W277" s="58"/>
      <c r="X277" s="188">
        <v>88042</v>
      </c>
      <c r="Y277" s="188">
        <v>88042</v>
      </c>
      <c r="Z277" s="127"/>
      <c r="AA277" s="127"/>
      <c r="AB277" s="127"/>
      <c r="AC277" s="188">
        <v>88042</v>
      </c>
      <c r="AD277" s="188">
        <v>88042</v>
      </c>
      <c r="AE277" s="61"/>
      <c r="AF277" s="65"/>
      <c r="AG277" s="58"/>
      <c r="AH277" s="188">
        <v>80293.45</v>
      </c>
      <c r="AI277" s="127"/>
      <c r="AJ277" s="127"/>
      <c r="AK277" s="127"/>
      <c r="AL277" s="127"/>
      <c r="AM277" s="188">
        <v>79903.45</v>
      </c>
      <c r="AN277" s="135"/>
      <c r="AO277" s="135"/>
      <c r="AP277" s="135"/>
    </row>
    <row r="278" spans="1:42" x14ac:dyDescent="0.25">
      <c r="A278" t="s">
        <v>75</v>
      </c>
      <c r="B278" t="s">
        <v>39</v>
      </c>
      <c r="C278" s="212" t="str">
        <f t="shared" si="4"/>
        <v>Highlands County Criminal</v>
      </c>
      <c r="D278" s="188">
        <v>103961.8</v>
      </c>
      <c r="E278" s="188">
        <v>104049.8</v>
      </c>
      <c r="F278" s="188">
        <v>103966.8</v>
      </c>
      <c r="G278" s="188">
        <v>103966.8</v>
      </c>
      <c r="H278" s="127"/>
      <c r="I278" s="188">
        <v>9373.0499999999993</v>
      </c>
      <c r="J278" s="188">
        <v>14794.05</v>
      </c>
      <c r="K278" s="188">
        <v>20314.509999999998</v>
      </c>
      <c r="L278" s="188">
        <v>23580.54</v>
      </c>
      <c r="M278" s="70"/>
      <c r="N278" s="188">
        <v>119217.25</v>
      </c>
      <c r="O278" s="188">
        <v>119181.75</v>
      </c>
      <c r="P278" s="188">
        <v>119111.75</v>
      </c>
      <c r="Q278" s="127"/>
      <c r="R278" s="127"/>
      <c r="S278" s="188">
        <v>15710.5</v>
      </c>
      <c r="T278" s="188">
        <v>22782.5</v>
      </c>
      <c r="U278" s="188">
        <v>27461.75</v>
      </c>
      <c r="V278" s="61"/>
      <c r="W278" s="58"/>
      <c r="X278" s="188">
        <v>112692.75</v>
      </c>
      <c r="Y278" s="188">
        <v>111939.75</v>
      </c>
      <c r="Z278" s="127"/>
      <c r="AA278" s="127"/>
      <c r="AB278" s="127"/>
      <c r="AC278" s="188">
        <v>13840</v>
      </c>
      <c r="AD278" s="188">
        <v>21269.75</v>
      </c>
      <c r="AE278" s="61"/>
      <c r="AF278" s="65"/>
      <c r="AG278" s="58"/>
      <c r="AH278" s="188">
        <v>124522.02</v>
      </c>
      <c r="AI278" s="127"/>
      <c r="AJ278" s="127"/>
      <c r="AK278" s="127"/>
      <c r="AL278" s="127"/>
      <c r="AM278" s="188">
        <v>9595.75</v>
      </c>
      <c r="AN278" s="135"/>
      <c r="AO278" s="135"/>
      <c r="AP278" s="135"/>
    </row>
    <row r="279" spans="1:42" x14ac:dyDescent="0.25">
      <c r="A279" t="s">
        <v>75</v>
      </c>
      <c r="B279" t="s">
        <v>41</v>
      </c>
      <c r="C279" s="212" t="str">
        <f t="shared" si="4"/>
        <v>Highlands Criminal Traffic</v>
      </c>
      <c r="D279" s="188">
        <v>85602.5</v>
      </c>
      <c r="E279" s="188">
        <v>86335.5</v>
      </c>
      <c r="F279" s="188">
        <v>86328.5</v>
      </c>
      <c r="G279" s="188">
        <v>86328.5</v>
      </c>
      <c r="H279" s="127"/>
      <c r="I279" s="188">
        <v>18430.75</v>
      </c>
      <c r="J279" s="188">
        <v>32158</v>
      </c>
      <c r="K279" s="188">
        <v>37610.5</v>
      </c>
      <c r="L279" s="188">
        <v>43016.05</v>
      </c>
      <c r="M279" s="70"/>
      <c r="N279" s="188">
        <v>141376.75</v>
      </c>
      <c r="O279" s="188">
        <v>141356.75</v>
      </c>
      <c r="P279" s="188">
        <v>141356.75</v>
      </c>
      <c r="Q279" s="127"/>
      <c r="R279" s="127"/>
      <c r="S279" s="188">
        <v>25170.25</v>
      </c>
      <c r="T279" s="188">
        <v>41402.68</v>
      </c>
      <c r="U279" s="188">
        <v>51462.59</v>
      </c>
      <c r="V279" s="61"/>
      <c r="W279" s="58"/>
      <c r="X279" s="188">
        <v>128748</v>
      </c>
      <c r="Y279" s="188">
        <v>128748</v>
      </c>
      <c r="Z279" s="127"/>
      <c r="AA279" s="127"/>
      <c r="AB279" s="127"/>
      <c r="AC279" s="188">
        <v>21332.25</v>
      </c>
      <c r="AD279" s="188">
        <v>39528.25</v>
      </c>
      <c r="AE279" s="61"/>
      <c r="AF279" s="65"/>
      <c r="AG279" s="58"/>
      <c r="AH279" s="188">
        <v>132219.5</v>
      </c>
      <c r="AI279" s="127"/>
      <c r="AJ279" s="127"/>
      <c r="AK279" s="127"/>
      <c r="AL279" s="127"/>
      <c r="AM279" s="188">
        <v>19784.5</v>
      </c>
      <c r="AN279" s="135"/>
      <c r="AO279" s="135"/>
      <c r="AP279" s="135"/>
    </row>
    <row r="280" spans="1:42" x14ac:dyDescent="0.25">
      <c r="A280" t="s">
        <v>75</v>
      </c>
      <c r="B280" t="s">
        <v>46</v>
      </c>
      <c r="C280" s="212" t="str">
        <f t="shared" si="4"/>
        <v>Highlands Family</v>
      </c>
      <c r="D280" s="188">
        <v>35023</v>
      </c>
      <c r="E280" s="188">
        <v>35994.5</v>
      </c>
      <c r="F280" s="188">
        <v>35994.5</v>
      </c>
      <c r="G280" s="188">
        <v>35994.5</v>
      </c>
      <c r="H280" s="127"/>
      <c r="I280" s="188">
        <v>32657</v>
      </c>
      <c r="J280" s="188">
        <v>33628.5</v>
      </c>
      <c r="K280" s="188">
        <v>33628.5</v>
      </c>
      <c r="L280" s="188">
        <v>33628.5</v>
      </c>
      <c r="M280" s="70"/>
      <c r="N280" s="188">
        <v>42809.5</v>
      </c>
      <c r="O280" s="188">
        <v>43217.5</v>
      </c>
      <c r="P280" s="188">
        <v>43217.5</v>
      </c>
      <c r="Q280" s="127"/>
      <c r="R280" s="127"/>
      <c r="S280" s="188">
        <v>41049.5</v>
      </c>
      <c r="T280" s="188">
        <v>41457.5</v>
      </c>
      <c r="U280" s="188">
        <v>41457.5</v>
      </c>
      <c r="V280" s="61"/>
      <c r="W280" s="58"/>
      <c r="X280" s="188">
        <v>40517</v>
      </c>
      <c r="Y280" s="188">
        <v>40417</v>
      </c>
      <c r="Z280" s="127"/>
      <c r="AA280" s="127"/>
      <c r="AB280" s="127"/>
      <c r="AC280" s="188">
        <v>36158</v>
      </c>
      <c r="AD280" s="188">
        <v>36168</v>
      </c>
      <c r="AE280" s="61"/>
      <c r="AF280" s="65"/>
      <c r="AG280" s="58"/>
      <c r="AH280" s="188">
        <v>32860</v>
      </c>
      <c r="AI280" s="127"/>
      <c r="AJ280" s="127"/>
      <c r="AK280" s="127"/>
      <c r="AL280" s="127"/>
      <c r="AM280" s="188">
        <v>30414</v>
      </c>
      <c r="AN280" s="135"/>
      <c r="AO280" s="135"/>
      <c r="AP280" s="135"/>
    </row>
    <row r="281" spans="1:42" x14ac:dyDescent="0.25">
      <c r="A281" t="s">
        <v>75</v>
      </c>
      <c r="B281" t="s">
        <v>40</v>
      </c>
      <c r="C281" s="212" t="str">
        <f t="shared" si="4"/>
        <v>Highlands Juvenile Delinquency</v>
      </c>
      <c r="D281" s="188">
        <v>17108.5</v>
      </c>
      <c r="E281" s="188">
        <v>15616.5</v>
      </c>
      <c r="F281" s="188">
        <v>14044.63</v>
      </c>
      <c r="G281" s="188">
        <v>13022.07</v>
      </c>
      <c r="H281" s="127"/>
      <c r="I281" s="188">
        <v>343.5</v>
      </c>
      <c r="J281" s="188">
        <v>363.5</v>
      </c>
      <c r="K281" s="188">
        <v>538.20000000000005</v>
      </c>
      <c r="L281" s="188">
        <v>538.20000000000005</v>
      </c>
      <c r="M281" s="70"/>
      <c r="N281" s="188">
        <v>24956.5</v>
      </c>
      <c r="O281" s="188">
        <v>22758.28</v>
      </c>
      <c r="P281" s="188">
        <v>21126.23</v>
      </c>
      <c r="Q281" s="127"/>
      <c r="R281" s="127"/>
      <c r="S281" s="188">
        <v>577.5</v>
      </c>
      <c r="T281" s="188">
        <v>755.5</v>
      </c>
      <c r="U281" s="188">
        <v>935.5</v>
      </c>
      <c r="V281" s="61"/>
      <c r="W281" s="58"/>
      <c r="X281" s="188">
        <v>14454.5</v>
      </c>
      <c r="Y281" s="188">
        <v>13761.47</v>
      </c>
      <c r="Z281" s="127"/>
      <c r="AA281" s="127"/>
      <c r="AB281" s="127"/>
      <c r="AC281" s="188">
        <v>595.5</v>
      </c>
      <c r="AD281" s="188">
        <v>657.14</v>
      </c>
      <c r="AE281" s="61"/>
      <c r="AF281" s="65"/>
      <c r="AG281" s="58"/>
      <c r="AH281" s="188">
        <v>23037</v>
      </c>
      <c r="AI281" s="127"/>
      <c r="AJ281" s="127"/>
      <c r="AK281" s="127"/>
      <c r="AL281" s="127"/>
      <c r="AM281" s="188">
        <v>926</v>
      </c>
      <c r="AN281" s="135"/>
      <c r="AO281" s="135"/>
      <c r="AP281" s="135"/>
    </row>
    <row r="282" spans="1:42" x14ac:dyDescent="0.25">
      <c r="A282" t="s">
        <v>75</v>
      </c>
      <c r="B282" t="s">
        <v>45</v>
      </c>
      <c r="C282" s="212" t="str">
        <f t="shared" si="4"/>
        <v>Highlands Probate</v>
      </c>
      <c r="D282" s="188">
        <v>36694</v>
      </c>
      <c r="E282" s="188">
        <v>36694</v>
      </c>
      <c r="F282" s="188">
        <v>34700</v>
      </c>
      <c r="G282" s="188">
        <v>36700</v>
      </c>
      <c r="H282" s="127"/>
      <c r="I282" s="188">
        <v>36598</v>
      </c>
      <c r="J282" s="188">
        <v>36653</v>
      </c>
      <c r="K282" s="188">
        <v>36659</v>
      </c>
      <c r="L282" s="188">
        <v>36659</v>
      </c>
      <c r="M282" s="70"/>
      <c r="N282" s="188">
        <v>49204.27</v>
      </c>
      <c r="O282" s="188">
        <v>49214.27</v>
      </c>
      <c r="P282" s="188">
        <v>49214.27</v>
      </c>
      <c r="Q282" s="127"/>
      <c r="R282" s="127"/>
      <c r="S282" s="188">
        <v>48301.27</v>
      </c>
      <c r="T282" s="188">
        <v>48711.27</v>
      </c>
      <c r="U282" s="188">
        <v>48942.27</v>
      </c>
      <c r="V282" s="61"/>
      <c r="W282" s="58"/>
      <c r="X282" s="188">
        <v>56789.5</v>
      </c>
      <c r="Y282" s="188">
        <v>56789.5</v>
      </c>
      <c r="Z282" s="127"/>
      <c r="AA282" s="127"/>
      <c r="AB282" s="127"/>
      <c r="AC282" s="188">
        <v>56158.5</v>
      </c>
      <c r="AD282" s="188">
        <v>56558.5</v>
      </c>
      <c r="AE282" s="61"/>
      <c r="AF282" s="65"/>
      <c r="AG282" s="58"/>
      <c r="AH282" s="188">
        <v>55845</v>
      </c>
      <c r="AI282" s="127"/>
      <c r="AJ282" s="127"/>
      <c r="AK282" s="127"/>
      <c r="AL282" s="127"/>
      <c r="AM282" s="188">
        <v>55383</v>
      </c>
      <c r="AN282" s="135"/>
      <c r="AO282" s="135"/>
      <c r="AP282" s="135"/>
    </row>
    <row r="283" spans="1:42" x14ac:dyDescent="0.25">
      <c r="A283" t="s">
        <v>76</v>
      </c>
      <c r="B283" t="s">
        <v>42</v>
      </c>
      <c r="C283" s="212" t="str">
        <f t="shared" si="4"/>
        <v>Hillsborough Circuit Civil</v>
      </c>
      <c r="D283" s="188">
        <v>3147276</v>
      </c>
      <c r="E283" s="188">
        <v>3139507</v>
      </c>
      <c r="F283" s="188">
        <v>3138611</v>
      </c>
      <c r="G283" s="188">
        <v>3137253</v>
      </c>
      <c r="H283" s="128"/>
      <c r="I283" s="188">
        <v>2965827</v>
      </c>
      <c r="J283" s="188">
        <v>3060591</v>
      </c>
      <c r="K283" s="188">
        <v>3082888</v>
      </c>
      <c r="L283" s="188">
        <v>3089424</v>
      </c>
      <c r="M283" s="70"/>
      <c r="N283" s="188">
        <v>3004037</v>
      </c>
      <c r="O283" s="188">
        <v>2996968</v>
      </c>
      <c r="P283" s="188">
        <v>2995941</v>
      </c>
      <c r="Q283" s="128"/>
      <c r="R283" s="128"/>
      <c r="S283" s="188">
        <v>2865384</v>
      </c>
      <c r="T283" s="188">
        <v>2939446</v>
      </c>
      <c r="U283" s="188">
        <v>2950638</v>
      </c>
      <c r="V283" s="61"/>
      <c r="W283" s="58"/>
      <c r="X283" s="188">
        <v>2794608</v>
      </c>
      <c r="Y283" s="188">
        <v>2777186</v>
      </c>
      <c r="Z283" s="128"/>
      <c r="AA283" s="128"/>
      <c r="AB283" s="128"/>
      <c r="AC283" s="188">
        <v>2689141</v>
      </c>
      <c r="AD283" s="188">
        <v>2727655</v>
      </c>
      <c r="AE283" s="61"/>
      <c r="AF283" s="65"/>
      <c r="AG283" s="58"/>
      <c r="AH283" s="188">
        <v>2693325</v>
      </c>
      <c r="AI283" s="128"/>
      <c r="AJ283" s="128"/>
      <c r="AK283" s="128"/>
      <c r="AL283" s="128"/>
      <c r="AM283" s="188">
        <v>2618544</v>
      </c>
      <c r="AN283" s="135"/>
      <c r="AO283" s="135"/>
      <c r="AP283" s="135"/>
    </row>
    <row r="284" spans="1:42" x14ac:dyDescent="0.25">
      <c r="A284" t="s">
        <v>76</v>
      </c>
      <c r="B284" t="s">
        <v>38</v>
      </c>
      <c r="C284" s="212" t="str">
        <f t="shared" si="4"/>
        <v>Hillsborough Circuit Criminal</v>
      </c>
      <c r="D284" s="188">
        <v>13771796</v>
      </c>
      <c r="E284" s="188">
        <v>13754279</v>
      </c>
      <c r="F284" s="188">
        <v>13747704</v>
      </c>
      <c r="G284" s="188">
        <v>13735676</v>
      </c>
      <c r="H284" s="128"/>
      <c r="I284" s="188">
        <v>264011</v>
      </c>
      <c r="J284" s="188">
        <v>366247</v>
      </c>
      <c r="K284" s="188">
        <v>437920</v>
      </c>
      <c r="L284" s="188">
        <v>494085</v>
      </c>
      <c r="M284" s="70"/>
      <c r="N284" s="188">
        <v>7290929</v>
      </c>
      <c r="O284" s="188">
        <v>7254893</v>
      </c>
      <c r="P284" s="188">
        <v>7245182</v>
      </c>
      <c r="Q284" s="128"/>
      <c r="R284" s="128"/>
      <c r="S284" s="188">
        <v>239252</v>
      </c>
      <c r="T284" s="188">
        <v>287843</v>
      </c>
      <c r="U284" s="188">
        <v>342947</v>
      </c>
      <c r="V284" s="61"/>
      <c r="W284" s="58"/>
      <c r="X284" s="188">
        <v>15079085</v>
      </c>
      <c r="Y284" s="188">
        <v>15061458</v>
      </c>
      <c r="Z284" s="128"/>
      <c r="AA284" s="128"/>
      <c r="AB284" s="128"/>
      <c r="AC284" s="188">
        <v>250769</v>
      </c>
      <c r="AD284" s="188">
        <v>341681</v>
      </c>
      <c r="AE284" s="61"/>
      <c r="AF284" s="65"/>
      <c r="AG284" s="58"/>
      <c r="AH284" s="188">
        <v>6717127</v>
      </c>
      <c r="AI284" s="128"/>
      <c r="AJ284" s="128"/>
      <c r="AK284" s="128"/>
      <c r="AL284" s="128"/>
      <c r="AM284" s="188">
        <v>337111</v>
      </c>
      <c r="AN284" s="135"/>
      <c r="AO284" s="135"/>
      <c r="AP284" s="135"/>
    </row>
    <row r="285" spans="1:42" x14ac:dyDescent="0.25">
      <c r="A285" t="s">
        <v>76</v>
      </c>
      <c r="B285" t="s">
        <v>265</v>
      </c>
      <c r="C285" s="212" t="str">
        <f t="shared" si="4"/>
        <v>Hillsborough Circuit Criminal Drug Cases</v>
      </c>
      <c r="D285" s="188">
        <v>9996033</v>
      </c>
      <c r="E285" s="188">
        <v>9996033</v>
      </c>
      <c r="F285" s="188">
        <v>9996033</v>
      </c>
      <c r="G285" s="188">
        <v>9996033</v>
      </c>
      <c r="H285" s="63"/>
      <c r="I285" s="188">
        <v>173.56</v>
      </c>
      <c r="J285" s="188">
        <v>1468.67</v>
      </c>
      <c r="K285" s="188">
        <v>653.84</v>
      </c>
      <c r="L285" s="188">
        <v>572.19000000000005</v>
      </c>
      <c r="N285" s="188">
        <v>4554894</v>
      </c>
      <c r="O285" s="188">
        <v>4554894</v>
      </c>
      <c r="P285" s="188">
        <v>4554894</v>
      </c>
      <c r="Q285" s="63"/>
      <c r="R285" s="63"/>
      <c r="S285" s="188">
        <v>168.26</v>
      </c>
      <c r="T285" s="188">
        <v>515.46</v>
      </c>
      <c r="U285" s="188">
        <v>215.48</v>
      </c>
      <c r="X285" s="188">
        <v>11083957</v>
      </c>
      <c r="Y285" s="188">
        <v>11083957</v>
      </c>
      <c r="Z285" s="63"/>
      <c r="AB285" s="63"/>
      <c r="AC285" s="188">
        <v>76.92</v>
      </c>
      <c r="AD285" s="188">
        <v>10980.77</v>
      </c>
      <c r="AH285" s="188">
        <v>3850168</v>
      </c>
      <c r="AI285" s="63"/>
      <c r="AL285" s="63"/>
      <c r="AM285" s="188">
        <v>278.86</v>
      </c>
    </row>
    <row r="286" spans="1:42" x14ac:dyDescent="0.25">
      <c r="A286" t="s">
        <v>76</v>
      </c>
      <c r="B286" t="s">
        <v>44</v>
      </c>
      <c r="C286" s="212" t="str">
        <f t="shared" si="4"/>
        <v>Hillsborough Civil Traffic</v>
      </c>
      <c r="D286" s="188">
        <v>2805323</v>
      </c>
      <c r="E286" s="188">
        <v>2350041</v>
      </c>
      <c r="F286" s="188">
        <v>2293930</v>
      </c>
      <c r="G286" s="188">
        <v>2272630</v>
      </c>
      <c r="H286" s="65"/>
      <c r="I286" s="188">
        <v>788491</v>
      </c>
      <c r="J286" s="188">
        <v>1204407</v>
      </c>
      <c r="K286" s="188">
        <v>1380427</v>
      </c>
      <c r="L286" s="188">
        <v>1433397</v>
      </c>
      <c r="M286" s="70"/>
      <c r="N286" s="188">
        <v>2965660</v>
      </c>
      <c r="O286" s="188">
        <v>2557599</v>
      </c>
      <c r="P286" s="188">
        <v>2480066</v>
      </c>
      <c r="Q286" s="65"/>
      <c r="R286" s="65"/>
      <c r="S286" s="188">
        <v>775019</v>
      </c>
      <c r="T286" s="188">
        <v>1391244</v>
      </c>
      <c r="U286" s="188">
        <v>1535676</v>
      </c>
      <c r="V286" s="61"/>
      <c r="W286" s="58"/>
      <c r="X286" s="188">
        <v>3157352</v>
      </c>
      <c r="Y286" s="188">
        <v>2812555</v>
      </c>
      <c r="Z286" s="65"/>
      <c r="AA286" s="65"/>
      <c r="AB286" s="65"/>
      <c r="AC286" s="188">
        <v>884760</v>
      </c>
      <c r="AD286" s="188">
        <v>1544415</v>
      </c>
      <c r="AE286" s="61"/>
      <c r="AF286" s="65"/>
      <c r="AG286" s="58"/>
      <c r="AH286" s="188">
        <v>2698864</v>
      </c>
      <c r="AI286" s="65"/>
      <c r="AJ286" s="65"/>
      <c r="AK286" s="65"/>
      <c r="AL286" s="65"/>
      <c r="AM286" s="188">
        <v>695723</v>
      </c>
      <c r="AN286" s="135"/>
    </row>
    <row r="287" spans="1:42" x14ac:dyDescent="0.25">
      <c r="A287" t="s">
        <v>76</v>
      </c>
      <c r="B287" t="s">
        <v>43</v>
      </c>
      <c r="C287" s="212" t="str">
        <f t="shared" si="4"/>
        <v>Hillsborough County Civil</v>
      </c>
      <c r="D287" s="188">
        <v>1766426</v>
      </c>
      <c r="E287" s="188">
        <v>1765035</v>
      </c>
      <c r="F287" s="188">
        <v>1764950</v>
      </c>
      <c r="G287" s="188">
        <v>1764919</v>
      </c>
      <c r="H287" s="128"/>
      <c r="I287" s="188">
        <v>1755733</v>
      </c>
      <c r="J287" s="188">
        <v>1756592</v>
      </c>
      <c r="K287" s="188">
        <v>1756537</v>
      </c>
      <c r="L287" s="188">
        <v>1756537</v>
      </c>
      <c r="M287" s="70"/>
      <c r="N287" s="188">
        <v>1893454</v>
      </c>
      <c r="O287" s="188">
        <v>1890590</v>
      </c>
      <c r="P287" s="188">
        <v>1890195</v>
      </c>
      <c r="Q287" s="128"/>
      <c r="R287" s="128"/>
      <c r="S287" s="188">
        <v>1871383</v>
      </c>
      <c r="T287" s="188">
        <v>1874383</v>
      </c>
      <c r="U287" s="188">
        <v>1874383</v>
      </c>
      <c r="V287" s="61"/>
      <c r="W287" s="58"/>
      <c r="X287" s="188">
        <v>2161769</v>
      </c>
      <c r="Y287" s="188">
        <v>2159169</v>
      </c>
      <c r="Z287" s="128"/>
      <c r="AA287" s="128"/>
      <c r="AB287" s="128"/>
      <c r="AC287" s="188">
        <v>2109526</v>
      </c>
      <c r="AD287" s="188">
        <v>2109631</v>
      </c>
      <c r="AE287" s="61"/>
      <c r="AF287" s="65"/>
      <c r="AG287" s="58"/>
      <c r="AH287" s="188">
        <v>1961033</v>
      </c>
      <c r="AI287" s="128"/>
      <c r="AJ287" s="128"/>
      <c r="AK287" s="128"/>
      <c r="AL287" s="128"/>
      <c r="AM287" s="188">
        <v>1934062</v>
      </c>
      <c r="AN287" s="135"/>
      <c r="AO287" s="135"/>
      <c r="AP287" s="135"/>
    </row>
    <row r="288" spans="1:42" x14ac:dyDescent="0.25">
      <c r="A288" t="s">
        <v>76</v>
      </c>
      <c r="B288" t="s">
        <v>39</v>
      </c>
      <c r="C288" s="212" t="str">
        <f t="shared" si="4"/>
        <v>Hillsborough County Criminal</v>
      </c>
      <c r="D288" s="188">
        <v>1375712</v>
      </c>
      <c r="E288" s="188">
        <v>1299549</v>
      </c>
      <c r="F288" s="188">
        <v>1285526</v>
      </c>
      <c r="G288" s="188">
        <v>1281029</v>
      </c>
      <c r="H288" s="128"/>
      <c r="I288" s="188">
        <v>125087</v>
      </c>
      <c r="J288" s="188">
        <v>248139</v>
      </c>
      <c r="K288" s="188">
        <v>298040</v>
      </c>
      <c r="L288" s="188">
        <v>318992</v>
      </c>
      <c r="M288" s="70"/>
      <c r="N288" s="188">
        <v>1565860</v>
      </c>
      <c r="O288" s="188">
        <v>1484515</v>
      </c>
      <c r="P288" s="188">
        <v>1467413</v>
      </c>
      <c r="Q288" s="128"/>
      <c r="R288" s="128"/>
      <c r="S288" s="188">
        <v>154398</v>
      </c>
      <c r="T288" s="188">
        <v>283160</v>
      </c>
      <c r="U288" s="188">
        <v>333265</v>
      </c>
      <c r="V288" s="61"/>
      <c r="W288" s="58"/>
      <c r="X288" s="188">
        <v>1519499</v>
      </c>
      <c r="Y288" s="188">
        <v>1472544</v>
      </c>
      <c r="Z288" s="128"/>
      <c r="AA288" s="128"/>
      <c r="AB288" s="128"/>
      <c r="AC288" s="188">
        <v>146016</v>
      </c>
      <c r="AD288" s="188">
        <v>275665</v>
      </c>
      <c r="AE288" s="61"/>
      <c r="AF288" s="65"/>
      <c r="AG288" s="58"/>
      <c r="AH288" s="188">
        <v>1535333</v>
      </c>
      <c r="AI288" s="128"/>
      <c r="AJ288" s="128"/>
      <c r="AK288" s="128"/>
      <c r="AL288" s="128"/>
      <c r="AM288" s="188">
        <v>130669</v>
      </c>
      <c r="AN288" s="135"/>
      <c r="AO288" s="135"/>
      <c r="AP288" s="135"/>
    </row>
    <row r="289" spans="1:42" x14ac:dyDescent="0.25">
      <c r="A289" t="s">
        <v>76</v>
      </c>
      <c r="B289" t="s">
        <v>41</v>
      </c>
      <c r="C289" s="212" t="str">
        <f t="shared" si="4"/>
        <v>Hillsborough Criminal Traffic</v>
      </c>
      <c r="D289" s="188">
        <v>8162624</v>
      </c>
      <c r="E289" s="188">
        <v>6692880</v>
      </c>
      <c r="F289" s="188">
        <v>6361509</v>
      </c>
      <c r="G289" s="188">
        <v>6271287</v>
      </c>
      <c r="H289" s="65"/>
      <c r="I289" s="188">
        <v>2486620</v>
      </c>
      <c r="J289" s="188">
        <v>3827453</v>
      </c>
      <c r="K289" s="188">
        <v>4275816</v>
      </c>
      <c r="L289" s="188">
        <v>4457225</v>
      </c>
      <c r="M289" s="70"/>
      <c r="N289" s="188">
        <v>8008218</v>
      </c>
      <c r="O289" s="188">
        <v>6589664</v>
      </c>
      <c r="P289" s="188">
        <v>6356509</v>
      </c>
      <c r="Q289" s="65"/>
      <c r="R289" s="65"/>
      <c r="S289" s="188">
        <v>2946718</v>
      </c>
      <c r="T289" s="188">
        <v>4283821</v>
      </c>
      <c r="U289" s="188">
        <v>4694856</v>
      </c>
      <c r="V289" s="61"/>
      <c r="W289" s="58"/>
      <c r="X289" s="188">
        <v>8328018</v>
      </c>
      <c r="Y289" s="188">
        <v>7007631</v>
      </c>
      <c r="Z289" s="65"/>
      <c r="AA289" s="65"/>
      <c r="AB289" s="65"/>
      <c r="AC289" s="188">
        <v>3018470</v>
      </c>
      <c r="AD289" s="188">
        <v>4374715</v>
      </c>
      <c r="AE289" s="61"/>
      <c r="AF289" s="65"/>
      <c r="AG289" s="58"/>
      <c r="AH289" s="188">
        <v>7739031</v>
      </c>
      <c r="AI289" s="65"/>
      <c r="AJ289" s="65"/>
      <c r="AK289" s="65"/>
      <c r="AL289" s="65"/>
      <c r="AM289" s="188">
        <v>2558921</v>
      </c>
      <c r="AN289" s="135"/>
    </row>
    <row r="290" spans="1:42" x14ac:dyDescent="0.25">
      <c r="A290" t="s">
        <v>76</v>
      </c>
      <c r="B290" t="s">
        <v>46</v>
      </c>
      <c r="C290" s="212" t="str">
        <f t="shared" si="4"/>
        <v>Hillsborough Family</v>
      </c>
      <c r="D290" s="188">
        <v>633427</v>
      </c>
      <c r="E290" s="188">
        <v>630680</v>
      </c>
      <c r="F290" s="188">
        <v>629971</v>
      </c>
      <c r="G290" s="188">
        <v>629611</v>
      </c>
      <c r="H290" s="128"/>
      <c r="I290" s="188">
        <v>598206</v>
      </c>
      <c r="J290" s="188">
        <v>600437</v>
      </c>
      <c r="K290" s="188">
        <v>600517</v>
      </c>
      <c r="L290" s="188">
        <v>600531</v>
      </c>
      <c r="M290" s="70"/>
      <c r="N290" s="188">
        <v>717717</v>
      </c>
      <c r="O290" s="188">
        <v>714026</v>
      </c>
      <c r="P290" s="188">
        <v>713558</v>
      </c>
      <c r="Q290" s="128"/>
      <c r="R290" s="128"/>
      <c r="S290" s="188">
        <v>677700</v>
      </c>
      <c r="T290" s="188">
        <v>685804</v>
      </c>
      <c r="U290" s="188">
        <v>689111</v>
      </c>
      <c r="V290" s="61"/>
      <c r="W290" s="58"/>
      <c r="X290" s="188">
        <v>752235</v>
      </c>
      <c r="Y290" s="188">
        <v>744322</v>
      </c>
      <c r="Z290" s="128"/>
      <c r="AA290" s="128"/>
      <c r="AB290" s="128"/>
      <c r="AC290" s="188">
        <v>702977</v>
      </c>
      <c r="AD290" s="188">
        <v>708420</v>
      </c>
      <c r="AE290" s="61"/>
      <c r="AF290" s="65"/>
      <c r="AG290" s="58"/>
      <c r="AH290" s="188">
        <v>736818</v>
      </c>
      <c r="AI290" s="128"/>
      <c r="AJ290" s="128"/>
      <c r="AK290" s="128"/>
      <c r="AL290" s="128"/>
      <c r="AM290" s="188">
        <v>690943</v>
      </c>
      <c r="AN290" s="135"/>
      <c r="AO290" s="135"/>
      <c r="AP290" s="135"/>
    </row>
    <row r="291" spans="1:42" x14ac:dyDescent="0.25">
      <c r="A291" t="s">
        <v>76</v>
      </c>
      <c r="B291" t="s">
        <v>40</v>
      </c>
      <c r="C291" s="212" t="str">
        <f t="shared" si="4"/>
        <v>Hillsborough Juvenile Delinquency</v>
      </c>
      <c r="D291" s="188">
        <v>107122</v>
      </c>
      <c r="E291" s="188">
        <v>105379</v>
      </c>
      <c r="F291" s="188">
        <v>104681</v>
      </c>
      <c r="G291" s="188">
        <v>104582</v>
      </c>
      <c r="H291" s="128"/>
      <c r="I291" s="188">
        <v>5542</v>
      </c>
      <c r="J291" s="188">
        <v>10868</v>
      </c>
      <c r="K291" s="188">
        <v>13785</v>
      </c>
      <c r="L291" s="188">
        <v>14938</v>
      </c>
      <c r="M291" s="70"/>
      <c r="N291" s="188">
        <v>115658</v>
      </c>
      <c r="O291" s="188">
        <v>113665</v>
      </c>
      <c r="P291" s="188">
        <v>113416</v>
      </c>
      <c r="Q291" s="128"/>
      <c r="R291" s="128"/>
      <c r="S291" s="188">
        <v>8241</v>
      </c>
      <c r="T291" s="188">
        <v>16359</v>
      </c>
      <c r="U291" s="188">
        <v>21103</v>
      </c>
      <c r="V291" s="65"/>
      <c r="W291" s="58"/>
      <c r="X291" s="188">
        <v>114196</v>
      </c>
      <c r="Y291" s="188">
        <v>112951</v>
      </c>
      <c r="Z291" s="128"/>
      <c r="AA291" s="128"/>
      <c r="AB291" s="128"/>
      <c r="AC291" s="188">
        <v>7336</v>
      </c>
      <c r="AD291" s="188">
        <v>13020</v>
      </c>
      <c r="AE291" s="61"/>
      <c r="AF291" s="65"/>
      <c r="AG291" s="58"/>
      <c r="AH291" s="188">
        <v>118311</v>
      </c>
      <c r="AI291" s="128"/>
      <c r="AJ291" s="128"/>
      <c r="AK291" s="128"/>
      <c r="AL291" s="128"/>
      <c r="AM291" s="188">
        <v>5690</v>
      </c>
      <c r="AN291" s="135"/>
      <c r="AO291" s="135"/>
      <c r="AP291" s="135"/>
    </row>
    <row r="292" spans="1:42" x14ac:dyDescent="0.25">
      <c r="A292" t="s">
        <v>76</v>
      </c>
      <c r="B292" t="s">
        <v>45</v>
      </c>
      <c r="C292" s="212" t="str">
        <f t="shared" si="4"/>
        <v>Hillsborough Probate</v>
      </c>
      <c r="D292" s="188">
        <v>250408</v>
      </c>
      <c r="E292" s="188">
        <v>249502</v>
      </c>
      <c r="F292" s="188">
        <v>249502</v>
      </c>
      <c r="G292" s="188">
        <v>249502</v>
      </c>
      <c r="H292" s="128"/>
      <c r="I292" s="188">
        <v>242251</v>
      </c>
      <c r="J292" s="188">
        <v>244884</v>
      </c>
      <c r="K292" s="188">
        <v>245244</v>
      </c>
      <c r="L292" s="188">
        <v>245964</v>
      </c>
      <c r="M292" s="70"/>
      <c r="N292" s="188">
        <v>308541</v>
      </c>
      <c r="O292" s="188">
        <v>308141</v>
      </c>
      <c r="P292" s="188">
        <v>307796</v>
      </c>
      <c r="Q292" s="128"/>
      <c r="R292" s="128"/>
      <c r="S292" s="188">
        <v>294824</v>
      </c>
      <c r="T292" s="188">
        <v>296518</v>
      </c>
      <c r="U292" s="188">
        <v>297281</v>
      </c>
      <c r="V292" s="61"/>
      <c r="W292" s="58"/>
      <c r="X292" s="188">
        <v>306020</v>
      </c>
      <c r="Y292" s="188">
        <v>306020</v>
      </c>
      <c r="Z292" s="128"/>
      <c r="AA292" s="128"/>
      <c r="AB292" s="128"/>
      <c r="AC292" s="188">
        <v>294833</v>
      </c>
      <c r="AD292" s="188">
        <v>297425</v>
      </c>
      <c r="AE292" s="61"/>
      <c r="AF292" s="65"/>
      <c r="AG292" s="58"/>
      <c r="AH292" s="188">
        <v>329416</v>
      </c>
      <c r="AI292" s="128"/>
      <c r="AJ292" s="128"/>
      <c r="AK292" s="128"/>
      <c r="AL292" s="128"/>
      <c r="AM292" s="188">
        <v>316791</v>
      </c>
      <c r="AN292" s="135"/>
      <c r="AO292" s="135"/>
      <c r="AP292" s="135"/>
    </row>
    <row r="293" spans="1:42" x14ac:dyDescent="0.25">
      <c r="A293" t="s">
        <v>77</v>
      </c>
      <c r="B293" t="s">
        <v>42</v>
      </c>
      <c r="C293" s="212" t="str">
        <f t="shared" si="4"/>
        <v>Holmes Circuit Civil</v>
      </c>
      <c r="D293" s="188">
        <v>60011.8</v>
      </c>
      <c r="E293" s="188">
        <v>60011.8</v>
      </c>
      <c r="F293" s="188">
        <v>60011.8</v>
      </c>
      <c r="G293" s="188">
        <v>60011.8</v>
      </c>
      <c r="H293" s="128"/>
      <c r="I293" s="188">
        <v>59611.8</v>
      </c>
      <c r="J293" s="188">
        <v>59611.8</v>
      </c>
      <c r="K293" s="188">
        <v>59611.8</v>
      </c>
      <c r="L293" s="188">
        <v>59611.8</v>
      </c>
      <c r="M293" s="70"/>
      <c r="N293" s="188">
        <v>25841.26</v>
      </c>
      <c r="O293" s="188">
        <v>25841.26</v>
      </c>
      <c r="P293" s="188">
        <v>25841.26</v>
      </c>
      <c r="Q293" s="128"/>
      <c r="R293" s="128"/>
      <c r="S293" s="188">
        <v>24951.26</v>
      </c>
      <c r="T293" s="188">
        <v>24961.26</v>
      </c>
      <c r="U293" s="188">
        <v>24961.26</v>
      </c>
      <c r="V293" s="61"/>
      <c r="W293" s="58"/>
      <c r="X293" s="188">
        <v>154678.5</v>
      </c>
      <c r="Y293" s="188">
        <v>154678.5</v>
      </c>
      <c r="Z293" s="128"/>
      <c r="AA293" s="128"/>
      <c r="AB293" s="128"/>
      <c r="AC293" s="188">
        <v>154678.5</v>
      </c>
      <c r="AD293" s="188">
        <v>154678.5</v>
      </c>
      <c r="AE293" s="61"/>
      <c r="AF293" s="65"/>
      <c r="AG293" s="58"/>
      <c r="AH293" s="188">
        <v>108010</v>
      </c>
      <c r="AI293" s="128"/>
      <c r="AJ293" s="128"/>
      <c r="AK293" s="128"/>
      <c r="AL293" s="128"/>
      <c r="AM293" s="188">
        <v>106810</v>
      </c>
      <c r="AN293" s="135"/>
      <c r="AO293" s="135"/>
      <c r="AP293" s="135"/>
    </row>
    <row r="294" spans="1:42" x14ac:dyDescent="0.25">
      <c r="A294" t="s">
        <v>77</v>
      </c>
      <c r="B294" t="s">
        <v>38</v>
      </c>
      <c r="C294" s="212" t="str">
        <f t="shared" si="4"/>
        <v>Holmes Circuit Criminal</v>
      </c>
      <c r="D294" s="188">
        <v>194375.25</v>
      </c>
      <c r="E294" s="188">
        <v>194275.25</v>
      </c>
      <c r="F294" s="188">
        <v>194075.25</v>
      </c>
      <c r="G294" s="188">
        <v>194025.25</v>
      </c>
      <c r="H294" s="128"/>
      <c r="I294" s="188">
        <v>2395.12</v>
      </c>
      <c r="J294" s="188">
        <v>5344.24</v>
      </c>
      <c r="K294" s="188">
        <v>7432.69</v>
      </c>
      <c r="L294" s="188">
        <v>9722.31</v>
      </c>
      <c r="M294" s="70"/>
      <c r="N294" s="188">
        <v>277601.25</v>
      </c>
      <c r="O294" s="188">
        <v>277451.25</v>
      </c>
      <c r="P294" s="188">
        <v>277401.25</v>
      </c>
      <c r="Q294" s="128"/>
      <c r="R294" s="128"/>
      <c r="S294" s="188">
        <v>3083.39</v>
      </c>
      <c r="T294" s="188">
        <v>9836.52</v>
      </c>
      <c r="U294" s="188">
        <v>13034.59</v>
      </c>
      <c r="V294" s="61"/>
      <c r="W294" s="58"/>
      <c r="X294" s="188">
        <v>176674.5</v>
      </c>
      <c r="Y294" s="188">
        <v>173494.87</v>
      </c>
      <c r="Z294" s="128"/>
      <c r="AA294" s="128"/>
      <c r="AB294" s="128"/>
      <c r="AC294" s="188">
        <v>2174.12</v>
      </c>
      <c r="AD294" s="188">
        <v>4974.18</v>
      </c>
      <c r="AE294" s="61"/>
      <c r="AF294" s="65"/>
      <c r="AG294" s="58"/>
      <c r="AH294" s="188">
        <v>236886</v>
      </c>
      <c r="AI294" s="128"/>
      <c r="AJ294" s="128"/>
      <c r="AK294" s="128"/>
      <c r="AL294" s="128"/>
      <c r="AM294" s="188">
        <v>2340.37</v>
      </c>
      <c r="AN294" s="135"/>
      <c r="AO294" s="135"/>
      <c r="AP294" s="135"/>
    </row>
    <row r="295" spans="1:42" x14ac:dyDescent="0.25">
      <c r="A295" t="s">
        <v>77</v>
      </c>
      <c r="B295" t="s">
        <v>265</v>
      </c>
      <c r="C295" s="212" t="str">
        <f t="shared" si="4"/>
        <v>Holmes Circuit Criminal Drug Cases</v>
      </c>
      <c r="D295" s="188">
        <v>53093</v>
      </c>
      <c r="E295" s="188">
        <v>53093</v>
      </c>
      <c r="F295" s="188">
        <v>53093</v>
      </c>
      <c r="G295" s="188">
        <v>53093</v>
      </c>
      <c r="H295" s="63"/>
      <c r="I295" s="188">
        <v>0</v>
      </c>
      <c r="J295" s="188">
        <v>0</v>
      </c>
      <c r="K295" s="188">
        <v>0</v>
      </c>
      <c r="L295" s="188">
        <v>0</v>
      </c>
      <c r="N295" s="188">
        <v>52520</v>
      </c>
      <c r="O295" s="188">
        <v>52520</v>
      </c>
      <c r="P295" s="188">
        <v>52520</v>
      </c>
      <c r="Q295" s="63"/>
      <c r="R295" s="63"/>
      <c r="S295" s="188">
        <v>0</v>
      </c>
      <c r="T295" s="188">
        <v>0</v>
      </c>
      <c r="U295" s="188">
        <v>0</v>
      </c>
      <c r="X295" s="188">
        <v>0</v>
      </c>
      <c r="Y295" s="188">
        <v>0</v>
      </c>
      <c r="Z295" s="63"/>
      <c r="AB295" s="63"/>
      <c r="AC295" s="188">
        <v>0</v>
      </c>
      <c r="AD295" s="188">
        <v>0</v>
      </c>
      <c r="AH295" s="188">
        <v>0</v>
      </c>
      <c r="AI295" s="63"/>
      <c r="AL295" s="63"/>
      <c r="AM295" s="188">
        <v>0</v>
      </c>
    </row>
    <row r="296" spans="1:42" x14ac:dyDescent="0.25">
      <c r="A296" t="s">
        <v>77</v>
      </c>
      <c r="B296" t="s">
        <v>44</v>
      </c>
      <c r="C296" s="212" t="str">
        <f t="shared" si="4"/>
        <v>Holmes Civil Traffic</v>
      </c>
      <c r="D296" s="188">
        <v>115381.4</v>
      </c>
      <c r="E296" s="188">
        <v>113067.65</v>
      </c>
      <c r="F296" s="188">
        <v>113067.65</v>
      </c>
      <c r="G296" s="188">
        <v>113067.65</v>
      </c>
      <c r="H296" s="128"/>
      <c r="I296" s="188">
        <v>51248.6</v>
      </c>
      <c r="J296" s="188">
        <v>94112.33</v>
      </c>
      <c r="K296" s="188">
        <v>99099</v>
      </c>
      <c r="L296" s="188">
        <v>100219</v>
      </c>
      <c r="M296" s="70"/>
      <c r="N296" s="188">
        <v>124180.15</v>
      </c>
      <c r="O296" s="188">
        <v>124886.9</v>
      </c>
      <c r="P296" s="188">
        <v>124886.9</v>
      </c>
      <c r="Q296" s="128"/>
      <c r="R296" s="128"/>
      <c r="S296" s="188">
        <v>59635.32</v>
      </c>
      <c r="T296" s="188">
        <v>101640.91</v>
      </c>
      <c r="U296" s="188">
        <v>107275.9</v>
      </c>
      <c r="V296" s="61"/>
      <c r="W296" s="58"/>
      <c r="X296" s="188">
        <v>134869.15</v>
      </c>
      <c r="Y296" s="188">
        <v>134254.39999999999</v>
      </c>
      <c r="Z296" s="128"/>
      <c r="AA296" s="128"/>
      <c r="AB296" s="128"/>
      <c r="AC296" s="188">
        <v>71991.490000000005</v>
      </c>
      <c r="AD296" s="188">
        <v>114043.41</v>
      </c>
      <c r="AE296" s="61"/>
      <c r="AF296" s="65"/>
      <c r="AG296" s="58"/>
      <c r="AH296" s="188">
        <v>114670.05</v>
      </c>
      <c r="AI296" s="128"/>
      <c r="AJ296" s="128"/>
      <c r="AK296" s="128"/>
      <c r="AL296" s="128"/>
      <c r="AM296" s="188">
        <v>55378.74</v>
      </c>
      <c r="AN296" s="135"/>
      <c r="AO296" s="135"/>
      <c r="AP296" s="135"/>
    </row>
    <row r="297" spans="1:42" x14ac:dyDescent="0.25">
      <c r="A297" t="s">
        <v>77</v>
      </c>
      <c r="B297" t="s">
        <v>43</v>
      </c>
      <c r="C297" s="212" t="str">
        <f t="shared" si="4"/>
        <v>Holmes County Civil</v>
      </c>
      <c r="D297" s="188">
        <v>9144</v>
      </c>
      <c r="E297" s="188">
        <v>9144</v>
      </c>
      <c r="F297" s="188">
        <v>9144</v>
      </c>
      <c r="G297" s="188">
        <v>9144</v>
      </c>
      <c r="H297" s="128"/>
      <c r="I297" s="188">
        <v>9144</v>
      </c>
      <c r="J297" s="188">
        <v>9144</v>
      </c>
      <c r="K297" s="188">
        <v>9144</v>
      </c>
      <c r="L297" s="188">
        <v>9144</v>
      </c>
      <c r="M297" s="70"/>
      <c r="N297" s="188">
        <v>17123</v>
      </c>
      <c r="O297" s="188">
        <v>17123</v>
      </c>
      <c r="P297" s="188">
        <v>17123</v>
      </c>
      <c r="Q297" s="128"/>
      <c r="R297" s="128"/>
      <c r="S297" s="188">
        <v>17123</v>
      </c>
      <c r="T297" s="188">
        <v>17123</v>
      </c>
      <c r="U297" s="188">
        <v>17123</v>
      </c>
      <c r="V297" s="61"/>
      <c r="W297" s="58"/>
      <c r="X297" s="188">
        <v>13346.2</v>
      </c>
      <c r="Y297" s="188">
        <v>13346.2</v>
      </c>
      <c r="Z297" s="128"/>
      <c r="AA297" s="128"/>
      <c r="AB297" s="128"/>
      <c r="AC297" s="188">
        <v>13346.2</v>
      </c>
      <c r="AD297" s="188">
        <v>13346.2</v>
      </c>
      <c r="AE297" s="61"/>
      <c r="AF297" s="65"/>
      <c r="AG297" s="58"/>
      <c r="AH297" s="188">
        <v>11440.5</v>
      </c>
      <c r="AI297" s="128"/>
      <c r="AJ297" s="128"/>
      <c r="AK297" s="128"/>
      <c r="AL297" s="128"/>
      <c r="AM297" s="188">
        <v>11440.5</v>
      </c>
      <c r="AN297" s="135"/>
      <c r="AO297" s="135"/>
      <c r="AP297" s="135"/>
    </row>
    <row r="298" spans="1:42" x14ac:dyDescent="0.25">
      <c r="A298" t="s">
        <v>77</v>
      </c>
      <c r="B298" t="s">
        <v>39</v>
      </c>
      <c r="C298" s="212" t="str">
        <f t="shared" si="4"/>
        <v>Holmes County Criminal</v>
      </c>
      <c r="D298" s="188">
        <v>40258.879999999997</v>
      </c>
      <c r="E298" s="188">
        <v>40258.879999999997</v>
      </c>
      <c r="F298" s="188">
        <v>39658.57</v>
      </c>
      <c r="G298" s="188">
        <v>39288.82</v>
      </c>
      <c r="H298" s="128"/>
      <c r="I298" s="188">
        <v>7411.47</v>
      </c>
      <c r="J298" s="188">
        <v>12785.72</v>
      </c>
      <c r="K298" s="188">
        <v>17634.990000000002</v>
      </c>
      <c r="L298" s="188">
        <v>19270.490000000002</v>
      </c>
      <c r="M298" s="70"/>
      <c r="N298" s="188">
        <v>41824.75</v>
      </c>
      <c r="O298" s="188">
        <v>41824.75</v>
      </c>
      <c r="P298" s="188">
        <v>41824.75</v>
      </c>
      <c r="Q298" s="128"/>
      <c r="R298" s="128"/>
      <c r="S298" s="188">
        <v>12382.71</v>
      </c>
      <c r="T298" s="188">
        <v>20142.63</v>
      </c>
      <c r="U298" s="188">
        <v>23043.65</v>
      </c>
      <c r="V298" s="61"/>
      <c r="W298" s="58"/>
      <c r="X298" s="188">
        <v>41871.730000000003</v>
      </c>
      <c r="Y298" s="188">
        <v>41871.730000000003</v>
      </c>
      <c r="Z298" s="128"/>
      <c r="AA298" s="128"/>
      <c r="AB298" s="128"/>
      <c r="AC298" s="188">
        <v>8111.94</v>
      </c>
      <c r="AD298" s="188">
        <v>15738.78</v>
      </c>
      <c r="AE298" s="61"/>
      <c r="AF298" s="65"/>
      <c r="AG298" s="58"/>
      <c r="AH298" s="188">
        <v>44874.16</v>
      </c>
      <c r="AI298" s="128"/>
      <c r="AJ298" s="128"/>
      <c r="AK298" s="128"/>
      <c r="AL298" s="128"/>
      <c r="AM298" s="188">
        <v>7364.92</v>
      </c>
      <c r="AN298" s="135"/>
      <c r="AO298" s="135"/>
      <c r="AP298" s="135"/>
    </row>
    <row r="299" spans="1:42" x14ac:dyDescent="0.25">
      <c r="A299" t="s">
        <v>77</v>
      </c>
      <c r="B299" t="s">
        <v>41</v>
      </c>
      <c r="C299" s="212" t="str">
        <f t="shared" si="4"/>
        <v>Holmes Criminal Traffic</v>
      </c>
      <c r="D299" s="188">
        <v>34987.75</v>
      </c>
      <c r="E299" s="188">
        <v>34987.75</v>
      </c>
      <c r="F299" s="188">
        <v>34987.75</v>
      </c>
      <c r="G299" s="188">
        <v>34987.75</v>
      </c>
      <c r="H299" s="128"/>
      <c r="I299" s="188">
        <v>6431.06</v>
      </c>
      <c r="J299" s="188">
        <v>18439.27</v>
      </c>
      <c r="K299" s="188">
        <v>23492.799999999999</v>
      </c>
      <c r="L299" s="188">
        <v>24863.24</v>
      </c>
      <c r="M299" s="70"/>
      <c r="N299" s="188">
        <v>24933.25</v>
      </c>
      <c r="O299" s="188">
        <v>24933.25</v>
      </c>
      <c r="P299" s="188">
        <v>24933.25</v>
      </c>
      <c r="Q299" s="128"/>
      <c r="R299" s="128"/>
      <c r="S299" s="188">
        <v>7462.44</v>
      </c>
      <c r="T299" s="188">
        <v>12923.6</v>
      </c>
      <c r="U299" s="188">
        <v>14949.35</v>
      </c>
      <c r="V299" s="61"/>
      <c r="W299" s="58"/>
      <c r="X299" s="188">
        <v>36116.75</v>
      </c>
      <c r="Y299" s="188">
        <v>36116.75</v>
      </c>
      <c r="Z299" s="128"/>
      <c r="AA299" s="128"/>
      <c r="AB299" s="128"/>
      <c r="AC299" s="188">
        <v>12776.19</v>
      </c>
      <c r="AD299" s="188">
        <v>19795.37</v>
      </c>
      <c r="AE299" s="61"/>
      <c r="AF299" s="65"/>
      <c r="AG299" s="58"/>
      <c r="AH299" s="188">
        <v>28624.5</v>
      </c>
      <c r="AI299" s="128"/>
      <c r="AJ299" s="128"/>
      <c r="AK299" s="128"/>
      <c r="AL299" s="128"/>
      <c r="AM299" s="188">
        <v>5244.62</v>
      </c>
      <c r="AN299" s="135"/>
      <c r="AO299" s="135"/>
      <c r="AP299" s="135"/>
    </row>
    <row r="300" spans="1:42" x14ac:dyDescent="0.25">
      <c r="A300" t="s">
        <v>77</v>
      </c>
      <c r="B300" t="s">
        <v>46</v>
      </c>
      <c r="C300" s="212" t="str">
        <f t="shared" si="4"/>
        <v>Holmes Family</v>
      </c>
      <c r="D300" s="188">
        <v>16080.56</v>
      </c>
      <c r="E300" s="188">
        <v>16080.56</v>
      </c>
      <c r="F300" s="188">
        <v>16080.56</v>
      </c>
      <c r="G300" s="188">
        <v>16080.56</v>
      </c>
      <c r="H300" s="128"/>
      <c r="I300" s="188">
        <v>14148.56</v>
      </c>
      <c r="J300" s="188">
        <v>14273.56</v>
      </c>
      <c r="K300" s="188">
        <v>14273.56</v>
      </c>
      <c r="L300" s="188">
        <v>14273.56</v>
      </c>
      <c r="M300" s="70"/>
      <c r="N300" s="188">
        <v>20957.599999999999</v>
      </c>
      <c r="O300" s="188">
        <v>20957.599999999999</v>
      </c>
      <c r="P300" s="188">
        <v>20957.599999999999</v>
      </c>
      <c r="Q300" s="128"/>
      <c r="R300" s="128"/>
      <c r="S300" s="188">
        <v>19000.599999999999</v>
      </c>
      <c r="T300" s="188">
        <v>19100.599999999999</v>
      </c>
      <c r="U300" s="188">
        <v>19175.599999999999</v>
      </c>
      <c r="V300" s="61"/>
      <c r="W300" s="58"/>
      <c r="X300" s="188">
        <v>14444.27</v>
      </c>
      <c r="Y300" s="188">
        <v>14444.27</v>
      </c>
      <c r="Z300" s="128"/>
      <c r="AA300" s="128"/>
      <c r="AB300" s="128"/>
      <c r="AC300" s="188">
        <v>11344.27</v>
      </c>
      <c r="AD300" s="188">
        <v>11654.27</v>
      </c>
      <c r="AE300" s="61"/>
      <c r="AF300" s="65"/>
      <c r="AG300" s="58"/>
      <c r="AH300" s="188">
        <v>17804.75</v>
      </c>
      <c r="AI300" s="128"/>
      <c r="AJ300" s="128"/>
      <c r="AK300" s="128"/>
      <c r="AL300" s="128"/>
      <c r="AM300" s="188">
        <v>14887.25</v>
      </c>
      <c r="AN300" s="135"/>
      <c r="AO300" s="135"/>
      <c r="AP300" s="135"/>
    </row>
    <row r="301" spans="1:42" x14ac:dyDescent="0.25">
      <c r="A301" t="s">
        <v>77</v>
      </c>
      <c r="B301" t="s">
        <v>40</v>
      </c>
      <c r="C301" s="212" t="str">
        <f t="shared" si="4"/>
        <v>Holmes Juvenile Delinquency</v>
      </c>
      <c r="D301" s="188">
        <v>526</v>
      </c>
      <c r="E301" s="188">
        <v>526</v>
      </c>
      <c r="F301" s="188">
        <v>526</v>
      </c>
      <c r="G301" s="188">
        <v>526</v>
      </c>
      <c r="H301" s="128"/>
      <c r="I301" s="188">
        <v>0</v>
      </c>
      <c r="J301" s="188">
        <v>0</v>
      </c>
      <c r="K301" s="188">
        <v>213</v>
      </c>
      <c r="L301" s="188">
        <v>213</v>
      </c>
      <c r="M301" s="70"/>
      <c r="N301" s="188">
        <v>639</v>
      </c>
      <c r="O301" s="188">
        <v>639</v>
      </c>
      <c r="P301" s="188">
        <v>639</v>
      </c>
      <c r="Q301" s="128"/>
      <c r="R301" s="128"/>
      <c r="S301" s="188">
        <v>0</v>
      </c>
      <c r="T301" s="188">
        <v>213</v>
      </c>
      <c r="U301" s="188">
        <v>326</v>
      </c>
      <c r="V301" s="61"/>
      <c r="W301" s="58"/>
      <c r="X301" s="188">
        <v>934</v>
      </c>
      <c r="Y301" s="188">
        <v>934</v>
      </c>
      <c r="Z301" s="128"/>
      <c r="AA301" s="128"/>
      <c r="AB301" s="128"/>
      <c r="AC301" s="188">
        <v>295</v>
      </c>
      <c r="AD301" s="188">
        <v>295</v>
      </c>
      <c r="AE301" s="61"/>
      <c r="AF301" s="65"/>
      <c r="AG301" s="58"/>
      <c r="AH301" s="188">
        <v>548</v>
      </c>
      <c r="AI301" s="128"/>
      <c r="AJ301" s="128"/>
      <c r="AK301" s="128"/>
      <c r="AL301" s="128"/>
      <c r="AM301" s="188">
        <v>122</v>
      </c>
      <c r="AN301" s="135"/>
      <c r="AO301" s="135"/>
      <c r="AP301" s="135"/>
    </row>
    <row r="302" spans="1:42" x14ac:dyDescent="0.25">
      <c r="A302" t="s">
        <v>77</v>
      </c>
      <c r="B302" t="s">
        <v>45</v>
      </c>
      <c r="C302" s="212" t="str">
        <f t="shared" si="4"/>
        <v>Holmes Probate</v>
      </c>
      <c r="D302" s="188">
        <v>8859</v>
      </c>
      <c r="E302" s="188">
        <v>8859</v>
      </c>
      <c r="F302" s="188">
        <v>8859</v>
      </c>
      <c r="G302" s="188">
        <v>8859</v>
      </c>
      <c r="H302" s="128"/>
      <c r="I302" s="188">
        <v>8859</v>
      </c>
      <c r="J302" s="188">
        <v>8859</v>
      </c>
      <c r="K302" s="188">
        <v>8859</v>
      </c>
      <c r="L302" s="188">
        <v>8859</v>
      </c>
      <c r="M302" s="70"/>
      <c r="N302" s="188">
        <v>6840</v>
      </c>
      <c r="O302" s="188">
        <v>6840</v>
      </c>
      <c r="P302" s="188">
        <v>6840</v>
      </c>
      <c r="Q302" s="128"/>
      <c r="R302" s="128"/>
      <c r="S302" s="188">
        <v>6378</v>
      </c>
      <c r="T302" s="188">
        <v>6378</v>
      </c>
      <c r="U302" s="188">
        <v>6378</v>
      </c>
      <c r="V302" s="61"/>
      <c r="W302" s="58"/>
      <c r="X302" s="188">
        <v>9406</v>
      </c>
      <c r="Y302" s="188">
        <v>9406</v>
      </c>
      <c r="Z302" s="128"/>
      <c r="AA302" s="128"/>
      <c r="AB302" s="128"/>
      <c r="AC302" s="188">
        <v>9406</v>
      </c>
      <c r="AD302" s="188">
        <v>9406</v>
      </c>
      <c r="AE302" s="61"/>
      <c r="AF302" s="65"/>
      <c r="AG302" s="58"/>
      <c r="AH302" s="188">
        <v>8432</v>
      </c>
      <c r="AI302" s="128"/>
      <c r="AJ302" s="128"/>
      <c r="AK302" s="128"/>
      <c r="AL302" s="128"/>
      <c r="AM302" s="188">
        <v>8432</v>
      </c>
      <c r="AN302" s="135"/>
      <c r="AO302" s="135"/>
      <c r="AP302" s="135"/>
    </row>
    <row r="303" spans="1:42" x14ac:dyDescent="0.25">
      <c r="A303" t="s">
        <v>78</v>
      </c>
      <c r="B303" t="s">
        <v>42</v>
      </c>
      <c r="C303" s="212" t="str">
        <f t="shared" si="4"/>
        <v>Indian River Circuit Civil</v>
      </c>
      <c r="D303" s="188">
        <v>304354.65999999997</v>
      </c>
      <c r="E303" s="188">
        <v>304354.65999999997</v>
      </c>
      <c r="F303" s="188">
        <v>304354.65999999997</v>
      </c>
      <c r="G303" s="188">
        <v>303721.65999999997</v>
      </c>
      <c r="H303" s="128"/>
      <c r="I303" s="188">
        <v>298518.61</v>
      </c>
      <c r="J303" s="188">
        <v>303369.65999999997</v>
      </c>
      <c r="K303" s="188">
        <v>303369.65999999997</v>
      </c>
      <c r="L303" s="188">
        <v>303369.65999999997</v>
      </c>
      <c r="M303" s="70"/>
      <c r="N303" s="188">
        <v>299246.51</v>
      </c>
      <c r="O303" s="188">
        <v>299246.51</v>
      </c>
      <c r="P303" s="188">
        <v>296838.51</v>
      </c>
      <c r="Q303" s="128"/>
      <c r="R303" s="128"/>
      <c r="S303" s="188">
        <v>283589.28000000003</v>
      </c>
      <c r="T303" s="188">
        <v>295696.78000000003</v>
      </c>
      <c r="U303" s="188">
        <v>296698.51</v>
      </c>
      <c r="V303" s="61"/>
      <c r="W303" s="58"/>
      <c r="X303" s="188">
        <v>297198.36</v>
      </c>
      <c r="Y303" s="188">
        <v>297198.36</v>
      </c>
      <c r="Z303" s="128"/>
      <c r="AA303" s="128"/>
      <c r="AB303" s="128"/>
      <c r="AC303" s="188">
        <v>280182.36</v>
      </c>
      <c r="AD303" s="188">
        <v>296319.35999999999</v>
      </c>
      <c r="AE303" s="61"/>
      <c r="AF303" s="65"/>
      <c r="AG303" s="58"/>
      <c r="AH303" s="188">
        <v>254874.46</v>
      </c>
      <c r="AI303" s="128"/>
      <c r="AJ303" s="128"/>
      <c r="AK303" s="128"/>
      <c r="AL303" s="128"/>
      <c r="AM303" s="188">
        <v>244726</v>
      </c>
      <c r="AN303" s="135"/>
      <c r="AO303" s="135"/>
      <c r="AP303" s="135"/>
    </row>
    <row r="304" spans="1:42" x14ac:dyDescent="0.25">
      <c r="A304" t="s">
        <v>78</v>
      </c>
      <c r="B304" t="s">
        <v>38</v>
      </c>
      <c r="C304" s="212" t="str">
        <f t="shared" si="4"/>
        <v>Indian River Circuit Criminal</v>
      </c>
      <c r="D304" s="188">
        <v>311751.07</v>
      </c>
      <c r="E304" s="188">
        <v>311751.07</v>
      </c>
      <c r="F304" s="188">
        <v>311251.07</v>
      </c>
      <c r="G304" s="188">
        <v>312705.08</v>
      </c>
      <c r="H304" s="128"/>
      <c r="I304" s="188">
        <v>8202.7999999999993</v>
      </c>
      <c r="J304" s="188">
        <v>14521.13</v>
      </c>
      <c r="K304" s="188">
        <v>21254.27</v>
      </c>
      <c r="L304" s="188">
        <v>24886.59</v>
      </c>
      <c r="M304" s="70"/>
      <c r="N304" s="188">
        <v>1445446.99</v>
      </c>
      <c r="O304" s="188">
        <v>1446392.17</v>
      </c>
      <c r="P304" s="188">
        <v>1448160.17</v>
      </c>
      <c r="Q304" s="128"/>
      <c r="R304" s="128"/>
      <c r="S304" s="188">
        <v>6025.18</v>
      </c>
      <c r="T304" s="188">
        <v>16720.78</v>
      </c>
      <c r="U304" s="188">
        <v>23193.42</v>
      </c>
      <c r="V304" s="61"/>
      <c r="W304" s="58"/>
      <c r="X304" s="188">
        <v>488239.22</v>
      </c>
      <c r="Y304" s="188">
        <v>487283.47</v>
      </c>
      <c r="Z304" s="128"/>
      <c r="AA304" s="128"/>
      <c r="AB304" s="128"/>
      <c r="AC304" s="188">
        <v>9360.94</v>
      </c>
      <c r="AD304" s="188">
        <v>19248.32</v>
      </c>
      <c r="AE304" s="61"/>
      <c r="AF304" s="65"/>
      <c r="AG304" s="58"/>
      <c r="AH304" s="188">
        <v>363081.78</v>
      </c>
      <c r="AI304" s="128"/>
      <c r="AJ304" s="128"/>
      <c r="AK304" s="128"/>
      <c r="AL304" s="128"/>
      <c r="AM304" s="188">
        <v>11292.67</v>
      </c>
      <c r="AN304" s="135"/>
      <c r="AO304" s="135"/>
      <c r="AP304" s="135"/>
    </row>
    <row r="305" spans="1:42" x14ac:dyDescent="0.25">
      <c r="A305" t="s">
        <v>78</v>
      </c>
      <c r="B305" t="s">
        <v>265</v>
      </c>
      <c r="C305" s="212" t="str">
        <f t="shared" si="4"/>
        <v>Indian River Circuit Criminal Drug Cases</v>
      </c>
      <c r="D305" s="188">
        <v>841.02</v>
      </c>
      <c r="E305" s="188">
        <v>841.02</v>
      </c>
      <c r="F305" s="188">
        <v>841.02</v>
      </c>
      <c r="G305" s="188">
        <v>841.02</v>
      </c>
      <c r="H305" s="63"/>
      <c r="I305" s="188">
        <v>841.02</v>
      </c>
      <c r="J305" s="188">
        <v>841.02</v>
      </c>
      <c r="K305" s="188">
        <v>841.02</v>
      </c>
      <c r="L305" s="188">
        <v>841.02</v>
      </c>
      <c r="N305" s="188">
        <v>1016659.91</v>
      </c>
      <c r="O305" s="188">
        <v>1016659.91</v>
      </c>
      <c r="P305" s="188">
        <v>1016659.91</v>
      </c>
      <c r="Q305" s="63"/>
      <c r="R305" s="63"/>
      <c r="S305" s="188">
        <v>131.97999999999999</v>
      </c>
      <c r="T305" s="188">
        <v>664.62</v>
      </c>
      <c r="U305" s="188">
        <v>664.62</v>
      </c>
      <c r="X305" s="188">
        <v>160344.4</v>
      </c>
      <c r="Y305" s="188">
        <v>1016659.91</v>
      </c>
      <c r="Z305" s="63"/>
      <c r="AB305" s="63"/>
      <c r="AC305" s="188">
        <v>73.400000000000006</v>
      </c>
      <c r="AD305" s="188">
        <v>664.62</v>
      </c>
      <c r="AH305" s="188">
        <v>53947</v>
      </c>
      <c r="AI305" s="63"/>
      <c r="AL305" s="63"/>
      <c r="AM305" s="188">
        <v>0</v>
      </c>
    </row>
    <row r="306" spans="1:42" x14ac:dyDescent="0.25">
      <c r="A306" t="s">
        <v>78</v>
      </c>
      <c r="B306" t="s">
        <v>44</v>
      </c>
      <c r="C306" s="212" t="str">
        <f t="shared" si="4"/>
        <v>Indian River Civil Traffic</v>
      </c>
      <c r="D306" s="188">
        <v>800190.09</v>
      </c>
      <c r="E306" s="188">
        <v>784160.72</v>
      </c>
      <c r="F306" s="188">
        <v>782942.22</v>
      </c>
      <c r="G306" s="188">
        <v>782842.22</v>
      </c>
      <c r="H306" s="128"/>
      <c r="I306" s="188">
        <v>445477.13</v>
      </c>
      <c r="J306" s="188">
        <v>686586.04</v>
      </c>
      <c r="K306" s="188">
        <v>723495.19</v>
      </c>
      <c r="L306" s="188">
        <v>733141.48</v>
      </c>
      <c r="M306" s="70"/>
      <c r="N306" s="188">
        <v>744848.29</v>
      </c>
      <c r="O306" s="188">
        <v>714816.78</v>
      </c>
      <c r="P306" s="188">
        <v>714285.52</v>
      </c>
      <c r="Q306" s="128"/>
      <c r="R306" s="128"/>
      <c r="S306" s="188">
        <v>392360.42</v>
      </c>
      <c r="T306" s="188">
        <v>623869.28</v>
      </c>
      <c r="U306" s="188">
        <v>649474.96</v>
      </c>
      <c r="V306" s="61"/>
      <c r="W306" s="58"/>
      <c r="X306" s="188">
        <v>683060.28</v>
      </c>
      <c r="Y306" s="188">
        <v>673158.23</v>
      </c>
      <c r="Z306" s="128"/>
      <c r="AA306" s="128"/>
      <c r="AB306" s="128"/>
      <c r="AC306" s="188">
        <v>357044.08</v>
      </c>
      <c r="AD306" s="188">
        <v>576712.80000000005</v>
      </c>
      <c r="AE306" s="61"/>
      <c r="AF306" s="65"/>
      <c r="AG306" s="58"/>
      <c r="AH306" s="188">
        <v>591321.79</v>
      </c>
      <c r="AI306" s="128"/>
      <c r="AJ306" s="128"/>
      <c r="AK306" s="128"/>
      <c r="AL306" s="128"/>
      <c r="AM306" s="188">
        <v>340556.65</v>
      </c>
      <c r="AN306" s="135"/>
      <c r="AO306" s="135"/>
      <c r="AP306" s="135"/>
    </row>
    <row r="307" spans="1:42" x14ac:dyDescent="0.25">
      <c r="A307" t="s">
        <v>78</v>
      </c>
      <c r="B307" t="s">
        <v>43</v>
      </c>
      <c r="C307" s="212" t="str">
        <f t="shared" si="4"/>
        <v>Indian River County Civil</v>
      </c>
      <c r="D307" s="188">
        <v>109691.87</v>
      </c>
      <c r="E307" s="188">
        <v>109671.87</v>
      </c>
      <c r="F307" s="188">
        <v>109671.87</v>
      </c>
      <c r="G307" s="188">
        <v>108938.87</v>
      </c>
      <c r="H307" s="128"/>
      <c r="I307" s="188">
        <v>105097.87</v>
      </c>
      <c r="J307" s="188">
        <v>108938.87</v>
      </c>
      <c r="K307" s="188">
        <v>108938.87</v>
      </c>
      <c r="L307" s="188">
        <v>108938.87</v>
      </c>
      <c r="M307" s="70"/>
      <c r="N307" s="188">
        <v>111108.27</v>
      </c>
      <c r="O307" s="188">
        <v>111108.27</v>
      </c>
      <c r="P307" s="188">
        <v>111108.27</v>
      </c>
      <c r="Q307" s="128"/>
      <c r="R307" s="128"/>
      <c r="S307" s="188">
        <v>104862.62</v>
      </c>
      <c r="T307" s="188">
        <v>111049.62</v>
      </c>
      <c r="U307" s="188">
        <v>111108.27</v>
      </c>
      <c r="V307" s="61"/>
      <c r="W307" s="58"/>
      <c r="X307" s="188">
        <v>118952.96000000001</v>
      </c>
      <c r="Y307" s="188">
        <v>119252.96</v>
      </c>
      <c r="Z307" s="128"/>
      <c r="AA307" s="128"/>
      <c r="AB307" s="128"/>
      <c r="AC307" s="188">
        <v>115622.96</v>
      </c>
      <c r="AD307" s="188">
        <v>119252.93</v>
      </c>
      <c r="AE307" s="61"/>
      <c r="AF307" s="65"/>
      <c r="AG307" s="58"/>
      <c r="AH307" s="188">
        <v>133838.99</v>
      </c>
      <c r="AI307" s="128"/>
      <c r="AJ307" s="128"/>
      <c r="AK307" s="128"/>
      <c r="AL307" s="128"/>
      <c r="AM307" s="188">
        <v>125921.99</v>
      </c>
      <c r="AN307" s="135"/>
      <c r="AO307" s="135"/>
      <c r="AP307" s="135"/>
    </row>
    <row r="308" spans="1:42" x14ac:dyDescent="0.25">
      <c r="A308" t="s">
        <v>78</v>
      </c>
      <c r="B308" t="s">
        <v>39</v>
      </c>
      <c r="C308" s="212" t="str">
        <f t="shared" si="4"/>
        <v>Indian River County Criminal</v>
      </c>
      <c r="D308" s="188">
        <v>144285.03</v>
      </c>
      <c r="E308" s="188">
        <v>144065.03</v>
      </c>
      <c r="F308" s="188">
        <v>143927.57999999999</v>
      </c>
      <c r="G308" s="188">
        <v>162105.29999999999</v>
      </c>
      <c r="H308" s="128"/>
      <c r="I308" s="188">
        <v>41245.440000000002</v>
      </c>
      <c r="J308" s="188">
        <v>67541.990000000005</v>
      </c>
      <c r="K308" s="188">
        <v>76479.37</v>
      </c>
      <c r="L308" s="188">
        <v>89067.12</v>
      </c>
      <c r="M308" s="70"/>
      <c r="N308" s="188">
        <v>175059.83</v>
      </c>
      <c r="O308" s="188">
        <v>174965.18</v>
      </c>
      <c r="P308" s="188">
        <v>192526.49</v>
      </c>
      <c r="Q308" s="128"/>
      <c r="R308" s="128"/>
      <c r="S308" s="188">
        <v>58624.42</v>
      </c>
      <c r="T308" s="188">
        <v>84288.960000000006</v>
      </c>
      <c r="U308" s="188">
        <v>102124.76</v>
      </c>
      <c r="V308" s="61"/>
      <c r="W308" s="58"/>
      <c r="X308" s="188">
        <v>162830.87</v>
      </c>
      <c r="Y308" s="188">
        <v>179722.03</v>
      </c>
      <c r="Z308" s="128"/>
      <c r="AA308" s="128"/>
      <c r="AB308" s="128"/>
      <c r="AC308" s="188">
        <v>49417.04</v>
      </c>
      <c r="AD308" s="188">
        <v>75358.98</v>
      </c>
      <c r="AE308" s="61"/>
      <c r="AF308" s="65"/>
      <c r="AG308" s="58"/>
      <c r="AH308" s="188">
        <v>188803.61</v>
      </c>
      <c r="AI308" s="128"/>
      <c r="AJ308" s="128"/>
      <c r="AK308" s="128"/>
      <c r="AL308" s="128"/>
      <c r="AM308" s="188">
        <v>51086.14</v>
      </c>
      <c r="AN308" s="135"/>
      <c r="AO308" s="135"/>
      <c r="AP308" s="135"/>
    </row>
    <row r="309" spans="1:42" x14ac:dyDescent="0.25">
      <c r="A309" t="s">
        <v>78</v>
      </c>
      <c r="B309" t="s">
        <v>41</v>
      </c>
      <c r="C309" s="212" t="str">
        <f t="shared" si="4"/>
        <v>Indian River Criminal Traffic</v>
      </c>
      <c r="D309" s="188">
        <v>207865.37</v>
      </c>
      <c r="E309" s="188">
        <v>203995.37</v>
      </c>
      <c r="F309" s="188">
        <v>203894.71</v>
      </c>
      <c r="G309" s="188">
        <v>222911.62</v>
      </c>
      <c r="H309" s="128"/>
      <c r="I309" s="188">
        <v>77284.56</v>
      </c>
      <c r="J309" s="188">
        <v>122644</v>
      </c>
      <c r="K309" s="188">
        <v>138790.9</v>
      </c>
      <c r="L309" s="188">
        <v>165007.53</v>
      </c>
      <c r="M309" s="70"/>
      <c r="N309" s="188">
        <v>221464.08</v>
      </c>
      <c r="O309" s="188">
        <v>219576.08</v>
      </c>
      <c r="P309" s="188">
        <v>240044.18</v>
      </c>
      <c r="Q309" s="128"/>
      <c r="R309" s="128"/>
      <c r="S309" s="188">
        <v>97890.82</v>
      </c>
      <c r="T309" s="188">
        <v>137033.22</v>
      </c>
      <c r="U309" s="188">
        <v>167670.57999999999</v>
      </c>
      <c r="V309" s="61"/>
      <c r="W309" s="58"/>
      <c r="X309" s="188">
        <v>231613.17</v>
      </c>
      <c r="Y309" s="188">
        <v>249171.58</v>
      </c>
      <c r="Z309" s="128"/>
      <c r="AA309" s="128"/>
      <c r="AB309" s="128"/>
      <c r="AC309" s="188">
        <v>92176.65</v>
      </c>
      <c r="AD309" s="188">
        <v>145221.67000000001</v>
      </c>
      <c r="AE309" s="61"/>
      <c r="AF309" s="65"/>
      <c r="AG309" s="58"/>
      <c r="AH309" s="188">
        <v>212845.1</v>
      </c>
      <c r="AI309" s="128"/>
      <c r="AJ309" s="128"/>
      <c r="AK309" s="128"/>
      <c r="AL309" s="128"/>
      <c r="AM309" s="188">
        <v>86425.16</v>
      </c>
      <c r="AN309" s="135"/>
      <c r="AO309" s="135"/>
      <c r="AP309" s="135"/>
    </row>
    <row r="310" spans="1:42" x14ac:dyDescent="0.25">
      <c r="A310" t="s">
        <v>78</v>
      </c>
      <c r="B310" t="s">
        <v>46</v>
      </c>
      <c r="C310" s="212" t="str">
        <f t="shared" si="4"/>
        <v>Indian River Family</v>
      </c>
      <c r="D310" s="188">
        <v>73781.2</v>
      </c>
      <c r="E310" s="188">
        <v>73362.84</v>
      </c>
      <c r="F310" s="188">
        <v>73347.839999999997</v>
      </c>
      <c r="G310" s="188">
        <v>73361.33</v>
      </c>
      <c r="H310" s="128"/>
      <c r="I310" s="188">
        <v>72359.14</v>
      </c>
      <c r="J310" s="188">
        <v>72451.460000000006</v>
      </c>
      <c r="K310" s="188">
        <v>72457.679999999993</v>
      </c>
      <c r="L310" s="188">
        <v>72471.17</v>
      </c>
      <c r="M310" s="70"/>
      <c r="N310" s="188">
        <v>92820.55</v>
      </c>
      <c r="O310" s="188">
        <v>92525.55</v>
      </c>
      <c r="P310" s="188">
        <v>92480.79</v>
      </c>
      <c r="Q310" s="128"/>
      <c r="R310" s="128"/>
      <c r="S310" s="188">
        <v>87735.02</v>
      </c>
      <c r="T310" s="188">
        <v>91671.02</v>
      </c>
      <c r="U310" s="188">
        <v>91676.26</v>
      </c>
      <c r="V310" s="61"/>
      <c r="W310" s="58"/>
      <c r="X310" s="188">
        <v>86520.36</v>
      </c>
      <c r="Y310" s="188">
        <v>86540.65</v>
      </c>
      <c r="Z310" s="128"/>
      <c r="AA310" s="128"/>
      <c r="AB310" s="128"/>
      <c r="AC310" s="188">
        <v>82081.289999999994</v>
      </c>
      <c r="AD310" s="188">
        <v>83367.58</v>
      </c>
      <c r="AE310" s="61"/>
      <c r="AF310" s="65"/>
      <c r="AG310" s="58"/>
      <c r="AH310" s="188">
        <v>80915.47</v>
      </c>
      <c r="AI310" s="128"/>
      <c r="AJ310" s="128"/>
      <c r="AK310" s="128"/>
      <c r="AL310" s="128"/>
      <c r="AM310" s="188">
        <v>77102.27</v>
      </c>
      <c r="AN310" s="135"/>
      <c r="AO310" s="135"/>
      <c r="AP310" s="135"/>
    </row>
    <row r="311" spans="1:42" x14ac:dyDescent="0.25">
      <c r="A311" t="s">
        <v>78</v>
      </c>
      <c r="B311" t="s">
        <v>40</v>
      </c>
      <c r="C311" s="212" t="str">
        <f t="shared" si="4"/>
        <v>Indian River Juvenile Delinquency</v>
      </c>
      <c r="D311" s="188">
        <v>16938</v>
      </c>
      <c r="E311" s="188">
        <v>16938</v>
      </c>
      <c r="F311" s="188">
        <v>17573</v>
      </c>
      <c r="G311" s="188">
        <v>17573</v>
      </c>
      <c r="H311" s="128"/>
      <c r="I311" s="188">
        <v>495</v>
      </c>
      <c r="J311" s="188">
        <v>1477.27</v>
      </c>
      <c r="K311" s="188">
        <v>1924.27</v>
      </c>
      <c r="L311" s="188">
        <v>2032.61</v>
      </c>
      <c r="M311" s="70"/>
      <c r="N311" s="188">
        <v>18516</v>
      </c>
      <c r="O311" s="188">
        <v>19578</v>
      </c>
      <c r="P311" s="188">
        <v>19578</v>
      </c>
      <c r="Q311" s="128"/>
      <c r="R311" s="128"/>
      <c r="S311" s="188">
        <v>620.73</v>
      </c>
      <c r="T311" s="188">
        <v>831.23</v>
      </c>
      <c r="U311" s="188">
        <v>2061.16</v>
      </c>
      <c r="V311" s="61"/>
      <c r="W311" s="58"/>
      <c r="X311" s="188">
        <v>24676</v>
      </c>
      <c r="Y311" s="188">
        <v>24676</v>
      </c>
      <c r="Z311" s="128"/>
      <c r="AA311" s="128"/>
      <c r="AB311" s="128"/>
      <c r="AC311" s="188">
        <v>1767.5</v>
      </c>
      <c r="AD311" s="188">
        <v>2514.1999999999998</v>
      </c>
      <c r="AE311" s="61"/>
      <c r="AF311" s="65"/>
      <c r="AG311" s="58"/>
      <c r="AH311" s="188">
        <v>31087.5</v>
      </c>
      <c r="AI311" s="128"/>
      <c r="AJ311" s="128"/>
      <c r="AK311" s="128"/>
      <c r="AL311" s="128"/>
      <c r="AM311" s="188">
        <v>3423.37</v>
      </c>
      <c r="AN311" s="135"/>
      <c r="AO311" s="135"/>
      <c r="AP311" s="135"/>
    </row>
    <row r="312" spans="1:42" x14ac:dyDescent="0.25">
      <c r="A312" t="s">
        <v>78</v>
      </c>
      <c r="B312" t="s">
        <v>45</v>
      </c>
      <c r="C312" s="212" t="str">
        <f t="shared" si="4"/>
        <v>Indian River Probate</v>
      </c>
      <c r="D312" s="188">
        <v>86803.57</v>
      </c>
      <c r="E312" s="188">
        <v>84564.5</v>
      </c>
      <c r="F312" s="188">
        <v>83533.5</v>
      </c>
      <c r="G312" s="188">
        <v>82072.5</v>
      </c>
      <c r="H312" s="128"/>
      <c r="I312" s="188">
        <v>78824.070000000007</v>
      </c>
      <c r="J312" s="188">
        <v>82005.5</v>
      </c>
      <c r="K312" s="188">
        <v>82005.5</v>
      </c>
      <c r="L312" s="188">
        <v>82046.5</v>
      </c>
      <c r="M312" s="70"/>
      <c r="N312" s="188">
        <v>91497.5</v>
      </c>
      <c r="O312" s="188">
        <v>90862.5</v>
      </c>
      <c r="P312" s="188">
        <v>90053.5</v>
      </c>
      <c r="Q312" s="128"/>
      <c r="R312" s="128"/>
      <c r="S312" s="188">
        <v>85241.5</v>
      </c>
      <c r="T312" s="188">
        <v>90053.5</v>
      </c>
      <c r="U312" s="188">
        <v>90053.5</v>
      </c>
      <c r="V312" s="61"/>
      <c r="W312" s="58"/>
      <c r="X312" s="188">
        <v>91530.5</v>
      </c>
      <c r="Y312" s="188">
        <v>91130.5</v>
      </c>
      <c r="Z312" s="128"/>
      <c r="AA312" s="128"/>
      <c r="AB312" s="128"/>
      <c r="AC312" s="188">
        <v>89292.44</v>
      </c>
      <c r="AD312" s="188">
        <v>90328.5</v>
      </c>
      <c r="AE312" s="61"/>
      <c r="AF312" s="65"/>
      <c r="AG312" s="58"/>
      <c r="AH312" s="188">
        <v>81474.8</v>
      </c>
      <c r="AI312" s="128"/>
      <c r="AJ312" s="128"/>
      <c r="AK312" s="128"/>
      <c r="AL312" s="128"/>
      <c r="AM312" s="188">
        <v>79595.53</v>
      </c>
      <c r="AN312" s="135"/>
      <c r="AO312" s="135"/>
      <c r="AP312" s="135"/>
    </row>
    <row r="313" spans="1:42" x14ac:dyDescent="0.25">
      <c r="A313" t="s">
        <v>79</v>
      </c>
      <c r="B313" t="s">
        <v>42</v>
      </c>
      <c r="C313" s="212" t="str">
        <f t="shared" si="4"/>
        <v>Jackson Circuit Civil</v>
      </c>
      <c r="D313" s="188">
        <v>83108.5</v>
      </c>
      <c r="E313" s="188">
        <v>83108.5</v>
      </c>
      <c r="F313" s="188">
        <v>83108.5</v>
      </c>
      <c r="G313" s="188">
        <v>83108.5</v>
      </c>
      <c r="H313" s="128"/>
      <c r="I313" s="188">
        <v>80968.5</v>
      </c>
      <c r="J313" s="188">
        <v>82313.5</v>
      </c>
      <c r="K313" s="188">
        <v>82313.5</v>
      </c>
      <c r="L313" s="188">
        <v>82313.5</v>
      </c>
      <c r="M313" s="70"/>
      <c r="N313" s="188">
        <v>68597.990000000005</v>
      </c>
      <c r="O313" s="188">
        <v>68597.990000000005</v>
      </c>
      <c r="P313" s="188">
        <v>68647.990000000005</v>
      </c>
      <c r="Q313" s="128"/>
      <c r="R313" s="128"/>
      <c r="S313" s="188">
        <v>67962.990000000005</v>
      </c>
      <c r="T313" s="188">
        <v>68592.990000000005</v>
      </c>
      <c r="U313" s="188">
        <v>68642.990000000005</v>
      </c>
      <c r="V313" s="61"/>
      <c r="W313" s="58"/>
      <c r="X313" s="188">
        <v>79199.09</v>
      </c>
      <c r="Y313" s="188">
        <v>79199.09</v>
      </c>
      <c r="Z313" s="128"/>
      <c r="AA313" s="128"/>
      <c r="AB313" s="128"/>
      <c r="AC313" s="188">
        <v>78749.09</v>
      </c>
      <c r="AD313" s="188">
        <v>79199.09</v>
      </c>
      <c r="AE313" s="61"/>
      <c r="AF313" s="65"/>
      <c r="AG313" s="58"/>
      <c r="AH313" s="188">
        <v>71711.429999999993</v>
      </c>
      <c r="AI313" s="128"/>
      <c r="AJ313" s="128"/>
      <c r="AK313" s="128"/>
      <c r="AL313" s="128"/>
      <c r="AM313" s="188">
        <v>71193.429999999993</v>
      </c>
      <c r="AN313" s="135"/>
      <c r="AO313" s="135"/>
      <c r="AP313" s="135"/>
    </row>
    <row r="314" spans="1:42" x14ac:dyDescent="0.25">
      <c r="A314" t="s">
        <v>79</v>
      </c>
      <c r="B314" t="s">
        <v>38</v>
      </c>
      <c r="C314" s="212" t="str">
        <f t="shared" si="4"/>
        <v>Jackson Circuit Criminal</v>
      </c>
      <c r="D314" s="188">
        <v>121444.5</v>
      </c>
      <c r="E314" s="188">
        <v>121444.5</v>
      </c>
      <c r="F314" s="188">
        <v>121444.5</v>
      </c>
      <c r="G314" s="188">
        <v>121444.5</v>
      </c>
      <c r="H314" s="128"/>
      <c r="I314" s="188">
        <v>753.1</v>
      </c>
      <c r="J314" s="188">
        <v>5662.33</v>
      </c>
      <c r="K314" s="188">
        <v>11673.19</v>
      </c>
      <c r="L314" s="188">
        <v>14322.86</v>
      </c>
      <c r="M314" s="70"/>
      <c r="N314" s="188">
        <v>116076.75</v>
      </c>
      <c r="O314" s="188">
        <v>114976.75</v>
      </c>
      <c r="P314" s="188">
        <v>114976.75</v>
      </c>
      <c r="Q314" s="128"/>
      <c r="R314" s="128"/>
      <c r="S314" s="188">
        <v>1495.49</v>
      </c>
      <c r="T314" s="188">
        <v>6321.72</v>
      </c>
      <c r="U314" s="188">
        <v>9399.82</v>
      </c>
      <c r="V314" s="61"/>
      <c r="W314" s="58"/>
      <c r="X314" s="188">
        <v>127372.75</v>
      </c>
      <c r="Y314" s="188">
        <v>127372.75</v>
      </c>
      <c r="Z314" s="128"/>
      <c r="AA314" s="128"/>
      <c r="AB314" s="128"/>
      <c r="AC314" s="188">
        <v>2181.86</v>
      </c>
      <c r="AD314" s="188">
        <v>6539.77</v>
      </c>
      <c r="AE314" s="61"/>
      <c r="AF314" s="65"/>
      <c r="AG314" s="58"/>
      <c r="AH314" s="188">
        <v>143500.5</v>
      </c>
      <c r="AI314" s="128"/>
      <c r="AJ314" s="128"/>
      <c r="AK314" s="128"/>
      <c r="AL314" s="128"/>
      <c r="AM314" s="188">
        <v>2624.57</v>
      </c>
      <c r="AN314" s="135"/>
      <c r="AO314" s="135"/>
      <c r="AP314" s="135"/>
    </row>
    <row r="315" spans="1:42" x14ac:dyDescent="0.25">
      <c r="A315" t="s">
        <v>79</v>
      </c>
      <c r="B315" t="s">
        <v>265</v>
      </c>
      <c r="C315" s="212" t="str">
        <f t="shared" si="4"/>
        <v>Jackson Circuit Criminal Drug Cases</v>
      </c>
      <c r="D315" s="188">
        <v>37790</v>
      </c>
      <c r="E315" s="188">
        <v>37790</v>
      </c>
      <c r="F315" s="188"/>
      <c r="H315" s="63"/>
      <c r="I315" s="188">
        <v>205.61</v>
      </c>
      <c r="J315" s="188">
        <v>913.01</v>
      </c>
      <c r="K315" s="188"/>
      <c r="N315" s="188">
        <v>36205.5</v>
      </c>
      <c r="O315" s="188"/>
      <c r="Q315" s="63"/>
      <c r="R315" s="63"/>
      <c r="S315" s="188">
        <v>229.95</v>
      </c>
      <c r="T315" s="188"/>
      <c r="X315" s="188"/>
      <c r="Y315" s="188"/>
      <c r="Z315" s="63"/>
      <c r="AB315" s="63"/>
      <c r="AC315" s="188"/>
      <c r="AD315" s="188"/>
      <c r="AH315" s="188"/>
      <c r="AI315" s="63"/>
      <c r="AL315" s="63"/>
      <c r="AM315" s="188"/>
    </row>
    <row r="316" spans="1:42" x14ac:dyDescent="0.25">
      <c r="A316" t="s">
        <v>79</v>
      </c>
      <c r="B316" t="s">
        <v>44</v>
      </c>
      <c r="C316" s="212" t="str">
        <f t="shared" si="4"/>
        <v>Jackson Civil Traffic</v>
      </c>
      <c r="D316" s="188">
        <v>341920.75</v>
      </c>
      <c r="E316" s="188">
        <v>342611.5</v>
      </c>
      <c r="F316" s="188">
        <v>341490.5</v>
      </c>
      <c r="G316" s="188">
        <v>341490.5</v>
      </c>
      <c r="H316" s="128"/>
      <c r="I316" s="188">
        <v>176063.25</v>
      </c>
      <c r="J316" s="188">
        <v>292891.5</v>
      </c>
      <c r="K316" s="188">
        <v>304165.5</v>
      </c>
      <c r="L316" s="188">
        <v>309710.5</v>
      </c>
      <c r="M316" s="70"/>
      <c r="N316" s="188">
        <v>398194.25</v>
      </c>
      <c r="O316" s="188">
        <v>403409.25</v>
      </c>
      <c r="P316" s="188">
        <v>404026.25</v>
      </c>
      <c r="Q316" s="128"/>
      <c r="R316" s="128"/>
      <c r="S316" s="188">
        <v>175341.25</v>
      </c>
      <c r="T316" s="188">
        <v>323887.25</v>
      </c>
      <c r="U316" s="188">
        <v>346412.25</v>
      </c>
      <c r="V316" s="61"/>
      <c r="W316" s="58"/>
      <c r="X316" s="188">
        <v>291508</v>
      </c>
      <c r="Y316" s="188">
        <v>290010.5</v>
      </c>
      <c r="Z316" s="128"/>
      <c r="AA316" s="128"/>
      <c r="AB316" s="128"/>
      <c r="AC316" s="188">
        <v>149498.5</v>
      </c>
      <c r="AD316" s="188">
        <v>238029.5</v>
      </c>
      <c r="AE316" s="61"/>
      <c r="AF316" s="65"/>
      <c r="AG316" s="58"/>
      <c r="AH316" s="188">
        <v>434110.75</v>
      </c>
      <c r="AI316" s="128"/>
      <c r="AJ316" s="128"/>
      <c r="AK316" s="128"/>
      <c r="AL316" s="128"/>
      <c r="AM316" s="188">
        <v>232627.75</v>
      </c>
      <c r="AN316" s="135"/>
      <c r="AO316" s="135"/>
      <c r="AP316" s="135"/>
    </row>
    <row r="317" spans="1:42" x14ac:dyDescent="0.25">
      <c r="A317" t="s">
        <v>79</v>
      </c>
      <c r="B317" t="s">
        <v>43</v>
      </c>
      <c r="C317" s="212" t="str">
        <f t="shared" si="4"/>
        <v>Jackson County Civil</v>
      </c>
      <c r="D317" s="188">
        <v>35748.75</v>
      </c>
      <c r="E317" s="188">
        <v>35748.75</v>
      </c>
      <c r="F317" s="188">
        <v>35748.75</v>
      </c>
      <c r="G317" s="188">
        <v>35748.75</v>
      </c>
      <c r="H317" s="128"/>
      <c r="I317" s="188">
        <v>34818.75</v>
      </c>
      <c r="J317" s="188">
        <v>35748.75</v>
      </c>
      <c r="K317" s="188">
        <v>35748.75</v>
      </c>
      <c r="L317" s="188">
        <v>35748.75</v>
      </c>
      <c r="M317" s="70"/>
      <c r="N317" s="188">
        <v>45109.5</v>
      </c>
      <c r="O317" s="188">
        <v>45109.5</v>
      </c>
      <c r="P317" s="188">
        <v>45109.5</v>
      </c>
      <c r="Q317" s="128"/>
      <c r="R317" s="128"/>
      <c r="S317" s="188">
        <v>44934.5</v>
      </c>
      <c r="T317" s="188">
        <v>44934.5</v>
      </c>
      <c r="U317" s="188">
        <v>44934.5</v>
      </c>
      <c r="V317" s="61"/>
      <c r="W317" s="58"/>
      <c r="X317" s="188">
        <v>38267</v>
      </c>
      <c r="Y317" s="188">
        <v>38264</v>
      </c>
      <c r="Z317" s="128"/>
      <c r="AA317" s="128"/>
      <c r="AB317" s="128"/>
      <c r="AC317" s="188">
        <v>38264</v>
      </c>
      <c r="AD317" s="188">
        <v>38264</v>
      </c>
      <c r="AE317" s="61"/>
      <c r="AF317" s="65"/>
      <c r="AG317" s="58"/>
      <c r="AH317" s="188">
        <v>32783.35</v>
      </c>
      <c r="AI317" s="128"/>
      <c r="AJ317" s="128"/>
      <c r="AK317" s="128"/>
      <c r="AL317" s="128"/>
      <c r="AM317" s="188">
        <v>32513.35</v>
      </c>
      <c r="AN317" s="135"/>
      <c r="AO317" s="135"/>
      <c r="AP317" s="135"/>
    </row>
    <row r="318" spans="1:42" x14ac:dyDescent="0.25">
      <c r="A318" t="s">
        <v>79</v>
      </c>
      <c r="B318" t="s">
        <v>39</v>
      </c>
      <c r="C318" s="212" t="str">
        <f t="shared" si="4"/>
        <v>Jackson County Criminal</v>
      </c>
      <c r="D318" s="188">
        <v>49410.42</v>
      </c>
      <c r="E318" s="188">
        <v>43756.42</v>
      </c>
      <c r="F318" s="188">
        <v>41596.42</v>
      </c>
      <c r="G318" s="188">
        <v>41066.42</v>
      </c>
      <c r="H318" s="128"/>
      <c r="I318" s="188">
        <v>7022.42</v>
      </c>
      <c r="J318" s="188">
        <v>14842.42</v>
      </c>
      <c r="K318" s="188">
        <v>17354.419999999998</v>
      </c>
      <c r="L318" s="188">
        <v>18398.419999999998</v>
      </c>
      <c r="M318" s="70"/>
      <c r="N318" s="188">
        <v>33253.5</v>
      </c>
      <c r="O318" s="188">
        <v>30316.5</v>
      </c>
      <c r="P318" s="188">
        <v>30106.5</v>
      </c>
      <c r="Q318" s="128"/>
      <c r="R318" s="128"/>
      <c r="S318" s="188">
        <v>12228.5</v>
      </c>
      <c r="T318" s="188">
        <v>16968.5</v>
      </c>
      <c r="U318" s="188">
        <v>18031.5</v>
      </c>
      <c r="V318" s="61"/>
      <c r="W318" s="58"/>
      <c r="X318" s="188">
        <v>38777.5</v>
      </c>
      <c r="Y318" s="188">
        <v>35851</v>
      </c>
      <c r="Z318" s="128"/>
      <c r="AA318" s="128"/>
      <c r="AB318" s="128"/>
      <c r="AC318" s="188">
        <v>9262</v>
      </c>
      <c r="AD318" s="188">
        <v>15634</v>
      </c>
      <c r="AE318" s="61"/>
      <c r="AF318" s="65"/>
      <c r="AG318" s="58"/>
      <c r="AH318" s="188">
        <v>37658.769999999997</v>
      </c>
      <c r="AI318" s="128"/>
      <c r="AJ318" s="128"/>
      <c r="AK318" s="128"/>
      <c r="AL318" s="128"/>
      <c r="AM318" s="188">
        <v>9656.27</v>
      </c>
      <c r="AN318" s="135"/>
      <c r="AO318" s="135"/>
      <c r="AP318" s="135"/>
    </row>
    <row r="319" spans="1:42" x14ac:dyDescent="0.25">
      <c r="A319" t="s">
        <v>79</v>
      </c>
      <c r="B319" t="s">
        <v>41</v>
      </c>
      <c r="C319" s="212" t="str">
        <f t="shared" si="4"/>
        <v>Jackson Criminal Traffic</v>
      </c>
      <c r="D319" s="188">
        <v>43246</v>
      </c>
      <c r="E319" s="188">
        <v>40604</v>
      </c>
      <c r="F319" s="188">
        <v>38002</v>
      </c>
      <c r="G319" s="188">
        <v>37644</v>
      </c>
      <c r="H319" s="128"/>
      <c r="I319" s="188">
        <v>13879</v>
      </c>
      <c r="J319" s="188">
        <v>24288</v>
      </c>
      <c r="K319" s="188">
        <v>27163</v>
      </c>
      <c r="L319" s="188">
        <v>29746</v>
      </c>
      <c r="M319" s="70"/>
      <c r="N319" s="188">
        <v>38144.379999999997</v>
      </c>
      <c r="O319" s="188">
        <v>36466.379999999997</v>
      </c>
      <c r="P319" s="188">
        <v>35316.379999999997</v>
      </c>
      <c r="Q319" s="128"/>
      <c r="R319" s="128"/>
      <c r="S319" s="188">
        <v>19380.88</v>
      </c>
      <c r="T319" s="188">
        <v>27897.88</v>
      </c>
      <c r="U319" s="188">
        <v>29217.88</v>
      </c>
      <c r="V319" s="61"/>
      <c r="W319" s="58"/>
      <c r="X319" s="188">
        <v>46047</v>
      </c>
      <c r="Y319" s="188">
        <v>40257.5</v>
      </c>
      <c r="Z319" s="128"/>
      <c r="AA319" s="128"/>
      <c r="AB319" s="128"/>
      <c r="AC319" s="188">
        <v>18366</v>
      </c>
      <c r="AD319" s="188">
        <v>25582</v>
      </c>
      <c r="AE319" s="61"/>
      <c r="AF319" s="65"/>
      <c r="AG319" s="58"/>
      <c r="AH319" s="188">
        <v>40719</v>
      </c>
      <c r="AI319" s="128"/>
      <c r="AJ319" s="128"/>
      <c r="AK319" s="128"/>
      <c r="AL319" s="128"/>
      <c r="AM319" s="188">
        <v>19323</v>
      </c>
      <c r="AN319" s="135"/>
      <c r="AO319" s="135"/>
      <c r="AP319" s="135"/>
    </row>
    <row r="320" spans="1:42" x14ac:dyDescent="0.25">
      <c r="A320" t="s">
        <v>79</v>
      </c>
      <c r="B320" t="s">
        <v>46</v>
      </c>
      <c r="C320" s="212" t="str">
        <f t="shared" si="4"/>
        <v>Jackson Family</v>
      </c>
      <c r="D320" s="188">
        <v>451</v>
      </c>
      <c r="E320" s="188">
        <v>451</v>
      </c>
      <c r="F320" s="188">
        <v>451</v>
      </c>
      <c r="G320" s="188">
        <v>451</v>
      </c>
      <c r="H320" s="128"/>
      <c r="I320" s="188">
        <v>451</v>
      </c>
      <c r="J320" s="188">
        <v>451</v>
      </c>
      <c r="K320" s="188">
        <v>451</v>
      </c>
      <c r="L320" s="188">
        <v>451</v>
      </c>
      <c r="M320" s="70"/>
      <c r="N320" s="188">
        <v>1344.62</v>
      </c>
      <c r="O320" s="188">
        <v>1344.62</v>
      </c>
      <c r="P320" s="188">
        <v>1294.6199999999999</v>
      </c>
      <c r="Q320" s="128"/>
      <c r="R320" s="128"/>
      <c r="S320" s="188">
        <v>1344.62</v>
      </c>
      <c r="T320" s="188">
        <v>1344.62</v>
      </c>
      <c r="U320" s="188">
        <v>1294.6199999999999</v>
      </c>
      <c r="V320" s="61"/>
      <c r="W320" s="58"/>
      <c r="X320" s="188">
        <v>21827.32</v>
      </c>
      <c r="Y320" s="188">
        <v>981</v>
      </c>
      <c r="Z320" s="128"/>
      <c r="AA320" s="128"/>
      <c r="AB320" s="128"/>
      <c r="AC320" s="188">
        <v>21827.32</v>
      </c>
      <c r="AD320" s="188">
        <v>981</v>
      </c>
      <c r="AE320" s="61"/>
      <c r="AF320" s="65"/>
      <c r="AG320" s="58"/>
      <c r="AH320" s="188">
        <v>1476</v>
      </c>
      <c r="AI320" s="128"/>
      <c r="AJ320" s="128"/>
      <c r="AK320" s="128"/>
      <c r="AL320" s="128"/>
      <c r="AM320" s="188">
        <v>1476</v>
      </c>
      <c r="AN320" s="135"/>
      <c r="AO320" s="135"/>
      <c r="AP320" s="135"/>
    </row>
    <row r="321" spans="1:42" x14ac:dyDescent="0.25">
      <c r="A321" t="s">
        <v>79</v>
      </c>
      <c r="B321" t="s">
        <v>40</v>
      </c>
      <c r="C321" s="212" t="str">
        <f t="shared" si="4"/>
        <v>Jackson Juvenile Delinquency</v>
      </c>
      <c r="D321" s="188">
        <v>1570</v>
      </c>
      <c r="E321" s="188">
        <v>1570</v>
      </c>
      <c r="F321" s="188">
        <v>1335</v>
      </c>
      <c r="G321" s="188">
        <v>1335</v>
      </c>
      <c r="H321" s="128"/>
      <c r="I321" s="188">
        <v>0</v>
      </c>
      <c r="J321" s="188">
        <v>0</v>
      </c>
      <c r="K321" s="188">
        <v>235</v>
      </c>
      <c r="L321" s="188">
        <v>235</v>
      </c>
      <c r="M321" s="70"/>
      <c r="N321" s="188">
        <v>1100</v>
      </c>
      <c r="O321" s="188">
        <v>865</v>
      </c>
      <c r="P321" s="188">
        <v>865</v>
      </c>
      <c r="Q321" s="128"/>
      <c r="R321" s="128"/>
      <c r="S321" s="188">
        <v>0</v>
      </c>
      <c r="T321" s="188">
        <v>315</v>
      </c>
      <c r="U321" s="188">
        <v>315</v>
      </c>
      <c r="V321" s="61"/>
      <c r="W321" s="58"/>
      <c r="X321" s="188">
        <v>3700</v>
      </c>
      <c r="Y321" s="188">
        <v>3700</v>
      </c>
      <c r="Z321" s="128"/>
      <c r="AA321" s="128"/>
      <c r="AB321" s="128"/>
      <c r="AC321" s="188">
        <v>0</v>
      </c>
      <c r="AD321" s="188">
        <v>0</v>
      </c>
      <c r="AE321" s="61"/>
      <c r="AF321" s="65"/>
      <c r="AG321" s="58"/>
      <c r="AH321" s="188">
        <v>1338.5</v>
      </c>
      <c r="AI321" s="128"/>
      <c r="AJ321" s="128"/>
      <c r="AK321" s="128"/>
      <c r="AL321" s="128"/>
      <c r="AM321" s="188">
        <v>318.5</v>
      </c>
      <c r="AN321" s="135"/>
    </row>
    <row r="322" spans="1:42" x14ac:dyDescent="0.25">
      <c r="A322" t="s">
        <v>79</v>
      </c>
      <c r="B322" t="s">
        <v>45</v>
      </c>
      <c r="C322" s="212" t="str">
        <f t="shared" si="4"/>
        <v>Jackson Probate</v>
      </c>
      <c r="D322" s="188">
        <v>14945</v>
      </c>
      <c r="E322" s="188">
        <v>14945</v>
      </c>
      <c r="F322" s="188">
        <v>14945</v>
      </c>
      <c r="G322" s="188">
        <v>14945</v>
      </c>
      <c r="H322" s="128"/>
      <c r="I322" s="188">
        <v>14945</v>
      </c>
      <c r="J322" s="188">
        <v>14945</v>
      </c>
      <c r="K322" s="188">
        <v>14945</v>
      </c>
      <c r="L322" s="188">
        <v>14945</v>
      </c>
      <c r="M322" s="70"/>
      <c r="N322" s="188">
        <v>16332.48</v>
      </c>
      <c r="O322" s="188">
        <v>16332.48</v>
      </c>
      <c r="P322" s="188">
        <v>16332.48</v>
      </c>
      <c r="Q322" s="128"/>
      <c r="R322" s="128"/>
      <c r="S322" s="188">
        <v>16101.48</v>
      </c>
      <c r="T322" s="188">
        <v>16101.48</v>
      </c>
      <c r="U322" s="188">
        <v>16101.48</v>
      </c>
      <c r="V322" s="61"/>
      <c r="W322" s="58"/>
      <c r="X322" s="188">
        <v>21827.32</v>
      </c>
      <c r="Y322" s="188">
        <v>21827.32</v>
      </c>
      <c r="Z322" s="128"/>
      <c r="AA322" s="128"/>
      <c r="AB322" s="128"/>
      <c r="AC322" s="188">
        <v>21827.32</v>
      </c>
      <c r="AD322" s="188">
        <v>21827.32</v>
      </c>
      <c r="AE322" s="61"/>
      <c r="AF322" s="65"/>
      <c r="AG322" s="58"/>
      <c r="AH322" s="188">
        <v>20540.240000000002</v>
      </c>
      <c r="AI322" s="128"/>
      <c r="AJ322" s="128"/>
      <c r="AK322" s="128"/>
      <c r="AL322" s="128"/>
      <c r="AM322" s="188">
        <v>19114.240000000002</v>
      </c>
      <c r="AN322" s="135"/>
      <c r="AO322" s="135"/>
      <c r="AP322" s="135"/>
    </row>
    <row r="323" spans="1:42" x14ac:dyDescent="0.25">
      <c r="A323" t="s">
        <v>80</v>
      </c>
      <c r="B323" t="s">
        <v>42</v>
      </c>
      <c r="C323" s="212" t="str">
        <f t="shared" ref="C323:C386" si="5">A323&amp;" "&amp;B323</f>
        <v>Jefferson Circuit Civil</v>
      </c>
      <c r="D323" s="188">
        <v>18150.5</v>
      </c>
      <c r="E323" s="188">
        <v>18150.5</v>
      </c>
      <c r="F323" s="188">
        <v>18150.5</v>
      </c>
      <c r="G323" s="188">
        <v>18150.5</v>
      </c>
      <c r="H323" s="128"/>
      <c r="I323" s="188">
        <v>17750.5</v>
      </c>
      <c r="J323" s="188">
        <v>18150.5</v>
      </c>
      <c r="K323" s="188">
        <v>18150.5</v>
      </c>
      <c r="L323" s="188">
        <v>18150.5</v>
      </c>
      <c r="M323" s="70"/>
      <c r="N323" s="188">
        <v>16736.560000000001</v>
      </c>
      <c r="O323" s="188">
        <v>16736.560000000001</v>
      </c>
      <c r="P323" s="188">
        <v>16736.560000000001</v>
      </c>
      <c r="Q323" s="132"/>
      <c r="R323" s="128"/>
      <c r="S323" s="188">
        <v>16736.560000000001</v>
      </c>
      <c r="T323" s="188">
        <v>16736.560000000001</v>
      </c>
      <c r="U323" s="188">
        <v>16736.560000000001</v>
      </c>
      <c r="V323" s="57"/>
      <c r="W323" s="58"/>
      <c r="X323" s="188">
        <v>20200</v>
      </c>
      <c r="Y323" s="188">
        <v>20150</v>
      </c>
      <c r="Z323" s="128"/>
      <c r="AA323" s="128"/>
      <c r="AB323" s="128"/>
      <c r="AC323" s="188">
        <v>19791</v>
      </c>
      <c r="AD323" s="188">
        <v>20150</v>
      </c>
      <c r="AE323" s="61"/>
      <c r="AF323" s="65"/>
      <c r="AG323" s="58"/>
      <c r="AH323" s="188">
        <v>19284</v>
      </c>
      <c r="AI323" s="128"/>
      <c r="AJ323" s="128"/>
      <c r="AK323" s="128"/>
      <c r="AL323" s="128"/>
      <c r="AM323" s="188">
        <v>17484</v>
      </c>
      <c r="AN323" s="135"/>
      <c r="AO323" s="135"/>
      <c r="AP323" s="135"/>
    </row>
    <row r="324" spans="1:42" x14ac:dyDescent="0.25">
      <c r="A324" t="s">
        <v>80</v>
      </c>
      <c r="B324" t="s">
        <v>38</v>
      </c>
      <c r="C324" s="212" t="str">
        <f t="shared" si="5"/>
        <v>Jefferson Circuit Criminal</v>
      </c>
      <c r="D324" s="188">
        <v>23073.5</v>
      </c>
      <c r="E324" s="188">
        <v>22632.75</v>
      </c>
      <c r="F324" s="188">
        <v>21898.75</v>
      </c>
      <c r="G324" s="188">
        <v>21214.75</v>
      </c>
      <c r="H324" s="128"/>
      <c r="I324" s="188">
        <v>1239.46</v>
      </c>
      <c r="J324" s="188">
        <v>2002.92</v>
      </c>
      <c r="K324" s="188">
        <v>2623.77</v>
      </c>
      <c r="L324" s="188">
        <v>3167.3</v>
      </c>
      <c r="M324" s="70"/>
      <c r="N324" s="188">
        <v>23621.75</v>
      </c>
      <c r="O324" s="188">
        <v>23621.75</v>
      </c>
      <c r="P324" s="188">
        <v>22840.25</v>
      </c>
      <c r="Q324" s="128"/>
      <c r="R324" s="128"/>
      <c r="S324" s="188">
        <v>2550</v>
      </c>
      <c r="T324" s="188">
        <v>3211.31</v>
      </c>
      <c r="U324" s="188">
        <v>4950.1400000000003</v>
      </c>
      <c r="V324" s="61"/>
      <c r="W324" s="58"/>
      <c r="X324" s="188">
        <v>114200.5</v>
      </c>
      <c r="Y324" s="188">
        <v>114200.5</v>
      </c>
      <c r="Z324" s="128"/>
      <c r="AA324" s="128"/>
      <c r="AB324" s="128"/>
      <c r="AC324" s="188">
        <v>160</v>
      </c>
      <c r="AD324" s="188">
        <v>337.5</v>
      </c>
      <c r="AE324" s="61"/>
      <c r="AF324" s="65"/>
      <c r="AG324" s="58"/>
      <c r="AH324" s="188">
        <v>14590.75</v>
      </c>
      <c r="AI324" s="128"/>
      <c r="AJ324" s="128"/>
      <c r="AK324" s="128"/>
      <c r="AL324" s="128"/>
      <c r="AM324" s="188">
        <v>562</v>
      </c>
      <c r="AN324" s="135"/>
      <c r="AO324" s="135"/>
      <c r="AP324" s="135"/>
    </row>
    <row r="325" spans="1:42" x14ac:dyDescent="0.25">
      <c r="A325" t="s">
        <v>80</v>
      </c>
      <c r="B325" t="s">
        <v>265</v>
      </c>
      <c r="C325" s="212" t="str">
        <f t="shared" si="5"/>
        <v>Jefferson Circuit Criminal Drug Cases</v>
      </c>
      <c r="D325" s="188">
        <v>0</v>
      </c>
      <c r="E325" s="188"/>
      <c r="H325" s="63"/>
      <c r="I325" s="188">
        <v>0</v>
      </c>
      <c r="J325" s="188"/>
      <c r="N325" s="188"/>
      <c r="O325" s="188"/>
      <c r="Q325" s="63"/>
      <c r="R325" s="63"/>
      <c r="S325" s="188"/>
      <c r="T325" s="188"/>
      <c r="X325" s="188"/>
      <c r="Y325" s="188"/>
      <c r="Z325" s="63"/>
      <c r="AB325" s="63"/>
      <c r="AC325" s="188"/>
      <c r="AD325" s="188"/>
      <c r="AH325" s="188"/>
      <c r="AI325" s="63"/>
      <c r="AL325" s="63"/>
      <c r="AM325" s="188"/>
    </row>
    <row r="326" spans="1:42" x14ac:dyDescent="0.25">
      <c r="A326" t="s">
        <v>80</v>
      </c>
      <c r="B326" t="s">
        <v>44</v>
      </c>
      <c r="C326" s="212" t="str">
        <f t="shared" si="5"/>
        <v>Jefferson Civil Traffic</v>
      </c>
      <c r="D326" s="188">
        <v>214852</v>
      </c>
      <c r="E326" s="188">
        <v>206095</v>
      </c>
      <c r="F326" s="188">
        <v>205970</v>
      </c>
      <c r="G326" s="188">
        <v>205940</v>
      </c>
      <c r="H326" s="128"/>
      <c r="I326" s="188">
        <v>109784</v>
      </c>
      <c r="J326" s="188">
        <v>179770</v>
      </c>
      <c r="K326" s="188">
        <v>186943</v>
      </c>
      <c r="L326" s="188">
        <v>188851</v>
      </c>
      <c r="M326" s="70"/>
      <c r="N326" s="188">
        <v>178942</v>
      </c>
      <c r="O326" s="188">
        <v>171623</v>
      </c>
      <c r="P326" s="188">
        <v>171113</v>
      </c>
      <c r="Q326" s="128"/>
      <c r="R326" s="128"/>
      <c r="S326" s="188">
        <v>84197</v>
      </c>
      <c r="T326" s="188">
        <v>143678.5</v>
      </c>
      <c r="U326" s="188">
        <v>151426</v>
      </c>
      <c r="V326" s="61"/>
      <c r="W326" s="58"/>
      <c r="X326" s="188">
        <v>210514</v>
      </c>
      <c r="Y326" s="188">
        <v>198785.5</v>
      </c>
      <c r="Z326" s="128"/>
      <c r="AA326" s="128"/>
      <c r="AB326" s="128"/>
      <c r="AC326" s="188">
        <v>82276.5</v>
      </c>
      <c r="AD326" s="188">
        <v>162703</v>
      </c>
      <c r="AE326" s="61"/>
      <c r="AF326" s="65"/>
      <c r="AG326" s="58"/>
      <c r="AH326" s="188">
        <v>177355</v>
      </c>
      <c r="AI326" s="128"/>
      <c r="AJ326" s="128"/>
      <c r="AK326" s="128"/>
      <c r="AL326" s="128"/>
      <c r="AM326" s="188">
        <v>85942.7</v>
      </c>
      <c r="AN326" s="135"/>
      <c r="AO326" s="135"/>
      <c r="AP326" s="135"/>
    </row>
    <row r="327" spans="1:42" x14ac:dyDescent="0.25">
      <c r="A327" t="s">
        <v>80</v>
      </c>
      <c r="B327" t="s">
        <v>43</v>
      </c>
      <c r="C327" s="212" t="str">
        <f t="shared" si="5"/>
        <v>Jefferson County Civil</v>
      </c>
      <c r="D327" s="188">
        <v>6546</v>
      </c>
      <c r="E327" s="188">
        <v>6546</v>
      </c>
      <c r="F327" s="188">
        <v>6546</v>
      </c>
      <c r="G327" s="188">
        <v>6546</v>
      </c>
      <c r="H327" s="128"/>
      <c r="I327" s="188">
        <v>6546</v>
      </c>
      <c r="J327" s="188">
        <v>6546</v>
      </c>
      <c r="K327" s="188">
        <v>6546</v>
      </c>
      <c r="L327" s="188">
        <v>6546</v>
      </c>
      <c r="M327" s="70"/>
      <c r="N327" s="188">
        <v>9907</v>
      </c>
      <c r="O327" s="188">
        <v>9907</v>
      </c>
      <c r="P327" s="188">
        <v>9907</v>
      </c>
      <c r="Q327" s="128"/>
      <c r="R327" s="128"/>
      <c r="S327" s="188">
        <v>9722</v>
      </c>
      <c r="T327" s="188">
        <v>9807</v>
      </c>
      <c r="U327" s="188">
        <v>9807</v>
      </c>
      <c r="V327" s="61"/>
      <c r="W327" s="58"/>
      <c r="X327" s="188">
        <v>9559</v>
      </c>
      <c r="Y327" s="188">
        <v>9559</v>
      </c>
      <c r="Z327" s="128"/>
      <c r="AA327" s="128"/>
      <c r="AB327" s="128"/>
      <c r="AC327" s="188">
        <v>9324</v>
      </c>
      <c r="AD327" s="188">
        <v>9374</v>
      </c>
      <c r="AE327" s="61"/>
      <c r="AF327" s="65"/>
      <c r="AG327" s="58"/>
      <c r="AH327" s="188">
        <v>11068</v>
      </c>
      <c r="AI327" s="128"/>
      <c r="AJ327" s="128"/>
      <c r="AK327" s="128"/>
      <c r="AL327" s="128"/>
      <c r="AM327" s="188">
        <v>11018</v>
      </c>
      <c r="AN327" s="135"/>
      <c r="AO327" s="135"/>
      <c r="AP327" s="135"/>
    </row>
    <row r="328" spans="1:42" x14ac:dyDescent="0.25">
      <c r="A328" t="s">
        <v>80</v>
      </c>
      <c r="B328" t="s">
        <v>39</v>
      </c>
      <c r="C328" s="212" t="str">
        <f t="shared" si="5"/>
        <v>Jefferson County Criminal</v>
      </c>
      <c r="D328" s="188">
        <v>7069</v>
      </c>
      <c r="E328" s="188">
        <v>6537.25</v>
      </c>
      <c r="F328" s="188">
        <v>6537.25</v>
      </c>
      <c r="G328" s="188">
        <v>6537.25</v>
      </c>
      <c r="H328" s="128"/>
      <c r="I328" s="188">
        <v>1385</v>
      </c>
      <c r="J328" s="188">
        <v>2275.75</v>
      </c>
      <c r="K328" s="188">
        <v>3446.5</v>
      </c>
      <c r="L328" s="188">
        <v>3526.5</v>
      </c>
      <c r="M328" s="70"/>
      <c r="N328" s="188">
        <v>8605</v>
      </c>
      <c r="O328" s="188">
        <v>7784.25</v>
      </c>
      <c r="P328" s="188">
        <v>6481.5</v>
      </c>
      <c r="Q328" s="128"/>
      <c r="R328" s="128"/>
      <c r="S328" s="188">
        <v>1449.5</v>
      </c>
      <c r="T328" s="188">
        <v>2136.5</v>
      </c>
      <c r="U328" s="188">
        <v>3057.25</v>
      </c>
      <c r="V328" s="61"/>
      <c r="W328" s="58"/>
      <c r="X328" s="188">
        <v>14017.25</v>
      </c>
      <c r="Y328" s="188">
        <v>10346</v>
      </c>
      <c r="Z328" s="128"/>
      <c r="AA328" s="128"/>
      <c r="AB328" s="128"/>
      <c r="AC328" s="188">
        <v>1176</v>
      </c>
      <c r="AD328" s="188">
        <v>2269.5</v>
      </c>
      <c r="AE328" s="61"/>
      <c r="AF328" s="65"/>
      <c r="AG328" s="58"/>
      <c r="AH328" s="188">
        <v>5123.75</v>
      </c>
      <c r="AI328" s="128"/>
      <c r="AJ328" s="128"/>
      <c r="AK328" s="128"/>
      <c r="AL328" s="128"/>
      <c r="AM328" s="188">
        <v>1139</v>
      </c>
      <c r="AN328" s="135"/>
      <c r="AO328" s="135"/>
      <c r="AP328" s="135"/>
    </row>
    <row r="329" spans="1:42" x14ac:dyDescent="0.25">
      <c r="A329" t="s">
        <v>80</v>
      </c>
      <c r="B329" t="s">
        <v>41</v>
      </c>
      <c r="C329" s="212" t="str">
        <f t="shared" si="5"/>
        <v>Jefferson Criminal Traffic</v>
      </c>
      <c r="D329" s="188">
        <v>27032.2</v>
      </c>
      <c r="E329" s="188">
        <v>24292.2</v>
      </c>
      <c r="F329" s="188">
        <v>23452.2</v>
      </c>
      <c r="G329" s="188">
        <v>23452.2</v>
      </c>
      <c r="H329" s="128"/>
      <c r="I329" s="188">
        <v>5556</v>
      </c>
      <c r="J329" s="188">
        <v>9935.7000000000007</v>
      </c>
      <c r="K329" s="188">
        <v>11580.2</v>
      </c>
      <c r="L329" s="188">
        <v>12660.2</v>
      </c>
      <c r="M329" s="70"/>
      <c r="N329" s="188">
        <v>21106.5</v>
      </c>
      <c r="O329" s="188">
        <v>20715.75</v>
      </c>
      <c r="P329" s="188">
        <v>17325.13</v>
      </c>
      <c r="Q329" s="128"/>
      <c r="R329" s="128"/>
      <c r="S329" s="188">
        <v>9479.25</v>
      </c>
      <c r="T329" s="188">
        <v>10592.63</v>
      </c>
      <c r="U329" s="188">
        <v>11910.38</v>
      </c>
      <c r="V329" s="61"/>
      <c r="W329" s="58"/>
      <c r="X329" s="188">
        <v>18430.3</v>
      </c>
      <c r="Y329" s="188">
        <v>16330.3</v>
      </c>
      <c r="Z329" s="128"/>
      <c r="AA329" s="128"/>
      <c r="AB329" s="128"/>
      <c r="AC329" s="188">
        <v>1869.8</v>
      </c>
      <c r="AD329" s="188">
        <v>3002.8</v>
      </c>
      <c r="AE329" s="61"/>
      <c r="AF329" s="65"/>
      <c r="AG329" s="58"/>
      <c r="AH329" s="188">
        <v>22992.5</v>
      </c>
      <c r="AI329" s="128"/>
      <c r="AJ329" s="128"/>
      <c r="AK329" s="128"/>
      <c r="AL329" s="128"/>
      <c r="AM329" s="188">
        <v>10789.75</v>
      </c>
      <c r="AN329" s="135"/>
      <c r="AO329" s="135"/>
      <c r="AP329" s="135"/>
    </row>
    <row r="330" spans="1:42" x14ac:dyDescent="0.25">
      <c r="A330" t="s">
        <v>80</v>
      </c>
      <c r="B330" t="s">
        <v>46</v>
      </c>
      <c r="C330" s="212" t="str">
        <f t="shared" si="5"/>
        <v>Jefferson Family</v>
      </c>
      <c r="D330" s="188">
        <v>6318</v>
      </c>
      <c r="E330" s="188">
        <v>6318</v>
      </c>
      <c r="F330" s="188">
        <v>6318</v>
      </c>
      <c r="G330" s="188">
        <v>6318</v>
      </c>
      <c r="H330" s="128"/>
      <c r="I330" s="188">
        <v>5475.5</v>
      </c>
      <c r="J330" s="188">
        <v>5526</v>
      </c>
      <c r="K330" s="188">
        <v>5525.5</v>
      </c>
      <c r="L330" s="188">
        <v>5525.5</v>
      </c>
      <c r="M330" s="70"/>
      <c r="N330" s="188">
        <v>5625</v>
      </c>
      <c r="O330" s="188">
        <v>5625.5</v>
      </c>
      <c r="P330" s="188">
        <v>5625.5</v>
      </c>
      <c r="Q330" s="128"/>
      <c r="R330" s="128"/>
      <c r="S330" s="188">
        <v>4828</v>
      </c>
      <c r="T330" s="188">
        <v>4828</v>
      </c>
      <c r="U330" s="188">
        <v>4828</v>
      </c>
      <c r="V330" s="61"/>
      <c r="W330" s="58"/>
      <c r="X330" s="188">
        <v>5961.5</v>
      </c>
      <c r="Y330" s="188">
        <v>5614</v>
      </c>
      <c r="Z330" s="128"/>
      <c r="AA330" s="128"/>
      <c r="AB330" s="128"/>
      <c r="AC330" s="188">
        <v>4766.5</v>
      </c>
      <c r="AD330" s="188">
        <v>4816.5</v>
      </c>
      <c r="AE330" s="61"/>
      <c r="AF330" s="65"/>
      <c r="AG330" s="58"/>
      <c r="AH330" s="188">
        <v>8744.5</v>
      </c>
      <c r="AI330" s="128"/>
      <c r="AJ330" s="128"/>
      <c r="AK330" s="128"/>
      <c r="AL330" s="128"/>
      <c r="AM330" s="188">
        <v>8247</v>
      </c>
      <c r="AN330" s="135"/>
      <c r="AO330" s="135"/>
      <c r="AP330" s="135"/>
    </row>
    <row r="331" spans="1:42" x14ac:dyDescent="0.25">
      <c r="A331" t="s">
        <v>80</v>
      </c>
      <c r="B331" t="s">
        <v>40</v>
      </c>
      <c r="C331" s="212" t="str">
        <f t="shared" si="5"/>
        <v>Jefferson Juvenile Delinquency</v>
      </c>
      <c r="D331" s="188">
        <v>0</v>
      </c>
      <c r="E331" s="188">
        <v>0</v>
      </c>
      <c r="F331" s="188">
        <v>0</v>
      </c>
      <c r="G331" s="188">
        <v>0</v>
      </c>
      <c r="H331" s="128"/>
      <c r="I331" s="188">
        <v>0</v>
      </c>
      <c r="J331" s="188">
        <v>0</v>
      </c>
      <c r="K331" s="188">
        <v>0</v>
      </c>
      <c r="L331" s="188">
        <v>0</v>
      </c>
      <c r="M331" s="70"/>
      <c r="N331" s="188">
        <v>0</v>
      </c>
      <c r="O331" s="188">
        <v>0</v>
      </c>
      <c r="P331" s="188">
        <v>0</v>
      </c>
      <c r="Q331" s="128"/>
      <c r="R331" s="128"/>
      <c r="S331" s="188">
        <v>0</v>
      </c>
      <c r="T331" s="188">
        <v>0</v>
      </c>
      <c r="U331" s="188">
        <v>0</v>
      </c>
      <c r="V331" s="61"/>
      <c r="W331" s="58"/>
      <c r="X331" s="188">
        <v>0</v>
      </c>
      <c r="Y331" s="188">
        <v>0</v>
      </c>
      <c r="Z331" s="128"/>
      <c r="AA331" s="128"/>
      <c r="AB331" s="128"/>
      <c r="AC331" s="188">
        <v>0</v>
      </c>
      <c r="AD331" s="188">
        <v>0</v>
      </c>
      <c r="AE331" s="61"/>
      <c r="AF331" s="65"/>
      <c r="AG331" s="58"/>
      <c r="AH331" s="188">
        <v>0</v>
      </c>
      <c r="AI331" s="128"/>
      <c r="AJ331" s="128"/>
      <c r="AK331" s="128"/>
      <c r="AL331" s="128"/>
      <c r="AM331" s="188">
        <v>0</v>
      </c>
      <c r="AN331" s="135"/>
      <c r="AO331" s="135"/>
      <c r="AP331" s="135"/>
    </row>
    <row r="332" spans="1:42" x14ac:dyDescent="0.25">
      <c r="A332" t="s">
        <v>80</v>
      </c>
      <c r="B332" t="s">
        <v>45</v>
      </c>
      <c r="C332" s="212" t="str">
        <f t="shared" si="5"/>
        <v>Jefferson Probate</v>
      </c>
      <c r="D332" s="188">
        <v>3391</v>
      </c>
      <c r="E332" s="188">
        <v>3391</v>
      </c>
      <c r="F332" s="188">
        <v>3391</v>
      </c>
      <c r="G332" s="188">
        <v>3391</v>
      </c>
      <c r="H332" s="128"/>
      <c r="I332" s="188">
        <v>3391</v>
      </c>
      <c r="J332" s="188">
        <v>3391</v>
      </c>
      <c r="K332" s="188">
        <v>3391</v>
      </c>
      <c r="L332" s="188">
        <v>3391</v>
      </c>
      <c r="M332" s="70"/>
      <c r="N332" s="188">
        <v>3206</v>
      </c>
      <c r="O332" s="188">
        <v>3206</v>
      </c>
      <c r="P332" s="188">
        <v>3206</v>
      </c>
      <c r="Q332" s="128"/>
      <c r="R332" s="128"/>
      <c r="S332" s="188">
        <v>3206</v>
      </c>
      <c r="T332" s="188">
        <v>3206</v>
      </c>
      <c r="U332" s="188">
        <v>3206</v>
      </c>
      <c r="V332" s="61"/>
      <c r="W332" s="58"/>
      <c r="X332" s="188">
        <v>6181</v>
      </c>
      <c r="Y332" s="188">
        <v>6181</v>
      </c>
      <c r="Z332" s="128"/>
      <c r="AA332" s="128"/>
      <c r="AB332" s="128"/>
      <c r="AC332" s="188">
        <v>6181</v>
      </c>
      <c r="AD332" s="188">
        <v>6181</v>
      </c>
      <c r="AE332" s="61"/>
      <c r="AF332" s="65"/>
      <c r="AG332" s="58"/>
      <c r="AH332" s="188">
        <v>4707</v>
      </c>
      <c r="AI332" s="128"/>
      <c r="AJ332" s="128"/>
      <c r="AK332" s="128"/>
      <c r="AL332" s="128"/>
      <c r="AM332" s="188">
        <v>4707</v>
      </c>
      <c r="AN332" s="135"/>
      <c r="AO332" s="135"/>
      <c r="AP332" s="135"/>
    </row>
    <row r="333" spans="1:42" x14ac:dyDescent="0.25">
      <c r="A333" t="s">
        <v>81</v>
      </c>
      <c r="B333" t="s">
        <v>42</v>
      </c>
      <c r="C333" s="212" t="str">
        <f t="shared" si="5"/>
        <v>Lafayette Circuit Civil</v>
      </c>
      <c r="D333" s="188">
        <v>6661</v>
      </c>
      <c r="E333" s="188">
        <v>6661</v>
      </c>
      <c r="F333" s="188">
        <v>6661</v>
      </c>
      <c r="G333" s="188">
        <v>6661</v>
      </c>
      <c r="H333" s="128"/>
      <c r="I333" s="188">
        <v>6661</v>
      </c>
      <c r="J333" s="188">
        <v>6661</v>
      </c>
      <c r="K333" s="188">
        <v>6661</v>
      </c>
      <c r="L333" s="188">
        <v>6661</v>
      </c>
      <c r="M333" s="70"/>
      <c r="N333" s="188">
        <v>9095</v>
      </c>
      <c r="O333" s="188">
        <v>8295</v>
      </c>
      <c r="P333" s="188">
        <v>8295</v>
      </c>
      <c r="Q333" s="128"/>
      <c r="R333" s="128"/>
      <c r="S333" s="188">
        <v>8295</v>
      </c>
      <c r="T333" s="188">
        <v>8295</v>
      </c>
      <c r="U333" s="188">
        <v>8295</v>
      </c>
      <c r="V333" s="61"/>
      <c r="W333" s="58"/>
      <c r="X333" s="188">
        <v>9580</v>
      </c>
      <c r="Y333" s="188">
        <v>9580</v>
      </c>
      <c r="Z333" s="128"/>
      <c r="AA333" s="128"/>
      <c r="AB333" s="128"/>
      <c r="AC333" s="188">
        <v>9580</v>
      </c>
      <c r="AD333" s="188">
        <v>9580</v>
      </c>
      <c r="AE333" s="61"/>
      <c r="AF333" s="65"/>
      <c r="AG333" s="58"/>
      <c r="AH333" s="188">
        <v>6675</v>
      </c>
      <c r="AI333" s="128"/>
      <c r="AJ333" s="128"/>
      <c r="AK333" s="128"/>
      <c r="AL333" s="128"/>
      <c r="AM333" s="188">
        <v>6275</v>
      </c>
      <c r="AN333" s="135"/>
      <c r="AO333" s="135"/>
      <c r="AP333" s="135"/>
    </row>
    <row r="334" spans="1:42" x14ac:dyDescent="0.25">
      <c r="A334" t="s">
        <v>81</v>
      </c>
      <c r="B334" t="s">
        <v>38</v>
      </c>
      <c r="C334" s="212" t="str">
        <f t="shared" si="5"/>
        <v>Lafayette Circuit Criminal</v>
      </c>
      <c r="D334" s="188">
        <v>14027</v>
      </c>
      <c r="E334" s="188">
        <v>14027</v>
      </c>
      <c r="F334" s="188">
        <v>14027</v>
      </c>
      <c r="G334" s="188">
        <v>14027</v>
      </c>
      <c r="H334" s="128"/>
      <c r="I334" s="188">
        <v>103.57</v>
      </c>
      <c r="J334" s="188">
        <v>388.04</v>
      </c>
      <c r="K334" s="188">
        <v>512.33000000000004</v>
      </c>
      <c r="L334" s="188">
        <v>826.22</v>
      </c>
      <c r="M334" s="70"/>
      <c r="N334" s="188">
        <v>19895.330000000002</v>
      </c>
      <c r="O334" s="188">
        <v>19895.330000000002</v>
      </c>
      <c r="P334" s="188">
        <v>19895.330000000002</v>
      </c>
      <c r="Q334" s="128"/>
      <c r="R334" s="128"/>
      <c r="S334" s="188">
        <v>0</v>
      </c>
      <c r="T334" s="188">
        <v>0</v>
      </c>
      <c r="U334" s="188">
        <v>0</v>
      </c>
      <c r="V334" s="61"/>
      <c r="W334" s="58"/>
      <c r="X334" s="188">
        <v>151955.04999999999</v>
      </c>
      <c r="Y334" s="188">
        <v>151955.04999999999</v>
      </c>
      <c r="Z334" s="128"/>
      <c r="AA334" s="128"/>
      <c r="AB334" s="128"/>
      <c r="AC334" s="188">
        <v>98.08</v>
      </c>
      <c r="AD334" s="188">
        <v>665.4</v>
      </c>
      <c r="AE334" s="61"/>
      <c r="AF334" s="65"/>
      <c r="AG334" s="58"/>
      <c r="AH334" s="188">
        <v>41732</v>
      </c>
      <c r="AI334" s="128"/>
      <c r="AJ334" s="128"/>
      <c r="AK334" s="128"/>
      <c r="AL334" s="128"/>
      <c r="AM334" s="188">
        <v>255.37</v>
      </c>
      <c r="AN334" s="135"/>
      <c r="AO334" s="135"/>
      <c r="AP334" s="135"/>
    </row>
    <row r="335" spans="1:42" x14ac:dyDescent="0.25">
      <c r="A335" t="s">
        <v>81</v>
      </c>
      <c r="B335" t="s">
        <v>265</v>
      </c>
      <c r="C335" s="212" t="str">
        <f t="shared" si="5"/>
        <v>Lafayette Circuit Criminal Drug Cases</v>
      </c>
      <c r="D335" s="188">
        <v>0</v>
      </c>
      <c r="E335" s="188">
        <v>0</v>
      </c>
      <c r="F335" s="188">
        <v>0</v>
      </c>
      <c r="G335" s="188">
        <v>0</v>
      </c>
      <c r="H335" s="63"/>
      <c r="I335" s="188">
        <v>0</v>
      </c>
      <c r="J335" s="188">
        <v>0</v>
      </c>
      <c r="K335" s="188">
        <v>0</v>
      </c>
      <c r="L335" s="188">
        <v>0</v>
      </c>
      <c r="N335" s="188">
        <v>0</v>
      </c>
      <c r="O335" s="188">
        <v>0</v>
      </c>
      <c r="P335" s="188">
        <v>0</v>
      </c>
      <c r="Q335" s="63"/>
      <c r="R335" s="63"/>
      <c r="S335" s="188">
        <v>0</v>
      </c>
      <c r="T335" s="188">
        <v>0</v>
      </c>
      <c r="U335" s="188">
        <v>0</v>
      </c>
      <c r="X335" s="188">
        <v>0</v>
      </c>
      <c r="Y335" s="188">
        <v>0</v>
      </c>
      <c r="Z335" s="63"/>
      <c r="AB335" s="63"/>
      <c r="AC335" s="188">
        <v>100250</v>
      </c>
      <c r="AD335" s="188">
        <v>100250</v>
      </c>
      <c r="AH335" s="188">
        <v>255.37</v>
      </c>
      <c r="AI335" s="63"/>
      <c r="AL335" s="63"/>
      <c r="AM335" s="188">
        <v>29485</v>
      </c>
    </row>
    <row r="336" spans="1:42" x14ac:dyDescent="0.25">
      <c r="A336" t="s">
        <v>81</v>
      </c>
      <c r="B336" t="s">
        <v>44</v>
      </c>
      <c r="C336" s="212" t="str">
        <f t="shared" si="5"/>
        <v>Lafayette Civil Traffic</v>
      </c>
      <c r="D336" s="188">
        <v>13158</v>
      </c>
      <c r="E336" s="188">
        <v>13250</v>
      </c>
      <c r="F336" s="188">
        <v>13250</v>
      </c>
      <c r="G336" s="188">
        <v>13250</v>
      </c>
      <c r="H336" s="128"/>
      <c r="I336" s="188">
        <v>7889</v>
      </c>
      <c r="J336" s="188">
        <v>11773</v>
      </c>
      <c r="K336" s="188">
        <v>12360</v>
      </c>
      <c r="L336" s="188">
        <v>12401</v>
      </c>
      <c r="M336" s="70"/>
      <c r="N336" s="188">
        <v>12469.8</v>
      </c>
      <c r="O336" s="188">
        <v>11903.7</v>
      </c>
      <c r="P336" s="188">
        <v>11903.7</v>
      </c>
      <c r="Q336" s="128"/>
      <c r="R336" s="128"/>
      <c r="S336" s="188">
        <v>5399.8</v>
      </c>
      <c r="T336" s="188">
        <v>10234.700000000001</v>
      </c>
      <c r="U336" s="188">
        <v>10746.7</v>
      </c>
      <c r="V336" s="61"/>
      <c r="W336" s="58"/>
      <c r="X336" s="188">
        <v>16989</v>
      </c>
      <c r="Y336" s="188">
        <v>15945</v>
      </c>
      <c r="Z336" s="128"/>
      <c r="AA336" s="128"/>
      <c r="AB336" s="128"/>
      <c r="AC336" s="188">
        <v>7479</v>
      </c>
      <c r="AD336" s="188">
        <v>12285</v>
      </c>
      <c r="AE336" s="61"/>
      <c r="AF336" s="65"/>
      <c r="AG336" s="58"/>
      <c r="AH336" s="188">
        <v>12534</v>
      </c>
      <c r="AI336" s="128"/>
      <c r="AJ336" s="128"/>
      <c r="AK336" s="128"/>
      <c r="AL336" s="128"/>
      <c r="AM336" s="188">
        <v>4692</v>
      </c>
      <c r="AN336" s="135"/>
      <c r="AO336" s="135"/>
      <c r="AP336" s="135"/>
    </row>
    <row r="337" spans="1:42" x14ac:dyDescent="0.25">
      <c r="A337" t="s">
        <v>81</v>
      </c>
      <c r="B337" t="s">
        <v>43</v>
      </c>
      <c r="C337" s="212" t="str">
        <f t="shared" si="5"/>
        <v>Lafayette County Civil</v>
      </c>
      <c r="D337" s="188">
        <v>5333</v>
      </c>
      <c r="E337" s="188">
        <v>5333</v>
      </c>
      <c r="F337" s="188">
        <v>5333</v>
      </c>
      <c r="G337" s="188">
        <v>5333</v>
      </c>
      <c r="H337" s="128"/>
      <c r="I337" s="188">
        <v>5323</v>
      </c>
      <c r="J337" s="188">
        <v>5323</v>
      </c>
      <c r="K337" s="188">
        <v>5323</v>
      </c>
      <c r="L337" s="188">
        <v>5323</v>
      </c>
      <c r="M337" s="70"/>
      <c r="N337" s="188">
        <v>3092</v>
      </c>
      <c r="O337" s="188">
        <v>3092</v>
      </c>
      <c r="P337" s="188">
        <v>3092</v>
      </c>
      <c r="Q337" s="128"/>
      <c r="R337" s="128"/>
      <c r="S337" s="188">
        <v>3092</v>
      </c>
      <c r="T337" s="188">
        <v>3092</v>
      </c>
      <c r="U337" s="188">
        <v>3092</v>
      </c>
      <c r="V337" s="61"/>
      <c r="W337" s="58"/>
      <c r="X337" s="188">
        <v>6541</v>
      </c>
      <c r="Y337" s="188">
        <v>6541</v>
      </c>
      <c r="Z337" s="128"/>
      <c r="AA337" s="128"/>
      <c r="AB337" s="128"/>
      <c r="AC337" s="188">
        <v>6356</v>
      </c>
      <c r="AD337" s="188">
        <v>6356</v>
      </c>
      <c r="AE337" s="61"/>
      <c r="AF337" s="65"/>
      <c r="AG337" s="58"/>
      <c r="AH337" s="188">
        <v>3745</v>
      </c>
      <c r="AI337" s="128"/>
      <c r="AJ337" s="128"/>
      <c r="AK337" s="128"/>
      <c r="AL337" s="128"/>
      <c r="AM337" s="188">
        <v>3445</v>
      </c>
      <c r="AN337" s="135"/>
      <c r="AO337" s="135"/>
      <c r="AP337" s="135"/>
    </row>
    <row r="338" spans="1:42" x14ac:dyDescent="0.25">
      <c r="A338" t="s">
        <v>81</v>
      </c>
      <c r="B338" t="s">
        <v>39</v>
      </c>
      <c r="C338" s="212" t="str">
        <f t="shared" si="5"/>
        <v>Lafayette County Criminal</v>
      </c>
      <c r="D338" s="188">
        <v>6066.75</v>
      </c>
      <c r="E338" s="188">
        <v>6066.75</v>
      </c>
      <c r="F338" s="188">
        <v>5481.75</v>
      </c>
      <c r="G338" s="188">
        <v>5481.75</v>
      </c>
      <c r="H338" s="128"/>
      <c r="I338" s="188">
        <v>823.75</v>
      </c>
      <c r="J338" s="188">
        <v>1844.75</v>
      </c>
      <c r="K338" s="188">
        <v>2424.75</v>
      </c>
      <c r="L338" s="188">
        <v>3799.75</v>
      </c>
      <c r="M338" s="70"/>
      <c r="N338" s="188">
        <v>10728.5</v>
      </c>
      <c r="O338" s="188">
        <v>10728.5</v>
      </c>
      <c r="P338" s="188">
        <v>10728.5</v>
      </c>
      <c r="Q338" s="128"/>
      <c r="R338" s="128"/>
      <c r="S338" s="188">
        <v>1383</v>
      </c>
      <c r="T338" s="188">
        <v>1383</v>
      </c>
      <c r="U338" s="188">
        <v>1555</v>
      </c>
      <c r="V338" s="61"/>
      <c r="W338" s="58"/>
      <c r="X338" s="188">
        <v>10102.5</v>
      </c>
      <c r="Y338" s="188">
        <v>9553</v>
      </c>
      <c r="Z338" s="128"/>
      <c r="AA338" s="128"/>
      <c r="AB338" s="128"/>
      <c r="AC338" s="188">
        <v>1399</v>
      </c>
      <c r="AD338" s="188">
        <v>2806</v>
      </c>
      <c r="AE338" s="61"/>
      <c r="AF338" s="65"/>
      <c r="AG338" s="58"/>
      <c r="AH338" s="188">
        <v>10770.4</v>
      </c>
      <c r="AI338" s="128"/>
      <c r="AJ338" s="128"/>
      <c r="AK338" s="128"/>
      <c r="AL338" s="128"/>
      <c r="AM338" s="188">
        <v>1729.5</v>
      </c>
      <c r="AN338" s="135"/>
      <c r="AO338" s="135"/>
      <c r="AP338" s="135"/>
    </row>
    <row r="339" spans="1:42" x14ac:dyDescent="0.25">
      <c r="A339" t="s">
        <v>81</v>
      </c>
      <c r="B339" t="s">
        <v>41</v>
      </c>
      <c r="C339" s="212" t="str">
        <f t="shared" si="5"/>
        <v>Lafayette Criminal Traffic</v>
      </c>
      <c r="D339" s="188">
        <v>2189.75</v>
      </c>
      <c r="E339" s="188">
        <v>2189.75</v>
      </c>
      <c r="F339" s="188">
        <v>2189.75</v>
      </c>
      <c r="G339" s="188">
        <v>2189.75</v>
      </c>
      <c r="H339" s="128"/>
      <c r="I339" s="188">
        <v>553</v>
      </c>
      <c r="J339" s="188">
        <v>1153</v>
      </c>
      <c r="K339" s="188">
        <v>1546</v>
      </c>
      <c r="L339" s="188">
        <v>1546</v>
      </c>
      <c r="M339" s="70"/>
      <c r="N339" s="188">
        <v>4809.5</v>
      </c>
      <c r="O339" s="188">
        <v>4809.5</v>
      </c>
      <c r="P339" s="188">
        <v>4809.5</v>
      </c>
      <c r="Q339" s="128"/>
      <c r="R339" s="128"/>
      <c r="S339" s="188">
        <v>1055.5</v>
      </c>
      <c r="T339" s="188">
        <v>2320</v>
      </c>
      <c r="U339" s="188">
        <v>4209</v>
      </c>
      <c r="V339" s="61"/>
      <c r="W339" s="58"/>
      <c r="X339" s="188">
        <v>11392.5</v>
      </c>
      <c r="Y339" s="188">
        <v>11392.5</v>
      </c>
      <c r="Z339" s="128"/>
      <c r="AA339" s="128"/>
      <c r="AB339" s="128"/>
      <c r="AC339" s="188">
        <v>4736.5</v>
      </c>
      <c r="AD339" s="188">
        <v>6595.5</v>
      </c>
      <c r="AE339" s="61"/>
      <c r="AF339" s="65"/>
      <c r="AG339" s="58"/>
      <c r="AH339" s="188">
        <v>5506.5</v>
      </c>
      <c r="AI339" s="128"/>
      <c r="AJ339" s="128"/>
      <c r="AK339" s="128"/>
      <c r="AL339" s="128"/>
      <c r="AM339" s="188">
        <v>941</v>
      </c>
      <c r="AN339" s="135"/>
      <c r="AO339" s="135"/>
      <c r="AP339" s="135"/>
    </row>
    <row r="340" spans="1:42" x14ac:dyDescent="0.25">
      <c r="A340" t="s">
        <v>81</v>
      </c>
      <c r="B340" t="s">
        <v>46</v>
      </c>
      <c r="C340" s="212" t="str">
        <f t="shared" si="5"/>
        <v>Lafayette Family</v>
      </c>
      <c r="D340" s="188">
        <v>4049</v>
      </c>
      <c r="E340" s="188">
        <v>4049</v>
      </c>
      <c r="F340" s="188">
        <v>4049</v>
      </c>
      <c r="G340" s="188">
        <v>4049</v>
      </c>
      <c r="H340" s="128"/>
      <c r="I340" s="188">
        <v>4049</v>
      </c>
      <c r="J340" s="188">
        <v>4049</v>
      </c>
      <c r="K340" s="188">
        <v>4049</v>
      </c>
      <c r="L340" s="188">
        <v>4049</v>
      </c>
      <c r="M340" s="70"/>
      <c r="N340" s="188">
        <v>4254</v>
      </c>
      <c r="O340" s="188">
        <v>4254</v>
      </c>
      <c r="P340" s="188">
        <v>4254</v>
      </c>
      <c r="Q340" s="128"/>
      <c r="R340" s="128"/>
      <c r="S340" s="188">
        <v>4254</v>
      </c>
      <c r="T340" s="188">
        <v>4254</v>
      </c>
      <c r="U340" s="188">
        <v>4254</v>
      </c>
      <c r="V340" s="61"/>
      <c r="W340" s="58"/>
      <c r="X340" s="188">
        <v>2191</v>
      </c>
      <c r="Y340" s="188">
        <v>2191</v>
      </c>
      <c r="Z340" s="128"/>
      <c r="AA340" s="128"/>
      <c r="AB340" s="128"/>
      <c r="AC340" s="188">
        <v>2191</v>
      </c>
      <c r="AD340" s="188">
        <v>2191</v>
      </c>
      <c r="AE340" s="61"/>
      <c r="AF340" s="65"/>
      <c r="AG340" s="58"/>
      <c r="AH340" s="188">
        <v>3675</v>
      </c>
      <c r="AI340" s="128"/>
      <c r="AJ340" s="128"/>
      <c r="AK340" s="128"/>
      <c r="AL340" s="128"/>
      <c r="AM340" s="188">
        <v>3675</v>
      </c>
      <c r="AN340" s="135"/>
      <c r="AO340" s="135"/>
      <c r="AP340" s="135"/>
    </row>
    <row r="341" spans="1:42" x14ac:dyDescent="0.25">
      <c r="A341" t="s">
        <v>81</v>
      </c>
      <c r="B341" t="s">
        <v>40</v>
      </c>
      <c r="C341" s="212" t="str">
        <f t="shared" si="5"/>
        <v>Lafayette Juvenile Delinquency</v>
      </c>
      <c r="D341" s="188">
        <v>250</v>
      </c>
      <c r="E341" s="188">
        <v>250</v>
      </c>
      <c r="F341" s="188">
        <v>250</v>
      </c>
      <c r="G341" s="188">
        <v>250</v>
      </c>
      <c r="H341" s="128"/>
      <c r="I341" s="188">
        <v>150</v>
      </c>
      <c r="J341" s="188">
        <v>250</v>
      </c>
      <c r="K341" s="188">
        <v>250</v>
      </c>
      <c r="L341" s="188">
        <v>250</v>
      </c>
      <c r="M341" s="70"/>
      <c r="N341" s="188">
        <v>0</v>
      </c>
      <c r="O341" s="188">
        <v>0</v>
      </c>
      <c r="P341" s="188">
        <v>0</v>
      </c>
      <c r="Q341" s="128"/>
      <c r="R341" s="128"/>
      <c r="S341" s="188">
        <v>0</v>
      </c>
      <c r="T341" s="188">
        <v>0</v>
      </c>
      <c r="U341" s="188">
        <v>0</v>
      </c>
      <c r="V341" s="61"/>
      <c r="W341" s="58"/>
      <c r="X341" s="188">
        <v>0</v>
      </c>
      <c r="Y341" s="188">
        <v>0</v>
      </c>
      <c r="Z341" s="128"/>
      <c r="AA341" s="128"/>
      <c r="AB341" s="128"/>
      <c r="AC341" s="188">
        <v>0</v>
      </c>
      <c r="AD341" s="188">
        <v>0</v>
      </c>
      <c r="AE341" s="61"/>
      <c r="AF341" s="65"/>
      <c r="AG341" s="58"/>
      <c r="AH341" s="188">
        <v>0</v>
      </c>
      <c r="AI341" s="128"/>
      <c r="AJ341" s="128"/>
      <c r="AK341" s="128"/>
      <c r="AL341" s="128"/>
      <c r="AM341" s="188">
        <v>0</v>
      </c>
      <c r="AN341" s="135"/>
      <c r="AO341" s="135"/>
      <c r="AP341" s="135"/>
    </row>
    <row r="342" spans="1:42" x14ac:dyDescent="0.25">
      <c r="A342" t="s">
        <v>81</v>
      </c>
      <c r="B342" t="s">
        <v>45</v>
      </c>
      <c r="C342" s="212" t="str">
        <f t="shared" si="5"/>
        <v>Lafayette Probate</v>
      </c>
      <c r="D342" s="188">
        <v>3851</v>
      </c>
      <c r="E342" s="188">
        <v>3851</v>
      </c>
      <c r="F342" s="188">
        <v>3851</v>
      </c>
      <c r="G342" s="188">
        <v>3851</v>
      </c>
      <c r="H342" s="128"/>
      <c r="I342" s="188">
        <v>3451</v>
      </c>
      <c r="J342" s="188">
        <v>3851</v>
      </c>
      <c r="K342" s="188">
        <v>3851</v>
      </c>
      <c r="L342" s="188">
        <v>3851</v>
      </c>
      <c r="M342" s="70"/>
      <c r="N342" s="188">
        <v>3025</v>
      </c>
      <c r="O342" s="188">
        <v>3025</v>
      </c>
      <c r="P342" s="188">
        <v>3025</v>
      </c>
      <c r="Q342" s="128"/>
      <c r="R342" s="128"/>
      <c r="S342" s="188">
        <v>2680</v>
      </c>
      <c r="T342" s="188">
        <v>3025</v>
      </c>
      <c r="U342" s="188">
        <v>3025</v>
      </c>
      <c r="V342" s="61"/>
      <c r="W342" s="58"/>
      <c r="X342" s="188">
        <v>2760</v>
      </c>
      <c r="Y342" s="188">
        <v>2760</v>
      </c>
      <c r="Z342" s="128"/>
      <c r="AA342" s="128"/>
      <c r="AB342" s="128"/>
      <c r="AC342" s="188">
        <v>2760</v>
      </c>
      <c r="AD342" s="188">
        <v>2760</v>
      </c>
      <c r="AE342" s="61"/>
      <c r="AF342" s="65"/>
      <c r="AG342" s="58"/>
      <c r="AH342" s="188">
        <v>1006</v>
      </c>
      <c r="AI342" s="128"/>
      <c r="AJ342" s="128"/>
      <c r="AK342" s="128"/>
      <c r="AL342" s="128"/>
      <c r="AM342" s="188">
        <v>1006</v>
      </c>
      <c r="AN342" s="135"/>
      <c r="AO342" s="135"/>
      <c r="AP342" s="135"/>
    </row>
    <row r="343" spans="1:42" x14ac:dyDescent="0.25">
      <c r="A343" t="s">
        <v>82</v>
      </c>
      <c r="B343" t="s">
        <v>42</v>
      </c>
      <c r="C343" s="212" t="str">
        <f t="shared" si="5"/>
        <v>Lake Circuit Civil</v>
      </c>
      <c r="D343" s="188">
        <v>657294.56999999995</v>
      </c>
      <c r="E343" s="188">
        <v>655757.06999999995</v>
      </c>
      <c r="F343" s="188">
        <v>655757.06999999995</v>
      </c>
      <c r="G343" s="188">
        <v>655757.06999999995</v>
      </c>
      <c r="H343" s="128"/>
      <c r="I343" s="188">
        <v>624327.06999999995</v>
      </c>
      <c r="J343" s="188">
        <v>638282.56999999995</v>
      </c>
      <c r="K343" s="188">
        <v>642852.56999999995</v>
      </c>
      <c r="L343" s="188">
        <v>642905.56999999995</v>
      </c>
      <c r="M343" s="70"/>
      <c r="N343" s="188">
        <v>605898.23</v>
      </c>
      <c r="O343" s="188">
        <v>602175.03</v>
      </c>
      <c r="P343" s="188">
        <v>602175.03</v>
      </c>
      <c r="Q343" s="128"/>
      <c r="R343" s="128"/>
      <c r="S343" s="188">
        <v>552204.32999999996</v>
      </c>
      <c r="T343" s="188">
        <v>575914.82999999996</v>
      </c>
      <c r="U343" s="188">
        <v>587167.03</v>
      </c>
      <c r="V343" s="61"/>
      <c r="W343" s="58"/>
      <c r="X343" s="188">
        <v>746695.19</v>
      </c>
      <c r="Y343" s="188">
        <v>745466.69</v>
      </c>
      <c r="Z343" s="128"/>
      <c r="AA343" s="128"/>
      <c r="AB343" s="128"/>
      <c r="AC343" s="188">
        <v>702871.69</v>
      </c>
      <c r="AD343" s="188">
        <v>727015.24</v>
      </c>
      <c r="AE343" s="61"/>
      <c r="AF343" s="65"/>
      <c r="AG343" s="58"/>
      <c r="AH343" s="188">
        <v>635454.48</v>
      </c>
      <c r="AI343" s="128"/>
      <c r="AJ343" s="128"/>
      <c r="AK343" s="128"/>
      <c r="AL343" s="128"/>
      <c r="AM343" s="188">
        <v>624290.09</v>
      </c>
      <c r="AN343" s="135"/>
      <c r="AO343" s="135"/>
      <c r="AP343" s="135"/>
    </row>
    <row r="344" spans="1:42" x14ac:dyDescent="0.25">
      <c r="A344" t="s">
        <v>82</v>
      </c>
      <c r="B344" t="s">
        <v>38</v>
      </c>
      <c r="C344" s="212" t="str">
        <f t="shared" si="5"/>
        <v>Lake Circuit Criminal</v>
      </c>
      <c r="D344" s="188">
        <v>1666206.41</v>
      </c>
      <c r="E344" s="188">
        <v>1563352.9</v>
      </c>
      <c r="F344" s="188">
        <v>1562552.9</v>
      </c>
      <c r="G344" s="188">
        <v>1562133.41</v>
      </c>
      <c r="H344" s="128"/>
      <c r="I344" s="188">
        <v>29626.36</v>
      </c>
      <c r="J344" s="188">
        <v>59709.34</v>
      </c>
      <c r="K344" s="188">
        <v>76714.83</v>
      </c>
      <c r="L344" s="188">
        <v>94438.080000000002</v>
      </c>
      <c r="M344" s="70"/>
      <c r="N344" s="188">
        <v>1033082.45</v>
      </c>
      <c r="O344" s="188">
        <v>1029766.45</v>
      </c>
      <c r="P344" s="188">
        <v>1029596.45</v>
      </c>
      <c r="Q344" s="128"/>
      <c r="R344" s="128"/>
      <c r="S344" s="188">
        <v>37873.699999999997</v>
      </c>
      <c r="T344" s="188">
        <v>65163.199999999997</v>
      </c>
      <c r="U344" s="188">
        <v>86092.78</v>
      </c>
      <c r="V344" s="61"/>
      <c r="W344" s="58"/>
      <c r="X344" s="188">
        <v>1131810</v>
      </c>
      <c r="Y344" s="188">
        <v>1128373.5</v>
      </c>
      <c r="Z344" s="128"/>
      <c r="AA344" s="128"/>
      <c r="AB344" s="128"/>
      <c r="AC344" s="188">
        <v>25720.83</v>
      </c>
      <c r="AD344" s="188">
        <v>44012.39</v>
      </c>
      <c r="AE344" s="61"/>
      <c r="AF344" s="65"/>
      <c r="AG344" s="58"/>
      <c r="AH344" s="188">
        <v>967118.8</v>
      </c>
      <c r="AI344" s="128"/>
      <c r="AJ344" s="128"/>
      <c r="AK344" s="128"/>
      <c r="AL344" s="128"/>
      <c r="AM344" s="188">
        <v>22738.12</v>
      </c>
      <c r="AN344" s="135"/>
      <c r="AO344" s="135"/>
      <c r="AP344" s="135"/>
    </row>
    <row r="345" spans="1:42" x14ac:dyDescent="0.25">
      <c r="A345" t="s">
        <v>82</v>
      </c>
      <c r="B345" t="s">
        <v>265</v>
      </c>
      <c r="C345" s="212" t="str">
        <f t="shared" si="5"/>
        <v>Lake Circuit Criminal Drug Cases</v>
      </c>
      <c r="D345" s="188">
        <v>900000</v>
      </c>
      <c r="E345" s="188">
        <v>800000</v>
      </c>
      <c r="F345" s="188">
        <v>800000</v>
      </c>
      <c r="G345" s="188">
        <v>800000</v>
      </c>
      <c r="H345" s="63"/>
      <c r="I345" s="188">
        <v>0</v>
      </c>
      <c r="J345" s="188">
        <v>94.33</v>
      </c>
      <c r="K345" s="188">
        <v>219.41</v>
      </c>
      <c r="L345" s="188">
        <v>294.41000000000003</v>
      </c>
      <c r="N345" s="188">
        <v>250000</v>
      </c>
      <c r="O345" s="188">
        <v>250000</v>
      </c>
      <c r="P345" s="188">
        <v>250000</v>
      </c>
      <c r="Q345" s="63"/>
      <c r="R345" s="63"/>
      <c r="S345" s="188">
        <v>0</v>
      </c>
      <c r="T345" s="188">
        <v>0</v>
      </c>
      <c r="U345" s="188">
        <v>0</v>
      </c>
      <c r="X345" s="188">
        <v>350000</v>
      </c>
      <c r="Y345" s="188">
        <v>350000</v>
      </c>
      <c r="Z345" s="63"/>
      <c r="AB345" s="63"/>
      <c r="AC345" s="188">
        <v>0</v>
      </c>
      <c r="AD345" s="188">
        <v>0</v>
      </c>
      <c r="AH345" s="188">
        <v>250000</v>
      </c>
      <c r="AI345" s="63"/>
      <c r="AL345" s="63"/>
      <c r="AM345" s="188">
        <v>0</v>
      </c>
    </row>
    <row r="346" spans="1:42" x14ac:dyDescent="0.25">
      <c r="A346" t="s">
        <v>82</v>
      </c>
      <c r="B346" t="s">
        <v>44</v>
      </c>
      <c r="C346" s="212" t="str">
        <f t="shared" si="5"/>
        <v>Lake Civil Traffic</v>
      </c>
      <c r="D346" s="188">
        <v>1679715.42</v>
      </c>
      <c r="E346" s="188">
        <v>1470633.4</v>
      </c>
      <c r="F346" s="188">
        <v>1427537.7</v>
      </c>
      <c r="G346" s="188">
        <v>1425063.37</v>
      </c>
      <c r="H346" s="128"/>
      <c r="I346" s="188">
        <v>741278.23</v>
      </c>
      <c r="J346" s="188">
        <v>1198985.03</v>
      </c>
      <c r="K346" s="188">
        <v>1269341.69</v>
      </c>
      <c r="L346" s="188">
        <v>1295895.1000000001</v>
      </c>
      <c r="M346" s="70"/>
      <c r="N346" s="188">
        <v>1691561.93</v>
      </c>
      <c r="O346" s="188">
        <v>1464613.47</v>
      </c>
      <c r="P346" s="188">
        <v>1452206.17</v>
      </c>
      <c r="Q346" s="128"/>
      <c r="R346" s="128"/>
      <c r="S346" s="188">
        <v>854529</v>
      </c>
      <c r="T346" s="188">
        <v>1211474.98</v>
      </c>
      <c r="U346" s="188">
        <v>1277531.98</v>
      </c>
      <c r="V346" s="61"/>
      <c r="W346" s="58"/>
      <c r="X346" s="188">
        <v>1699927.74</v>
      </c>
      <c r="Y346" s="188">
        <v>1499021.73</v>
      </c>
      <c r="Z346" s="128"/>
      <c r="AA346" s="128"/>
      <c r="AB346" s="128"/>
      <c r="AC346" s="188">
        <v>810581.22</v>
      </c>
      <c r="AD346" s="188">
        <v>1224407.71</v>
      </c>
      <c r="AE346" s="61"/>
      <c r="AF346" s="65"/>
      <c r="AG346" s="58"/>
      <c r="AH346" s="188">
        <v>1490933.7</v>
      </c>
      <c r="AI346" s="128"/>
      <c r="AJ346" s="128"/>
      <c r="AK346" s="128"/>
      <c r="AL346" s="128"/>
      <c r="AM346" s="188">
        <v>687493.04</v>
      </c>
      <c r="AN346" s="135"/>
      <c r="AO346" s="135"/>
      <c r="AP346" s="135"/>
    </row>
    <row r="347" spans="1:42" x14ac:dyDescent="0.25">
      <c r="A347" t="s">
        <v>82</v>
      </c>
      <c r="B347" t="s">
        <v>43</v>
      </c>
      <c r="C347" s="212" t="str">
        <f t="shared" si="5"/>
        <v>Lake County Civil</v>
      </c>
      <c r="D347" s="188">
        <v>270330.86</v>
      </c>
      <c r="E347" s="188">
        <v>270330.86</v>
      </c>
      <c r="F347" s="188">
        <v>270330.86</v>
      </c>
      <c r="G347" s="188">
        <v>270330.86</v>
      </c>
      <c r="H347" s="128"/>
      <c r="I347" s="188">
        <v>268652.71999999997</v>
      </c>
      <c r="J347" s="188">
        <v>269725.86</v>
      </c>
      <c r="K347" s="188">
        <v>269725.86</v>
      </c>
      <c r="L347" s="188">
        <v>269725.86</v>
      </c>
      <c r="M347" s="70"/>
      <c r="N347" s="188">
        <v>311628.17</v>
      </c>
      <c r="O347" s="188">
        <v>311608.17</v>
      </c>
      <c r="P347" s="188">
        <v>311138.17</v>
      </c>
      <c r="Q347" s="128"/>
      <c r="R347" s="128"/>
      <c r="S347" s="188">
        <v>308462.78999999998</v>
      </c>
      <c r="T347" s="188">
        <v>311007.18</v>
      </c>
      <c r="U347" s="188">
        <v>311007.18</v>
      </c>
      <c r="V347" s="61"/>
      <c r="W347" s="58"/>
      <c r="X347" s="188">
        <v>305980.51</v>
      </c>
      <c r="Y347" s="188">
        <v>305960.51</v>
      </c>
      <c r="Z347" s="128"/>
      <c r="AA347" s="128"/>
      <c r="AB347" s="128"/>
      <c r="AC347" s="188">
        <v>304130.99</v>
      </c>
      <c r="AD347" s="188">
        <v>305476.99</v>
      </c>
      <c r="AE347" s="61"/>
      <c r="AF347" s="65"/>
      <c r="AG347" s="58"/>
      <c r="AH347" s="188">
        <v>276636.51</v>
      </c>
      <c r="AI347" s="128"/>
      <c r="AJ347" s="128"/>
      <c r="AK347" s="128"/>
      <c r="AL347" s="128"/>
      <c r="AM347" s="188">
        <v>275112.87</v>
      </c>
      <c r="AN347" s="135"/>
      <c r="AO347" s="135"/>
      <c r="AP347" s="135"/>
    </row>
    <row r="348" spans="1:42" x14ac:dyDescent="0.25">
      <c r="A348" t="s">
        <v>82</v>
      </c>
      <c r="B348" t="s">
        <v>39</v>
      </c>
      <c r="C348" s="212" t="str">
        <f t="shared" si="5"/>
        <v>Lake County Criminal</v>
      </c>
      <c r="D348" s="188">
        <v>377727.8</v>
      </c>
      <c r="E348" s="188">
        <v>370807.3</v>
      </c>
      <c r="F348" s="188">
        <v>364443.31</v>
      </c>
      <c r="G348" s="188">
        <v>362308.76</v>
      </c>
      <c r="H348" s="128"/>
      <c r="I348" s="188">
        <v>50925.21</v>
      </c>
      <c r="J348" s="188">
        <v>84929.95</v>
      </c>
      <c r="K348" s="188">
        <v>105627.5</v>
      </c>
      <c r="L348" s="188">
        <v>121944.26</v>
      </c>
      <c r="M348" s="70"/>
      <c r="N348" s="188">
        <v>360195.6</v>
      </c>
      <c r="O348" s="188">
        <v>349749.6</v>
      </c>
      <c r="P348" s="188">
        <v>345393.39</v>
      </c>
      <c r="Q348" s="128"/>
      <c r="R348" s="128"/>
      <c r="S348" s="188">
        <v>73110.41</v>
      </c>
      <c r="T348" s="188">
        <v>110009.7</v>
      </c>
      <c r="U348" s="188">
        <v>137842.59</v>
      </c>
      <c r="V348" s="61"/>
      <c r="W348" s="58"/>
      <c r="X348" s="188">
        <v>582962.5</v>
      </c>
      <c r="Y348" s="188">
        <v>573024</v>
      </c>
      <c r="Z348" s="128"/>
      <c r="AA348" s="128"/>
      <c r="AB348" s="128"/>
      <c r="AC348" s="188">
        <v>72433.14</v>
      </c>
      <c r="AD348" s="188">
        <v>116691.45</v>
      </c>
      <c r="AE348" s="61"/>
      <c r="AF348" s="65"/>
      <c r="AG348" s="58"/>
      <c r="AH348" s="188">
        <v>456478.28</v>
      </c>
      <c r="AI348" s="128"/>
      <c r="AJ348" s="128"/>
      <c r="AK348" s="128"/>
      <c r="AL348" s="128"/>
      <c r="AM348" s="188">
        <v>62741.18</v>
      </c>
      <c r="AN348" s="135"/>
      <c r="AO348" s="135"/>
      <c r="AP348" s="135"/>
    </row>
    <row r="349" spans="1:42" x14ac:dyDescent="0.25">
      <c r="A349" t="s">
        <v>82</v>
      </c>
      <c r="B349" t="s">
        <v>41</v>
      </c>
      <c r="C349" s="212" t="str">
        <f t="shared" si="5"/>
        <v>Lake Criminal Traffic</v>
      </c>
      <c r="D349" s="188">
        <v>448286.7</v>
      </c>
      <c r="E349" s="188">
        <v>444569.7</v>
      </c>
      <c r="F349" s="188">
        <v>443453.9</v>
      </c>
      <c r="G349" s="188">
        <v>441262.4</v>
      </c>
      <c r="H349" s="128"/>
      <c r="I349" s="188">
        <v>124807.4</v>
      </c>
      <c r="J349" s="188">
        <v>181337.3</v>
      </c>
      <c r="K349" s="188">
        <v>218705.2</v>
      </c>
      <c r="L349" s="188">
        <v>251025.97</v>
      </c>
      <c r="M349" s="70"/>
      <c r="N349" s="188">
        <v>410715.7</v>
      </c>
      <c r="O349" s="188">
        <v>407509.7</v>
      </c>
      <c r="P349" s="188">
        <v>403454.12</v>
      </c>
      <c r="Q349" s="128"/>
      <c r="R349" s="128"/>
      <c r="S349" s="188">
        <v>124835.3</v>
      </c>
      <c r="T349" s="188">
        <v>171886.9</v>
      </c>
      <c r="U349" s="188">
        <v>207505.86</v>
      </c>
      <c r="V349" s="61"/>
      <c r="W349" s="58"/>
      <c r="X349" s="188">
        <v>403068.95</v>
      </c>
      <c r="Y349" s="188">
        <v>399446.9</v>
      </c>
      <c r="Z349" s="128"/>
      <c r="AA349" s="128"/>
      <c r="AB349" s="128"/>
      <c r="AC349" s="188">
        <v>120691.6</v>
      </c>
      <c r="AD349" s="188">
        <v>165501.35</v>
      </c>
      <c r="AE349" s="61"/>
      <c r="AF349" s="65"/>
      <c r="AG349" s="58"/>
      <c r="AH349" s="188">
        <v>418361.1</v>
      </c>
      <c r="AI349" s="128"/>
      <c r="AJ349" s="128"/>
      <c r="AK349" s="128"/>
      <c r="AL349" s="128"/>
      <c r="AM349" s="188">
        <v>127092.23</v>
      </c>
      <c r="AN349" s="135"/>
      <c r="AO349" s="135"/>
      <c r="AP349" s="135"/>
    </row>
    <row r="350" spans="1:42" x14ac:dyDescent="0.25">
      <c r="A350" t="s">
        <v>82</v>
      </c>
      <c r="B350" t="s">
        <v>46</v>
      </c>
      <c r="C350" s="212" t="str">
        <f t="shared" si="5"/>
        <v>Lake Family</v>
      </c>
      <c r="D350" s="188">
        <v>153700.04999999999</v>
      </c>
      <c r="E350" s="188">
        <v>152145.04999999999</v>
      </c>
      <c r="F350" s="188">
        <v>151845.04999999999</v>
      </c>
      <c r="G350" s="188">
        <v>151784.5</v>
      </c>
      <c r="H350" s="128"/>
      <c r="I350" s="188">
        <v>138007.45000000001</v>
      </c>
      <c r="J350" s="188">
        <v>142573.95000000001</v>
      </c>
      <c r="K350" s="188">
        <v>143102.95000000001</v>
      </c>
      <c r="L350" s="188">
        <v>144030.29999999999</v>
      </c>
      <c r="M350" s="70"/>
      <c r="N350" s="188">
        <v>186611.5</v>
      </c>
      <c r="O350" s="188">
        <v>184531.05</v>
      </c>
      <c r="P350" s="188">
        <v>184286.05</v>
      </c>
      <c r="Q350" s="128"/>
      <c r="R350" s="128"/>
      <c r="S350" s="188">
        <v>163679.15</v>
      </c>
      <c r="T350" s="188">
        <v>172644.45</v>
      </c>
      <c r="U350" s="188">
        <v>177390.66</v>
      </c>
      <c r="V350" s="61"/>
      <c r="W350" s="58"/>
      <c r="X350" s="188">
        <v>182156.1</v>
      </c>
      <c r="Y350" s="188">
        <v>179198.6</v>
      </c>
      <c r="Z350" s="128"/>
      <c r="AA350" s="128"/>
      <c r="AB350" s="128"/>
      <c r="AC350" s="188">
        <v>158660.70000000001</v>
      </c>
      <c r="AD350" s="188">
        <v>167575.98000000001</v>
      </c>
      <c r="AE350" s="61"/>
      <c r="AF350" s="65"/>
      <c r="AG350" s="58"/>
      <c r="AH350" s="188">
        <v>169202.88</v>
      </c>
      <c r="AI350" s="128"/>
      <c r="AJ350" s="128"/>
      <c r="AK350" s="128"/>
      <c r="AL350" s="128"/>
      <c r="AM350" s="188">
        <v>145857.4</v>
      </c>
      <c r="AN350" s="135"/>
      <c r="AO350" s="135"/>
      <c r="AP350" s="135"/>
    </row>
    <row r="351" spans="1:42" x14ac:dyDescent="0.25">
      <c r="A351" t="s">
        <v>82</v>
      </c>
      <c r="B351" t="s">
        <v>40</v>
      </c>
      <c r="C351" s="212" t="str">
        <f t="shared" si="5"/>
        <v>Lake Juvenile Delinquency</v>
      </c>
      <c r="D351" s="188">
        <v>11994</v>
      </c>
      <c r="E351" s="188">
        <v>11580</v>
      </c>
      <c r="F351" s="188">
        <v>11580</v>
      </c>
      <c r="G351" s="188">
        <v>11580</v>
      </c>
      <c r="H351" s="128"/>
      <c r="I351" s="188">
        <v>160</v>
      </c>
      <c r="J351" s="188">
        <v>1465</v>
      </c>
      <c r="K351" s="188">
        <v>2426</v>
      </c>
      <c r="L351" s="188">
        <v>2550</v>
      </c>
      <c r="M351" s="70"/>
      <c r="N351" s="188">
        <v>5920.5</v>
      </c>
      <c r="O351" s="188">
        <v>5920.5</v>
      </c>
      <c r="P351" s="188">
        <v>5920.5</v>
      </c>
      <c r="Q351" s="128"/>
      <c r="R351" s="128"/>
      <c r="S351" s="188">
        <v>679.5</v>
      </c>
      <c r="T351" s="188">
        <v>1062.5</v>
      </c>
      <c r="U351" s="188">
        <v>1233.82</v>
      </c>
      <c r="V351" s="61"/>
      <c r="W351" s="58"/>
      <c r="X351" s="188">
        <v>6588</v>
      </c>
      <c r="Y351" s="188">
        <v>6588</v>
      </c>
      <c r="Z351" s="128"/>
      <c r="AA351" s="128"/>
      <c r="AB351" s="128"/>
      <c r="AC351" s="188">
        <v>552</v>
      </c>
      <c r="AD351" s="188">
        <v>1088</v>
      </c>
      <c r="AE351" s="61"/>
      <c r="AF351" s="65"/>
      <c r="AG351" s="58"/>
      <c r="AH351" s="188">
        <v>10903.5</v>
      </c>
      <c r="AI351" s="128"/>
      <c r="AJ351" s="128"/>
      <c r="AK351" s="128"/>
      <c r="AL351" s="128"/>
      <c r="AM351" s="188">
        <v>498.5</v>
      </c>
      <c r="AN351" s="135"/>
      <c r="AO351" s="135"/>
      <c r="AP351" s="135"/>
    </row>
    <row r="352" spans="1:42" x14ac:dyDescent="0.25">
      <c r="A352" t="s">
        <v>82</v>
      </c>
      <c r="B352" t="s">
        <v>45</v>
      </c>
      <c r="C352" s="212" t="str">
        <f t="shared" si="5"/>
        <v>Lake Probate</v>
      </c>
      <c r="D352" s="188">
        <v>105427.3</v>
      </c>
      <c r="E352" s="188">
        <v>105427.3</v>
      </c>
      <c r="F352" s="188">
        <v>105427.3</v>
      </c>
      <c r="G352" s="188">
        <v>105427.3</v>
      </c>
      <c r="H352" s="128"/>
      <c r="I352" s="188">
        <v>104778.3</v>
      </c>
      <c r="J352" s="188">
        <v>104778.3</v>
      </c>
      <c r="K352" s="188">
        <v>104778.3</v>
      </c>
      <c r="L352" s="188">
        <v>105427.3</v>
      </c>
      <c r="M352" s="70"/>
      <c r="N352" s="188">
        <v>117667.5</v>
      </c>
      <c r="O352" s="188">
        <v>117667.5</v>
      </c>
      <c r="P352" s="188">
        <v>117667.5</v>
      </c>
      <c r="Q352" s="128"/>
      <c r="R352" s="128"/>
      <c r="S352" s="188">
        <v>114713.5</v>
      </c>
      <c r="T352" s="188">
        <v>117322.5</v>
      </c>
      <c r="U352" s="188">
        <v>117667.5</v>
      </c>
      <c r="V352" s="61"/>
      <c r="W352" s="58"/>
      <c r="X352" s="188">
        <v>114008</v>
      </c>
      <c r="Y352" s="188">
        <v>114008</v>
      </c>
      <c r="Z352" s="128"/>
      <c r="AA352" s="128"/>
      <c r="AB352" s="128"/>
      <c r="AC352" s="188">
        <v>111884</v>
      </c>
      <c r="AD352" s="188">
        <v>113608</v>
      </c>
      <c r="AE352" s="61"/>
      <c r="AF352" s="65"/>
      <c r="AG352" s="58"/>
      <c r="AH352" s="188">
        <v>111713.5</v>
      </c>
      <c r="AI352" s="128"/>
      <c r="AJ352" s="128"/>
      <c r="AK352" s="128"/>
      <c r="AL352" s="128"/>
      <c r="AM352" s="188">
        <v>110673.5</v>
      </c>
      <c r="AN352" s="135"/>
      <c r="AO352" s="135"/>
      <c r="AP352" s="135"/>
    </row>
    <row r="353" spans="1:42" x14ac:dyDescent="0.25">
      <c r="A353" t="s">
        <v>83</v>
      </c>
      <c r="B353" t="s">
        <v>42</v>
      </c>
      <c r="C353" s="212" t="str">
        <f t="shared" si="5"/>
        <v>Lee Circuit Civil</v>
      </c>
      <c r="D353" s="188">
        <v>1760696</v>
      </c>
      <c r="E353" s="188">
        <v>1757497</v>
      </c>
      <c r="F353" s="188">
        <v>1757214</v>
      </c>
      <c r="H353" s="128"/>
      <c r="I353" s="188">
        <v>1707485</v>
      </c>
      <c r="J353" s="188">
        <v>1717912</v>
      </c>
      <c r="K353" s="188">
        <v>1721642</v>
      </c>
      <c r="M353" s="70"/>
      <c r="N353" s="188">
        <v>1517774</v>
      </c>
      <c r="O353" s="188">
        <v>1512514</v>
      </c>
      <c r="P353" s="188"/>
      <c r="Q353" s="128"/>
      <c r="R353" s="128"/>
      <c r="S353" s="188">
        <v>1471295</v>
      </c>
      <c r="T353" s="188">
        <v>1480381</v>
      </c>
      <c r="U353" s="188"/>
      <c r="V353" s="61"/>
      <c r="W353" s="58"/>
      <c r="X353" s="188">
        <v>1511140</v>
      </c>
      <c r="Y353" s="188"/>
      <c r="Z353" s="128"/>
      <c r="AA353" s="128"/>
      <c r="AB353" s="128"/>
      <c r="AC353" s="188">
        <v>1482739</v>
      </c>
      <c r="AD353" s="188"/>
      <c r="AE353" s="61"/>
      <c r="AF353" s="65"/>
      <c r="AG353" s="58"/>
      <c r="AH353" s="188">
        <v>1916807</v>
      </c>
      <c r="AI353" s="128"/>
      <c r="AJ353" s="128"/>
      <c r="AK353" s="128"/>
      <c r="AL353" s="128"/>
      <c r="AM353" s="188">
        <v>1856281</v>
      </c>
      <c r="AN353" s="135"/>
      <c r="AO353" s="135"/>
      <c r="AP353" s="135"/>
    </row>
    <row r="354" spans="1:42" x14ac:dyDescent="0.25">
      <c r="A354" t="s">
        <v>83</v>
      </c>
      <c r="B354" t="s">
        <v>38</v>
      </c>
      <c r="C354" s="212" t="str">
        <f t="shared" si="5"/>
        <v>Lee Circuit Criminal</v>
      </c>
      <c r="D354" s="188">
        <v>1321869</v>
      </c>
      <c r="E354" s="188">
        <v>1319251</v>
      </c>
      <c r="F354" s="188">
        <v>1319126</v>
      </c>
      <c r="G354" s="188"/>
      <c r="H354" s="128"/>
      <c r="I354" s="188">
        <v>16476</v>
      </c>
      <c r="J354" s="188">
        <v>48962</v>
      </c>
      <c r="K354" s="188">
        <v>78938</v>
      </c>
      <c r="L354" s="188"/>
      <c r="M354" s="70"/>
      <c r="N354" s="188">
        <v>1469949</v>
      </c>
      <c r="O354" s="188">
        <v>1471883</v>
      </c>
      <c r="P354" s="188"/>
      <c r="Q354" s="128"/>
      <c r="R354" s="128"/>
      <c r="S354" s="188">
        <v>31513</v>
      </c>
      <c r="T354" s="188">
        <v>67176</v>
      </c>
      <c r="U354" s="188"/>
      <c r="V354" s="61"/>
      <c r="W354" s="58"/>
      <c r="X354" s="188">
        <v>3715917</v>
      </c>
      <c r="Y354" s="188"/>
      <c r="Z354" s="128"/>
      <c r="AA354" s="128"/>
      <c r="AB354" s="128"/>
      <c r="AC354" s="188">
        <v>22251</v>
      </c>
      <c r="AD354" s="188"/>
      <c r="AE354" s="61"/>
      <c r="AF354" s="65"/>
      <c r="AG354" s="58"/>
      <c r="AH354" s="188">
        <v>2009816</v>
      </c>
      <c r="AI354" s="128"/>
      <c r="AJ354" s="128"/>
      <c r="AK354" s="128"/>
      <c r="AL354" s="128"/>
      <c r="AM354" s="188">
        <v>17227</v>
      </c>
      <c r="AN354" s="135"/>
      <c r="AO354" s="135"/>
      <c r="AP354" s="135"/>
    </row>
    <row r="355" spans="1:42" x14ac:dyDescent="0.25">
      <c r="A355" t="s">
        <v>83</v>
      </c>
      <c r="B355" t="s">
        <v>265</v>
      </c>
      <c r="C355" s="212" t="str">
        <f t="shared" si="5"/>
        <v>Lee Circuit Criminal Drug Cases</v>
      </c>
      <c r="D355" s="188">
        <v>512332.6</v>
      </c>
      <c r="E355" s="188">
        <v>512073</v>
      </c>
      <c r="F355" s="188">
        <v>511923</v>
      </c>
      <c r="H355" s="63"/>
      <c r="I355" s="188">
        <v>0</v>
      </c>
      <c r="J355" s="188">
        <v>0</v>
      </c>
      <c r="K355" s="188">
        <v>96.15</v>
      </c>
      <c r="N355" s="188">
        <v>740190</v>
      </c>
      <c r="O355" s="188">
        <v>740090</v>
      </c>
      <c r="Q355" s="63"/>
      <c r="R355" s="63"/>
      <c r="S355" s="188">
        <v>50</v>
      </c>
      <c r="T355" s="188">
        <v>50</v>
      </c>
      <c r="X355" s="188">
        <v>3034277</v>
      </c>
      <c r="Y355" s="188"/>
      <c r="Z355" s="63"/>
      <c r="AB355" s="63"/>
      <c r="AC355" s="188">
        <v>170</v>
      </c>
      <c r="AD355" s="188"/>
      <c r="AH355" s="188"/>
      <c r="AI355" s="63"/>
      <c r="AL355" s="63"/>
      <c r="AM355" s="188"/>
    </row>
    <row r="356" spans="1:42" x14ac:dyDescent="0.25">
      <c r="A356" t="s">
        <v>83</v>
      </c>
      <c r="B356" t="s">
        <v>44</v>
      </c>
      <c r="C356" s="212" t="str">
        <f t="shared" si="5"/>
        <v>Lee Civil Traffic</v>
      </c>
      <c r="D356" s="188">
        <v>5309938</v>
      </c>
      <c r="E356" s="188">
        <v>4370883</v>
      </c>
      <c r="F356" s="188">
        <v>4101100</v>
      </c>
      <c r="H356" s="128"/>
      <c r="I356" s="188">
        <v>1801948</v>
      </c>
      <c r="J356" s="188">
        <v>2769646</v>
      </c>
      <c r="K356" s="188">
        <v>2978524</v>
      </c>
      <c r="M356" s="70"/>
      <c r="N356" s="188">
        <v>4611375</v>
      </c>
      <c r="O356" s="188">
        <v>3942659</v>
      </c>
      <c r="Q356" s="128"/>
      <c r="R356" s="128"/>
      <c r="S356" s="188">
        <v>1722668</v>
      </c>
      <c r="T356" s="188">
        <v>2408837</v>
      </c>
      <c r="V356" s="61"/>
      <c r="W356" s="58"/>
      <c r="X356" s="188">
        <v>4095756</v>
      </c>
      <c r="Y356" s="188"/>
      <c r="Z356" s="128"/>
      <c r="AA356" s="128"/>
      <c r="AB356" s="128"/>
      <c r="AC356" s="188">
        <v>1620389</v>
      </c>
      <c r="AD356" s="188"/>
      <c r="AE356" s="61"/>
      <c r="AF356" s="65"/>
      <c r="AG356" s="58"/>
      <c r="AH356" s="188">
        <v>5125117</v>
      </c>
      <c r="AI356" s="128"/>
      <c r="AJ356" s="128"/>
      <c r="AK356" s="128"/>
      <c r="AL356" s="128"/>
      <c r="AM356" s="188">
        <v>1880871</v>
      </c>
      <c r="AN356" s="135"/>
      <c r="AO356" s="135"/>
      <c r="AP356" s="135"/>
    </row>
    <row r="357" spans="1:42" x14ac:dyDescent="0.25">
      <c r="A357" t="s">
        <v>83</v>
      </c>
      <c r="B357" t="s">
        <v>43</v>
      </c>
      <c r="C357" s="212" t="str">
        <f t="shared" si="5"/>
        <v>Lee County Civil</v>
      </c>
      <c r="D357" s="188">
        <v>608545</v>
      </c>
      <c r="E357" s="188">
        <v>607662</v>
      </c>
      <c r="F357" s="188">
        <v>607367</v>
      </c>
      <c r="H357" s="128"/>
      <c r="I357" s="188">
        <v>606368</v>
      </c>
      <c r="J357" s="188">
        <v>606159</v>
      </c>
      <c r="K357" s="188">
        <v>606005</v>
      </c>
      <c r="M357" s="70"/>
      <c r="N357" s="188">
        <v>670812</v>
      </c>
      <c r="O357" s="188">
        <v>670702</v>
      </c>
      <c r="Q357" s="128"/>
      <c r="R357" s="128"/>
      <c r="S357" s="188">
        <v>667420</v>
      </c>
      <c r="T357" s="188">
        <v>668344</v>
      </c>
      <c r="V357" s="61"/>
      <c r="W357" s="58"/>
      <c r="X357" s="188">
        <v>612991</v>
      </c>
      <c r="Y357" s="188"/>
      <c r="Z357" s="128"/>
      <c r="AA357" s="128"/>
      <c r="AB357" s="128"/>
      <c r="AC357" s="188">
        <v>609877</v>
      </c>
      <c r="AD357" s="188"/>
      <c r="AE357" s="61"/>
      <c r="AF357" s="65"/>
      <c r="AG357" s="58"/>
      <c r="AH357" s="188">
        <v>631006</v>
      </c>
      <c r="AI357" s="128"/>
      <c r="AJ357" s="128"/>
      <c r="AK357" s="128"/>
      <c r="AL357" s="128"/>
      <c r="AM357" s="188">
        <v>627950</v>
      </c>
      <c r="AN357" s="135"/>
      <c r="AO357" s="135"/>
      <c r="AP357" s="135"/>
    </row>
    <row r="358" spans="1:42" x14ac:dyDescent="0.25">
      <c r="A358" t="s">
        <v>83</v>
      </c>
      <c r="B358" t="s">
        <v>39</v>
      </c>
      <c r="C358" s="212" t="str">
        <f t="shared" si="5"/>
        <v>Lee County Criminal</v>
      </c>
      <c r="D358" s="188">
        <v>592276</v>
      </c>
      <c r="E358" s="188">
        <v>544087</v>
      </c>
      <c r="F358" s="188">
        <v>533564</v>
      </c>
      <c r="G358" s="188"/>
      <c r="H358" s="128"/>
      <c r="I358" s="188">
        <v>71204</v>
      </c>
      <c r="J358" s="188">
        <v>145703</v>
      </c>
      <c r="K358" s="188">
        <v>192776</v>
      </c>
      <c r="L358" s="188"/>
      <c r="M358" s="70"/>
      <c r="N358" s="188">
        <v>554175</v>
      </c>
      <c r="O358" s="188">
        <v>515437</v>
      </c>
      <c r="P358" s="188"/>
      <c r="Q358" s="128"/>
      <c r="R358" s="128"/>
      <c r="S358" s="188">
        <v>90027</v>
      </c>
      <c r="T358" s="188">
        <v>154114</v>
      </c>
      <c r="U358" s="188"/>
      <c r="V358" s="61"/>
      <c r="W358" s="58"/>
      <c r="X358" s="188">
        <v>523534</v>
      </c>
      <c r="Y358" s="188"/>
      <c r="Z358" s="128"/>
      <c r="AA358" s="128"/>
      <c r="AB358" s="128"/>
      <c r="AC358" s="188">
        <v>84129</v>
      </c>
      <c r="AD358" s="188"/>
      <c r="AE358" s="61"/>
      <c r="AF358" s="65"/>
      <c r="AG358" s="58"/>
      <c r="AH358" s="188">
        <v>686818</v>
      </c>
      <c r="AI358" s="128"/>
      <c r="AJ358" s="128"/>
      <c r="AK358" s="128"/>
      <c r="AL358" s="128"/>
      <c r="AM358" s="188">
        <v>78858</v>
      </c>
      <c r="AN358" s="135"/>
      <c r="AO358" s="135"/>
      <c r="AP358" s="135"/>
    </row>
    <row r="359" spans="1:42" x14ac:dyDescent="0.25">
      <c r="A359" t="s">
        <v>83</v>
      </c>
      <c r="B359" t="s">
        <v>41</v>
      </c>
      <c r="C359" s="212" t="str">
        <f t="shared" si="5"/>
        <v>Lee Criminal Traffic</v>
      </c>
      <c r="D359" s="188">
        <v>1043791</v>
      </c>
      <c r="E359" s="188">
        <v>1031776</v>
      </c>
      <c r="F359" s="188">
        <v>1011673</v>
      </c>
      <c r="H359" s="128"/>
      <c r="I359" s="188">
        <v>325100</v>
      </c>
      <c r="J359" s="188">
        <v>509774</v>
      </c>
      <c r="K359" s="188">
        <v>602288</v>
      </c>
      <c r="M359" s="70"/>
      <c r="N359" s="188">
        <v>955133</v>
      </c>
      <c r="O359" s="188">
        <v>945330</v>
      </c>
      <c r="P359" s="188"/>
      <c r="Q359" s="128"/>
      <c r="R359" s="128"/>
      <c r="S359" s="188">
        <v>347092</v>
      </c>
      <c r="T359" s="188">
        <v>493897</v>
      </c>
      <c r="U359" s="188"/>
      <c r="V359" s="61"/>
      <c r="W359" s="58"/>
      <c r="X359" s="188">
        <v>914648</v>
      </c>
      <c r="Y359" s="188"/>
      <c r="Z359" s="128"/>
      <c r="AA359" s="128"/>
      <c r="AB359" s="128"/>
      <c r="AC359" s="188">
        <v>319867</v>
      </c>
      <c r="AD359" s="188"/>
      <c r="AE359" s="61"/>
      <c r="AF359" s="65"/>
      <c r="AG359" s="58"/>
      <c r="AH359" s="188">
        <v>1044830</v>
      </c>
      <c r="AI359" s="128"/>
      <c r="AJ359" s="128"/>
      <c r="AK359" s="128"/>
      <c r="AL359" s="128"/>
      <c r="AM359" s="188">
        <v>339264</v>
      </c>
      <c r="AN359" s="135"/>
      <c r="AO359" s="135"/>
      <c r="AP359" s="135"/>
    </row>
    <row r="360" spans="1:42" x14ac:dyDescent="0.25">
      <c r="A360" t="s">
        <v>83</v>
      </c>
      <c r="B360" t="s">
        <v>46</v>
      </c>
      <c r="C360" s="212" t="str">
        <f t="shared" si="5"/>
        <v>Lee Family</v>
      </c>
      <c r="D360" s="188">
        <v>379904</v>
      </c>
      <c r="E360" s="188">
        <v>373176</v>
      </c>
      <c r="F360" s="188">
        <v>372653</v>
      </c>
      <c r="H360" s="128"/>
      <c r="I360" s="188">
        <v>361860</v>
      </c>
      <c r="J360" s="188">
        <v>363092</v>
      </c>
      <c r="K360" s="188">
        <v>363158</v>
      </c>
      <c r="M360" s="70"/>
      <c r="N360" s="188">
        <v>435078</v>
      </c>
      <c r="O360" s="188">
        <v>422309</v>
      </c>
      <c r="Q360" s="128"/>
      <c r="R360" s="128"/>
      <c r="S360" s="188">
        <v>410108</v>
      </c>
      <c r="T360" s="188">
        <v>412540</v>
      </c>
      <c r="V360" s="61"/>
      <c r="W360" s="58"/>
      <c r="X360" s="188">
        <v>446748</v>
      </c>
      <c r="Z360" s="128"/>
      <c r="AA360" s="128"/>
      <c r="AB360" s="128"/>
      <c r="AC360" s="188">
        <v>420083</v>
      </c>
      <c r="AE360" s="61"/>
      <c r="AF360" s="65"/>
      <c r="AG360" s="58"/>
      <c r="AH360" s="188">
        <v>407530</v>
      </c>
      <c r="AI360" s="128"/>
      <c r="AJ360" s="128"/>
      <c r="AK360" s="128"/>
      <c r="AL360" s="128"/>
      <c r="AM360" s="188">
        <v>381454</v>
      </c>
      <c r="AN360" s="135"/>
      <c r="AO360" s="135"/>
      <c r="AP360" s="135"/>
    </row>
    <row r="361" spans="1:42" x14ac:dyDescent="0.25">
      <c r="A361" t="s">
        <v>83</v>
      </c>
      <c r="B361" t="s">
        <v>40</v>
      </c>
      <c r="C361" s="212" t="str">
        <f t="shared" si="5"/>
        <v>Lee Juvenile Delinquency</v>
      </c>
      <c r="D361" s="188">
        <v>61917</v>
      </c>
      <c r="E361" s="188">
        <v>59405</v>
      </c>
      <c r="F361" s="188">
        <v>59278</v>
      </c>
      <c r="G361" s="188">
        <v>66628</v>
      </c>
      <c r="H361" s="128"/>
      <c r="I361" s="188">
        <v>11631</v>
      </c>
      <c r="J361" s="188">
        <v>14341</v>
      </c>
      <c r="K361" s="188">
        <v>15041</v>
      </c>
      <c r="L361" s="188">
        <v>17226</v>
      </c>
      <c r="M361" s="70"/>
      <c r="N361" s="188">
        <v>49400</v>
      </c>
      <c r="O361" s="188">
        <v>46896</v>
      </c>
      <c r="P361" s="188">
        <v>56096</v>
      </c>
      <c r="Q361" s="128"/>
      <c r="R361" s="128"/>
      <c r="S361" s="188">
        <v>5895</v>
      </c>
      <c r="T361" s="188">
        <v>7565</v>
      </c>
      <c r="U361" s="188">
        <v>9853</v>
      </c>
      <c r="V361" s="61"/>
      <c r="W361" s="58"/>
      <c r="X361" s="188">
        <v>71763</v>
      </c>
      <c r="Y361" s="188">
        <v>82088</v>
      </c>
      <c r="Z361" s="128"/>
      <c r="AA361" s="128"/>
      <c r="AB361" s="128"/>
      <c r="AC361" s="188">
        <v>10452</v>
      </c>
      <c r="AD361" s="188">
        <v>13342</v>
      </c>
      <c r="AE361" s="61"/>
      <c r="AF361" s="65"/>
      <c r="AG361" s="58"/>
      <c r="AH361" s="188">
        <v>59203</v>
      </c>
      <c r="AI361" s="128"/>
      <c r="AJ361" s="128"/>
      <c r="AK361" s="128"/>
      <c r="AL361" s="128"/>
      <c r="AM361" s="188">
        <v>8299</v>
      </c>
      <c r="AN361" s="135"/>
      <c r="AO361" s="135"/>
      <c r="AP361" s="135"/>
    </row>
    <row r="362" spans="1:42" x14ac:dyDescent="0.25">
      <c r="A362" t="s">
        <v>83</v>
      </c>
      <c r="B362" t="s">
        <v>45</v>
      </c>
      <c r="C362" s="212" t="str">
        <f t="shared" si="5"/>
        <v>Lee Probate</v>
      </c>
      <c r="D362" s="188">
        <v>255289</v>
      </c>
      <c r="E362" s="188">
        <v>250529</v>
      </c>
      <c r="F362" s="188">
        <v>250529</v>
      </c>
      <c r="H362" s="128"/>
      <c r="I362" s="188">
        <v>248272</v>
      </c>
      <c r="J362" s="188">
        <v>248652</v>
      </c>
      <c r="K362" s="188">
        <v>248788</v>
      </c>
      <c r="M362" s="70"/>
      <c r="N362" s="188">
        <v>274881</v>
      </c>
      <c r="O362" s="188">
        <v>269971</v>
      </c>
      <c r="Q362" s="128"/>
      <c r="R362" s="128"/>
      <c r="S362" s="188">
        <v>270168</v>
      </c>
      <c r="T362" s="188">
        <v>269400</v>
      </c>
      <c r="V362" s="61"/>
      <c r="W362" s="58"/>
      <c r="X362" s="188">
        <v>260297</v>
      </c>
      <c r="Z362" s="128"/>
      <c r="AA362" s="128"/>
      <c r="AB362" s="128"/>
      <c r="AC362" s="188">
        <v>257086</v>
      </c>
      <c r="AE362" s="61"/>
      <c r="AF362" s="65"/>
      <c r="AG362" s="58"/>
      <c r="AH362" s="188">
        <v>279996</v>
      </c>
      <c r="AI362" s="128"/>
      <c r="AJ362" s="128"/>
      <c r="AK362" s="128"/>
      <c r="AL362" s="128"/>
      <c r="AM362" s="188">
        <v>275599</v>
      </c>
      <c r="AN362" s="135"/>
      <c r="AO362" s="135"/>
      <c r="AP362" s="135"/>
    </row>
    <row r="363" spans="1:42" x14ac:dyDescent="0.25">
      <c r="A363" t="s">
        <v>84</v>
      </c>
      <c r="B363" t="s">
        <v>42</v>
      </c>
      <c r="C363" s="212" t="str">
        <f t="shared" si="5"/>
        <v>Leon Circuit Civil</v>
      </c>
      <c r="D363" s="188">
        <v>533294.26</v>
      </c>
      <c r="E363" s="188">
        <v>522273.26</v>
      </c>
      <c r="F363" s="188">
        <v>518327.26</v>
      </c>
      <c r="G363" s="188">
        <v>516215.26</v>
      </c>
      <c r="H363" s="128"/>
      <c r="I363" s="188">
        <v>431971.69</v>
      </c>
      <c r="J363" s="188">
        <v>440186.94</v>
      </c>
      <c r="K363" s="188">
        <v>440907.79</v>
      </c>
      <c r="L363" s="188">
        <v>440723.29</v>
      </c>
      <c r="M363" s="70"/>
      <c r="N363" s="188">
        <v>574956.4</v>
      </c>
      <c r="O363" s="188">
        <v>561086</v>
      </c>
      <c r="P363" s="188">
        <v>559111.19999999995</v>
      </c>
      <c r="Q363" s="128"/>
      <c r="R363" s="128"/>
      <c r="S363" s="188">
        <v>452928.94</v>
      </c>
      <c r="T363" s="188">
        <v>462676.95</v>
      </c>
      <c r="U363" s="188">
        <v>464185.45</v>
      </c>
      <c r="V363" s="61"/>
      <c r="W363" s="58"/>
      <c r="X363" s="188">
        <v>558249.35</v>
      </c>
      <c r="Y363" s="188">
        <v>546919.85</v>
      </c>
      <c r="Z363" s="128"/>
      <c r="AA363" s="128"/>
      <c r="AB363" s="128"/>
      <c r="AC363" s="188">
        <v>493461.05</v>
      </c>
      <c r="AD363" s="188">
        <v>497098.33</v>
      </c>
      <c r="AE363" s="61"/>
      <c r="AF363" s="65"/>
      <c r="AG363" s="58"/>
      <c r="AH363" s="188">
        <v>580209.15</v>
      </c>
      <c r="AI363" s="128"/>
      <c r="AJ363" s="128"/>
      <c r="AK363" s="128"/>
      <c r="AL363" s="128"/>
      <c r="AM363" s="188">
        <v>469491.85</v>
      </c>
      <c r="AN363" s="135"/>
      <c r="AO363" s="135"/>
      <c r="AP363" s="135"/>
    </row>
    <row r="364" spans="1:42" x14ac:dyDescent="0.25">
      <c r="A364" t="s">
        <v>84</v>
      </c>
      <c r="B364" t="s">
        <v>38</v>
      </c>
      <c r="C364" s="212" t="str">
        <f t="shared" si="5"/>
        <v>Leon Circuit Criminal</v>
      </c>
      <c r="D364" s="188">
        <v>1010150.55</v>
      </c>
      <c r="E364" s="188">
        <v>1007817.82</v>
      </c>
      <c r="F364" s="188">
        <v>1009420.12</v>
      </c>
      <c r="G364" s="188">
        <v>1008092.26</v>
      </c>
      <c r="H364" s="128"/>
      <c r="I364" s="188">
        <v>55526.63</v>
      </c>
      <c r="J364" s="188">
        <v>78509.16</v>
      </c>
      <c r="K364" s="188">
        <v>94371.35</v>
      </c>
      <c r="L364" s="188">
        <v>108050.39</v>
      </c>
      <c r="M364" s="70"/>
      <c r="N364" s="188">
        <v>1019967.02</v>
      </c>
      <c r="O364" s="188">
        <v>1012768.65</v>
      </c>
      <c r="P364" s="188">
        <v>1013497.42</v>
      </c>
      <c r="Q364" s="128"/>
      <c r="R364" s="128"/>
      <c r="S364" s="188">
        <v>116873.4</v>
      </c>
      <c r="T364" s="188">
        <v>139412.94</v>
      </c>
      <c r="U364" s="188">
        <v>151857.41</v>
      </c>
      <c r="V364" s="61"/>
      <c r="W364" s="58"/>
      <c r="X364" s="188">
        <v>963082.75</v>
      </c>
      <c r="Y364" s="188">
        <v>959687.7</v>
      </c>
      <c r="Z364" s="128"/>
      <c r="AA364" s="128"/>
      <c r="AB364" s="128"/>
      <c r="AC364" s="188">
        <v>86131.520000000004</v>
      </c>
      <c r="AD364" s="188">
        <v>105162.28</v>
      </c>
      <c r="AE364" s="61"/>
      <c r="AF364" s="65"/>
      <c r="AG364" s="58"/>
      <c r="AH364" s="188">
        <v>1109868.67</v>
      </c>
      <c r="AI364" s="128"/>
      <c r="AJ364" s="128"/>
      <c r="AK364" s="128"/>
      <c r="AL364" s="128"/>
      <c r="AM364" s="188">
        <v>84873.16</v>
      </c>
      <c r="AN364" s="135"/>
      <c r="AO364" s="135"/>
      <c r="AP364" s="135"/>
    </row>
    <row r="365" spans="1:42" x14ac:dyDescent="0.25">
      <c r="A365" t="s">
        <v>84</v>
      </c>
      <c r="B365" t="s">
        <v>265</v>
      </c>
      <c r="C365" s="212" t="str">
        <f t="shared" si="5"/>
        <v>Leon Circuit Criminal Drug Cases</v>
      </c>
      <c r="D365" s="188">
        <v>210028.06</v>
      </c>
      <c r="E365" s="188">
        <v>210028.06</v>
      </c>
      <c r="F365" s="188">
        <v>210028.06</v>
      </c>
      <c r="G365" s="188">
        <v>210028.06</v>
      </c>
      <c r="H365" s="63"/>
      <c r="I365" s="188">
        <v>68</v>
      </c>
      <c r="J365" s="188">
        <v>218</v>
      </c>
      <c r="K365" s="188">
        <v>293</v>
      </c>
      <c r="L365" s="188">
        <v>343</v>
      </c>
      <c r="N365" s="188">
        <v>104870.95</v>
      </c>
      <c r="O365" s="188">
        <v>104870.95</v>
      </c>
      <c r="P365" s="188">
        <v>104870.95</v>
      </c>
      <c r="Q365" s="63"/>
      <c r="R365" s="63"/>
      <c r="S365" s="188">
        <v>111.4</v>
      </c>
      <c r="T365" s="188">
        <v>111.4</v>
      </c>
      <c r="U365" s="188">
        <v>111.4</v>
      </c>
      <c r="X365" s="188">
        <v>56039.94</v>
      </c>
      <c r="Y365" s="188">
        <v>56039.94</v>
      </c>
      <c r="Z365" s="63"/>
      <c r="AB365" s="63"/>
      <c r="AC365" s="188">
        <v>17</v>
      </c>
      <c r="AD365" s="188">
        <v>34</v>
      </c>
      <c r="AH365" s="188">
        <v>217199.74</v>
      </c>
      <c r="AI365" s="63"/>
      <c r="AL365" s="63"/>
      <c r="AM365" s="188">
        <v>588</v>
      </c>
    </row>
    <row r="366" spans="1:42" x14ac:dyDescent="0.25">
      <c r="A366" t="s">
        <v>84</v>
      </c>
      <c r="B366" t="s">
        <v>44</v>
      </c>
      <c r="C366" s="212" t="str">
        <f t="shared" si="5"/>
        <v>Leon Civil Traffic</v>
      </c>
      <c r="D366" s="188">
        <v>1399081.85</v>
      </c>
      <c r="E366" s="188">
        <v>1377985.85</v>
      </c>
      <c r="F366" s="188">
        <v>1366842.35</v>
      </c>
      <c r="G366" s="188">
        <v>1361891.35</v>
      </c>
      <c r="H366" s="128"/>
      <c r="I366" s="188">
        <v>648323.30000000005</v>
      </c>
      <c r="J366" s="188">
        <v>1094950.8999999999</v>
      </c>
      <c r="K366" s="188">
        <v>1181821.3500000001</v>
      </c>
      <c r="L366" s="188">
        <v>1208552.33</v>
      </c>
      <c r="M366" s="70"/>
      <c r="N366" s="188">
        <v>1458925.68</v>
      </c>
      <c r="O366" s="188">
        <v>1437719.18</v>
      </c>
      <c r="P366" s="188">
        <v>1418832.18</v>
      </c>
      <c r="Q366" s="128"/>
      <c r="R366" s="128"/>
      <c r="S366" s="188">
        <v>715426.18</v>
      </c>
      <c r="T366" s="188">
        <v>1112290.23</v>
      </c>
      <c r="U366" s="188">
        <v>1209083.18</v>
      </c>
      <c r="V366" s="61"/>
      <c r="W366" s="58"/>
      <c r="X366" s="188">
        <v>1672004.2</v>
      </c>
      <c r="Y366" s="188">
        <v>1657268.77</v>
      </c>
      <c r="Z366" s="128"/>
      <c r="AA366" s="128"/>
      <c r="AB366" s="128"/>
      <c r="AC366" s="188">
        <v>711969.32</v>
      </c>
      <c r="AD366" s="188">
        <v>1209939.52</v>
      </c>
      <c r="AE366" s="61"/>
      <c r="AF366" s="65"/>
      <c r="AG366" s="58"/>
      <c r="AH366" s="188">
        <v>1757339.6</v>
      </c>
      <c r="AI366" s="128"/>
      <c r="AJ366" s="128"/>
      <c r="AK366" s="128"/>
      <c r="AL366" s="128"/>
      <c r="AM366" s="188">
        <v>805059.7</v>
      </c>
      <c r="AN366" s="135"/>
      <c r="AO366" s="135"/>
      <c r="AP366" s="135"/>
    </row>
    <row r="367" spans="1:42" x14ac:dyDescent="0.25">
      <c r="A367" t="s">
        <v>84</v>
      </c>
      <c r="B367" t="s">
        <v>43</v>
      </c>
      <c r="C367" s="212" t="str">
        <f t="shared" si="5"/>
        <v>Leon County Civil</v>
      </c>
      <c r="D367" s="188">
        <v>313708.24</v>
      </c>
      <c r="E367" s="188">
        <v>313678.24</v>
      </c>
      <c r="F367" s="188">
        <v>313668.24</v>
      </c>
      <c r="G367" s="188">
        <v>313618.24</v>
      </c>
      <c r="H367" s="128"/>
      <c r="I367" s="188">
        <v>305387.24</v>
      </c>
      <c r="J367" s="188">
        <v>309023.24</v>
      </c>
      <c r="K367" s="188">
        <v>309013.24</v>
      </c>
      <c r="L367" s="188">
        <v>309198.24</v>
      </c>
      <c r="M367" s="70"/>
      <c r="N367" s="188">
        <v>362899.05</v>
      </c>
      <c r="O367" s="188">
        <v>362520.05</v>
      </c>
      <c r="P367" s="188">
        <v>362445.05</v>
      </c>
      <c r="Q367" s="128"/>
      <c r="R367" s="128"/>
      <c r="S367" s="188">
        <v>357215.43</v>
      </c>
      <c r="T367" s="188">
        <v>359142.43</v>
      </c>
      <c r="U367" s="188">
        <v>359417.43</v>
      </c>
      <c r="V367" s="61"/>
      <c r="W367" s="58"/>
      <c r="X367" s="188">
        <v>329647.81</v>
      </c>
      <c r="Y367" s="188">
        <v>328397.81</v>
      </c>
      <c r="Z367" s="128"/>
      <c r="AA367" s="128"/>
      <c r="AB367" s="128"/>
      <c r="AC367" s="188">
        <v>320316.51</v>
      </c>
      <c r="AD367" s="188">
        <v>323294.31</v>
      </c>
      <c r="AE367" s="61"/>
      <c r="AF367" s="65"/>
      <c r="AG367" s="58"/>
      <c r="AH367" s="188">
        <v>304906.84000000003</v>
      </c>
      <c r="AI367" s="128"/>
      <c r="AJ367" s="128"/>
      <c r="AK367" s="128"/>
      <c r="AL367" s="128"/>
      <c r="AM367" s="188">
        <v>297437.55</v>
      </c>
      <c r="AN367" s="135"/>
      <c r="AO367" s="135"/>
      <c r="AP367" s="135"/>
    </row>
    <row r="368" spans="1:42" x14ac:dyDescent="0.25">
      <c r="A368" t="s">
        <v>84</v>
      </c>
      <c r="B368" t="s">
        <v>39</v>
      </c>
      <c r="C368" s="212" t="str">
        <f t="shared" si="5"/>
        <v>Leon County Criminal</v>
      </c>
      <c r="D368" s="188">
        <v>402344.96000000002</v>
      </c>
      <c r="E368" s="188">
        <v>401322.43</v>
      </c>
      <c r="F368" s="188">
        <v>399449.11</v>
      </c>
      <c r="G368" s="188">
        <v>397518.53</v>
      </c>
      <c r="H368" s="128"/>
      <c r="I368" s="188">
        <v>87547.51</v>
      </c>
      <c r="J368" s="188">
        <v>132170.51</v>
      </c>
      <c r="K368" s="188">
        <v>143636.09</v>
      </c>
      <c r="L368" s="188">
        <v>150786.51999999999</v>
      </c>
      <c r="M368" s="70"/>
      <c r="N368" s="188">
        <v>343162.19</v>
      </c>
      <c r="O368" s="188">
        <v>338923.23</v>
      </c>
      <c r="P368" s="188">
        <v>335023.56</v>
      </c>
      <c r="Q368" s="128"/>
      <c r="R368" s="128"/>
      <c r="S368" s="188">
        <v>78150.100000000006</v>
      </c>
      <c r="T368" s="188">
        <v>109039.2</v>
      </c>
      <c r="U368" s="188">
        <v>119574.1</v>
      </c>
      <c r="V368" s="61"/>
      <c r="W368" s="58"/>
      <c r="X368" s="188">
        <v>377132.66</v>
      </c>
      <c r="Y368" s="188">
        <v>370948.58</v>
      </c>
      <c r="Z368" s="128"/>
      <c r="AA368" s="128"/>
      <c r="AB368" s="128"/>
      <c r="AC368" s="188">
        <v>79817.17</v>
      </c>
      <c r="AD368" s="188">
        <v>106336.21</v>
      </c>
      <c r="AE368" s="61"/>
      <c r="AF368" s="65"/>
      <c r="AG368" s="58"/>
      <c r="AH368" s="188">
        <v>434164.65</v>
      </c>
      <c r="AI368" s="128"/>
      <c r="AJ368" s="128"/>
      <c r="AK368" s="128"/>
      <c r="AL368" s="128"/>
      <c r="AM368" s="188">
        <v>68206.03</v>
      </c>
      <c r="AN368" s="135"/>
      <c r="AO368" s="135"/>
      <c r="AP368" s="135"/>
    </row>
    <row r="369" spans="1:42" x14ac:dyDescent="0.25">
      <c r="A369" t="s">
        <v>84</v>
      </c>
      <c r="B369" t="s">
        <v>41</v>
      </c>
      <c r="C369" s="212" t="str">
        <f t="shared" si="5"/>
        <v>Leon Criminal Traffic</v>
      </c>
      <c r="D369" s="188">
        <v>415935.89</v>
      </c>
      <c r="E369" s="188">
        <v>411602</v>
      </c>
      <c r="F369" s="188">
        <v>405127.61</v>
      </c>
      <c r="G369" s="188">
        <v>402952.61</v>
      </c>
      <c r="H369" s="128"/>
      <c r="I369" s="188">
        <v>88817.73</v>
      </c>
      <c r="J369" s="188">
        <v>139791.42000000001</v>
      </c>
      <c r="K369" s="188">
        <v>159415.65</v>
      </c>
      <c r="L369" s="188">
        <v>173756.47</v>
      </c>
      <c r="M369" s="70"/>
      <c r="N369" s="188">
        <v>373621.18</v>
      </c>
      <c r="O369" s="188">
        <v>368624</v>
      </c>
      <c r="P369" s="188">
        <v>363494.34</v>
      </c>
      <c r="Q369" s="128"/>
      <c r="R369" s="128"/>
      <c r="S369" s="188">
        <v>87089.43</v>
      </c>
      <c r="T369" s="188">
        <v>129005.18</v>
      </c>
      <c r="U369" s="188">
        <v>151317.4</v>
      </c>
      <c r="V369" s="61"/>
      <c r="W369" s="58"/>
      <c r="X369" s="188">
        <v>365653.3</v>
      </c>
      <c r="Y369" s="188">
        <v>356027.2</v>
      </c>
      <c r="Z369" s="128"/>
      <c r="AA369" s="128"/>
      <c r="AB369" s="128"/>
      <c r="AC369" s="188">
        <v>94019.66</v>
      </c>
      <c r="AD369" s="188">
        <v>131792.04999999999</v>
      </c>
      <c r="AE369" s="61"/>
      <c r="AF369" s="65"/>
      <c r="AG369" s="58"/>
      <c r="AH369" s="188">
        <v>345008.68</v>
      </c>
      <c r="AI369" s="128"/>
      <c r="AJ369" s="128"/>
      <c r="AK369" s="128"/>
      <c r="AL369" s="128"/>
      <c r="AM369" s="188">
        <v>69028.37</v>
      </c>
      <c r="AN369" s="135"/>
      <c r="AO369" s="135"/>
      <c r="AP369" s="135"/>
    </row>
    <row r="370" spans="1:42" x14ac:dyDescent="0.25">
      <c r="A370" t="s">
        <v>84</v>
      </c>
      <c r="B370" t="s">
        <v>46</v>
      </c>
      <c r="C370" s="212" t="str">
        <f t="shared" si="5"/>
        <v>Leon Family</v>
      </c>
      <c r="D370" s="188">
        <v>118975</v>
      </c>
      <c r="E370" s="188">
        <v>112105</v>
      </c>
      <c r="F370" s="188">
        <v>110004.5</v>
      </c>
      <c r="G370" s="188">
        <v>109612</v>
      </c>
      <c r="H370" s="128"/>
      <c r="I370" s="188">
        <v>102780.75</v>
      </c>
      <c r="J370" s="188">
        <v>98512.5</v>
      </c>
      <c r="K370" s="188">
        <v>99351</v>
      </c>
      <c r="L370" s="188">
        <v>99676</v>
      </c>
      <c r="M370" s="70"/>
      <c r="N370" s="188">
        <v>142354.15</v>
      </c>
      <c r="O370" s="188">
        <v>141756.65</v>
      </c>
      <c r="P370" s="188">
        <v>141756.65</v>
      </c>
      <c r="Q370" s="128"/>
      <c r="R370" s="128"/>
      <c r="S370" s="188">
        <v>127437.1</v>
      </c>
      <c r="T370" s="188">
        <v>129891.1</v>
      </c>
      <c r="U370" s="188">
        <v>130470.1</v>
      </c>
      <c r="V370" s="61"/>
      <c r="W370" s="58"/>
      <c r="X370" s="188">
        <v>131404.20000000001</v>
      </c>
      <c r="Y370" s="188">
        <v>129261.7</v>
      </c>
      <c r="Z370" s="128"/>
      <c r="AA370" s="128"/>
      <c r="AB370" s="128"/>
      <c r="AC370" s="188">
        <v>111419.9</v>
      </c>
      <c r="AD370" s="188">
        <v>113006.26</v>
      </c>
      <c r="AE370" s="61"/>
      <c r="AF370" s="65"/>
      <c r="AG370" s="58"/>
      <c r="AH370" s="188">
        <v>123792.65</v>
      </c>
      <c r="AI370" s="128"/>
      <c r="AJ370" s="128"/>
      <c r="AK370" s="128"/>
      <c r="AL370" s="128"/>
      <c r="AM370" s="188">
        <v>107726.59</v>
      </c>
      <c r="AN370" s="135"/>
      <c r="AO370" s="135"/>
      <c r="AP370" s="135"/>
    </row>
    <row r="371" spans="1:42" x14ac:dyDescent="0.25">
      <c r="A371" t="s">
        <v>84</v>
      </c>
      <c r="B371" t="s">
        <v>40</v>
      </c>
      <c r="C371" s="212" t="str">
        <f t="shared" si="5"/>
        <v>Leon Juvenile Delinquency</v>
      </c>
      <c r="D371" s="188">
        <v>16155.15</v>
      </c>
      <c r="E371" s="188">
        <v>15955.15</v>
      </c>
      <c r="F371" s="188">
        <v>15655.15</v>
      </c>
      <c r="G371" s="188">
        <v>15605.15</v>
      </c>
      <c r="H371" s="128"/>
      <c r="I371" s="188">
        <v>530.15</v>
      </c>
      <c r="J371" s="188">
        <v>1268.1500000000001</v>
      </c>
      <c r="K371" s="188">
        <v>1760.15</v>
      </c>
      <c r="L371" s="188">
        <v>2181.15</v>
      </c>
      <c r="M371" s="70"/>
      <c r="N371" s="188">
        <v>18646</v>
      </c>
      <c r="O371" s="188">
        <v>18346</v>
      </c>
      <c r="P371" s="188">
        <v>18046</v>
      </c>
      <c r="Q371" s="128"/>
      <c r="R371" s="128"/>
      <c r="S371" s="188">
        <v>1217</v>
      </c>
      <c r="T371" s="188">
        <v>1520</v>
      </c>
      <c r="U371" s="188">
        <v>2800</v>
      </c>
      <c r="V371" s="61"/>
      <c r="W371" s="58"/>
      <c r="X371" s="188">
        <v>17923.900000000001</v>
      </c>
      <c r="Y371" s="188">
        <v>17423.900000000001</v>
      </c>
      <c r="Z371" s="128"/>
      <c r="AA371" s="128"/>
      <c r="AB371" s="128"/>
      <c r="AC371" s="188">
        <v>1429.9</v>
      </c>
      <c r="AD371" s="188">
        <v>1721.9</v>
      </c>
      <c r="AE371" s="61"/>
      <c r="AF371" s="65"/>
      <c r="AG371" s="58"/>
      <c r="AH371" s="188">
        <v>15772.5</v>
      </c>
      <c r="AI371" s="128"/>
      <c r="AJ371" s="128"/>
      <c r="AK371" s="128"/>
      <c r="AL371" s="128"/>
      <c r="AM371" s="188">
        <v>656.5</v>
      </c>
      <c r="AN371" s="135"/>
      <c r="AO371" s="135"/>
      <c r="AP371" s="135"/>
    </row>
    <row r="372" spans="1:42" x14ac:dyDescent="0.25">
      <c r="A372" t="s">
        <v>84</v>
      </c>
      <c r="B372" t="s">
        <v>45</v>
      </c>
      <c r="C372" s="212" t="str">
        <f t="shared" si="5"/>
        <v>Leon Probate</v>
      </c>
      <c r="D372" s="188">
        <v>71592.37</v>
      </c>
      <c r="E372" s="188">
        <v>71247.37</v>
      </c>
      <c r="F372" s="188">
        <v>70902.37</v>
      </c>
      <c r="G372" s="188">
        <v>70502.37</v>
      </c>
      <c r="H372" s="128"/>
      <c r="I372" s="188">
        <v>63621.37</v>
      </c>
      <c r="J372" s="188">
        <v>63985.37</v>
      </c>
      <c r="K372" s="188">
        <v>64070.37</v>
      </c>
      <c r="L372" s="188">
        <v>64070.37</v>
      </c>
      <c r="M372" s="70"/>
      <c r="N372" s="188">
        <v>81730.8</v>
      </c>
      <c r="O372" s="188">
        <v>79437.8</v>
      </c>
      <c r="P372" s="188">
        <v>79437.8</v>
      </c>
      <c r="Q372" s="128"/>
      <c r="R372" s="128"/>
      <c r="S372" s="188">
        <v>75202.3</v>
      </c>
      <c r="T372" s="188">
        <v>76563.3</v>
      </c>
      <c r="U372" s="188">
        <v>76836.87</v>
      </c>
      <c r="V372" s="61"/>
      <c r="W372" s="58"/>
      <c r="X372" s="188">
        <v>74000</v>
      </c>
      <c r="Y372" s="188">
        <v>73765</v>
      </c>
      <c r="Z372" s="128"/>
      <c r="AA372" s="128"/>
      <c r="AB372" s="128"/>
      <c r="AC372" s="188">
        <v>68902</v>
      </c>
      <c r="AD372" s="188">
        <v>70843</v>
      </c>
      <c r="AE372" s="61"/>
      <c r="AF372" s="65"/>
      <c r="AG372" s="58"/>
      <c r="AH372" s="188">
        <v>81291.45</v>
      </c>
      <c r="AI372" s="128"/>
      <c r="AJ372" s="128"/>
      <c r="AK372" s="128"/>
      <c r="AL372" s="128"/>
      <c r="AM372" s="188">
        <v>78298.45</v>
      </c>
      <c r="AN372" s="135"/>
      <c r="AO372" s="135"/>
      <c r="AP372" s="135"/>
    </row>
    <row r="373" spans="1:42" x14ac:dyDescent="0.25">
      <c r="A373" t="s">
        <v>85</v>
      </c>
      <c r="B373" t="s">
        <v>42</v>
      </c>
      <c r="C373" s="212" t="str">
        <f t="shared" si="5"/>
        <v>Levy Circuit Civil</v>
      </c>
      <c r="D373" s="188">
        <v>64024.7</v>
      </c>
      <c r="E373" s="188">
        <v>64104.7</v>
      </c>
      <c r="F373" s="188">
        <v>64014.7</v>
      </c>
      <c r="G373" s="188">
        <v>64014.7</v>
      </c>
      <c r="H373" s="128"/>
      <c r="I373" s="188">
        <v>61049.7</v>
      </c>
      <c r="J373" s="188">
        <v>63294.7</v>
      </c>
      <c r="K373" s="188">
        <v>63294.7</v>
      </c>
      <c r="L373" s="188">
        <v>63319.7</v>
      </c>
      <c r="M373" s="70"/>
      <c r="N373" s="188">
        <v>63249.97</v>
      </c>
      <c r="O373" s="188">
        <v>63149.97</v>
      </c>
      <c r="P373" s="188">
        <v>63249.97</v>
      </c>
      <c r="Q373" s="128"/>
      <c r="R373" s="128"/>
      <c r="S373" s="188">
        <v>61058.47</v>
      </c>
      <c r="T373" s="188">
        <v>62947.47</v>
      </c>
      <c r="U373" s="188">
        <v>63149.97</v>
      </c>
      <c r="V373" s="61"/>
      <c r="W373" s="58"/>
      <c r="X373" s="188">
        <v>64177.45</v>
      </c>
      <c r="Y373" s="188">
        <v>64127.45</v>
      </c>
      <c r="Z373" s="128"/>
      <c r="AA373" s="128"/>
      <c r="AB373" s="128"/>
      <c r="AC373" s="188">
        <v>59502.45</v>
      </c>
      <c r="AD373" s="188">
        <v>63627.45</v>
      </c>
      <c r="AE373" s="61"/>
      <c r="AF373" s="65"/>
      <c r="AG373" s="58"/>
      <c r="AH373" s="188">
        <v>67959.59</v>
      </c>
      <c r="AI373" s="128"/>
      <c r="AJ373" s="128"/>
      <c r="AK373" s="128"/>
      <c r="AL373" s="128"/>
      <c r="AM373" s="188">
        <v>63013.59</v>
      </c>
      <c r="AN373" s="135"/>
      <c r="AO373" s="135"/>
      <c r="AP373" s="135"/>
    </row>
    <row r="374" spans="1:42" x14ac:dyDescent="0.25">
      <c r="A374" t="s">
        <v>85</v>
      </c>
      <c r="B374" t="s">
        <v>38</v>
      </c>
      <c r="C374" s="212" t="str">
        <f t="shared" si="5"/>
        <v>Levy Circuit Criminal</v>
      </c>
      <c r="D374" s="188">
        <v>88073.08</v>
      </c>
      <c r="E374" s="188">
        <v>75320.08</v>
      </c>
      <c r="F374" s="188">
        <v>87721.08</v>
      </c>
      <c r="G374" s="188">
        <v>87721.08</v>
      </c>
      <c r="H374" s="128"/>
      <c r="I374" s="188">
        <v>601.69000000000005</v>
      </c>
      <c r="J374" s="188">
        <v>3387.45</v>
      </c>
      <c r="K374" s="188">
        <v>5833.15</v>
      </c>
      <c r="L374" s="188">
        <v>8411.3799999999992</v>
      </c>
      <c r="M374" s="70"/>
      <c r="N374" s="188">
        <v>98771.5</v>
      </c>
      <c r="O374" s="188">
        <v>108391.5</v>
      </c>
      <c r="P374" s="188">
        <v>108341.5</v>
      </c>
      <c r="Q374" s="128"/>
      <c r="R374" s="128"/>
      <c r="S374" s="188">
        <v>1510</v>
      </c>
      <c r="T374" s="188">
        <v>3201.22</v>
      </c>
      <c r="U374" s="188">
        <v>6225.32</v>
      </c>
      <c r="V374" s="61"/>
      <c r="W374" s="58"/>
      <c r="X374" s="188">
        <v>411384.73</v>
      </c>
      <c r="Y374" s="188">
        <v>411084.73</v>
      </c>
      <c r="Z374" s="128"/>
      <c r="AA374" s="128"/>
      <c r="AB374" s="128"/>
      <c r="AC374" s="188">
        <v>1808.77</v>
      </c>
      <c r="AD374" s="188">
        <v>3183.06</v>
      </c>
      <c r="AE374" s="61"/>
      <c r="AF374" s="65"/>
      <c r="AG374" s="58"/>
      <c r="AH374" s="188">
        <v>51885.05</v>
      </c>
      <c r="AI374" s="128"/>
      <c r="AJ374" s="128"/>
      <c r="AK374" s="128"/>
      <c r="AL374" s="128"/>
      <c r="AM374" s="188">
        <v>2400.9699999999998</v>
      </c>
      <c r="AN374" s="135"/>
      <c r="AO374" s="135"/>
      <c r="AP374" s="135"/>
    </row>
    <row r="375" spans="1:42" x14ac:dyDescent="0.25">
      <c r="A375" t="s">
        <v>85</v>
      </c>
      <c r="B375" t="s">
        <v>265</v>
      </c>
      <c r="C375" s="212" t="str">
        <f t="shared" si="5"/>
        <v>Levy Circuit Criminal Drug Cases</v>
      </c>
      <c r="D375" s="188"/>
      <c r="E375" s="188"/>
      <c r="F375" s="188"/>
      <c r="G375" s="188"/>
      <c r="H375" s="63"/>
      <c r="I375" s="188"/>
      <c r="J375" s="188"/>
      <c r="K375" s="188"/>
      <c r="L375" s="188"/>
      <c r="N375" s="188"/>
      <c r="O375" s="188"/>
      <c r="P375" s="188"/>
      <c r="Q375" s="63"/>
      <c r="R375" s="63"/>
      <c r="S375" s="188"/>
      <c r="T375" s="188"/>
      <c r="U375" s="188"/>
      <c r="X375" s="188"/>
      <c r="Y375" s="188"/>
      <c r="Z375" s="63"/>
      <c r="AB375" s="63"/>
      <c r="AC375" s="188"/>
      <c r="AD375" s="188"/>
      <c r="AH375" s="188"/>
      <c r="AI375" s="63"/>
      <c r="AL375" s="63"/>
      <c r="AM375" s="188"/>
    </row>
    <row r="376" spans="1:42" x14ac:dyDescent="0.25">
      <c r="A376" t="s">
        <v>85</v>
      </c>
      <c r="B376" t="s">
        <v>44</v>
      </c>
      <c r="C376" s="212" t="str">
        <f t="shared" si="5"/>
        <v>Levy Civil Traffic</v>
      </c>
      <c r="D376" s="188">
        <v>164833.60000000001</v>
      </c>
      <c r="E376" s="188">
        <v>163274.85999999999</v>
      </c>
      <c r="F376" s="188">
        <v>112328.86</v>
      </c>
      <c r="G376" s="188">
        <v>163244.85999999999</v>
      </c>
      <c r="H376" s="128"/>
      <c r="I376" s="188">
        <v>65584.62</v>
      </c>
      <c r="J376" s="188">
        <v>95186.94</v>
      </c>
      <c r="K376" s="188">
        <v>98981.46</v>
      </c>
      <c r="L376" s="188">
        <v>100717.61</v>
      </c>
      <c r="M376" s="70"/>
      <c r="N376" s="188">
        <v>164068.04</v>
      </c>
      <c r="O376" s="188">
        <v>119186</v>
      </c>
      <c r="P376" s="188">
        <v>160862</v>
      </c>
      <c r="Q376" s="128"/>
      <c r="R376" s="128"/>
      <c r="S376" s="188">
        <v>69956.990000000005</v>
      </c>
      <c r="T376" s="188">
        <v>102546.34</v>
      </c>
      <c r="U376" s="188">
        <v>106784</v>
      </c>
      <c r="V376" s="61"/>
      <c r="W376" s="58"/>
      <c r="X376" s="188">
        <v>169051.44</v>
      </c>
      <c r="Y376" s="188">
        <v>200688.11</v>
      </c>
      <c r="Z376" s="128"/>
      <c r="AA376" s="128"/>
      <c r="AB376" s="128"/>
      <c r="AC376" s="188">
        <v>87264.7</v>
      </c>
      <c r="AD376" s="188">
        <v>128021.37</v>
      </c>
      <c r="AE376" s="61"/>
      <c r="AF376" s="65"/>
      <c r="AG376" s="58"/>
      <c r="AH376" s="188">
        <v>214035.95</v>
      </c>
      <c r="AI376" s="128"/>
      <c r="AJ376" s="128"/>
      <c r="AK376" s="128"/>
      <c r="AL376" s="128"/>
      <c r="AM376" s="188">
        <v>87011.61</v>
      </c>
      <c r="AN376" s="135"/>
      <c r="AO376" s="135"/>
      <c r="AP376" s="135"/>
    </row>
    <row r="377" spans="1:42" x14ac:dyDescent="0.25">
      <c r="A377" t="s">
        <v>85</v>
      </c>
      <c r="B377" t="s">
        <v>43</v>
      </c>
      <c r="C377" s="212" t="str">
        <f t="shared" si="5"/>
        <v>Levy County Civil</v>
      </c>
      <c r="D377" s="188">
        <v>28836.22</v>
      </c>
      <c r="E377" s="188">
        <v>28836.22</v>
      </c>
      <c r="F377" s="188">
        <v>28836.22</v>
      </c>
      <c r="G377" s="188">
        <v>28836.22</v>
      </c>
      <c r="H377" s="128"/>
      <c r="I377" s="188">
        <v>27569.22</v>
      </c>
      <c r="J377" s="188">
        <v>28836.22</v>
      </c>
      <c r="K377" s="188">
        <v>28836.22</v>
      </c>
      <c r="L377" s="188">
        <v>28836.22</v>
      </c>
      <c r="M377" s="70"/>
      <c r="N377" s="188">
        <v>35584</v>
      </c>
      <c r="O377" s="188">
        <v>35284</v>
      </c>
      <c r="P377" s="188">
        <v>35469</v>
      </c>
      <c r="Q377" s="128"/>
      <c r="R377" s="128"/>
      <c r="S377" s="188">
        <v>31014</v>
      </c>
      <c r="T377" s="188">
        <v>35134</v>
      </c>
      <c r="U377" s="188">
        <v>35134</v>
      </c>
      <c r="V377" s="61"/>
      <c r="W377" s="58"/>
      <c r="X377" s="188">
        <v>35346.5</v>
      </c>
      <c r="Y377" s="188">
        <v>35801.5</v>
      </c>
      <c r="Z377" s="128"/>
      <c r="AA377" s="128"/>
      <c r="AB377" s="128"/>
      <c r="AC377" s="188">
        <v>32516.5</v>
      </c>
      <c r="AD377" s="188">
        <v>34961.5</v>
      </c>
      <c r="AE377" s="61"/>
      <c r="AF377" s="65"/>
      <c r="AG377" s="58"/>
      <c r="AH377" s="188">
        <v>27573.85</v>
      </c>
      <c r="AI377" s="128"/>
      <c r="AJ377" s="128"/>
      <c r="AK377" s="128"/>
      <c r="AL377" s="128"/>
      <c r="AM377" s="188">
        <v>25895.85</v>
      </c>
      <c r="AN377" s="135"/>
      <c r="AO377" s="135"/>
      <c r="AP377" s="135"/>
    </row>
    <row r="378" spans="1:42" x14ac:dyDescent="0.25">
      <c r="A378" t="s">
        <v>85</v>
      </c>
      <c r="B378" t="s">
        <v>39</v>
      </c>
      <c r="C378" s="212" t="str">
        <f t="shared" si="5"/>
        <v>Levy County Criminal</v>
      </c>
      <c r="D378" s="188">
        <v>31259.3</v>
      </c>
      <c r="E378" s="188">
        <v>27103.05</v>
      </c>
      <c r="F378" s="188">
        <v>25382.57</v>
      </c>
      <c r="G378" s="188">
        <v>22890.77</v>
      </c>
      <c r="H378" s="128"/>
      <c r="I378" s="188">
        <v>4094.05</v>
      </c>
      <c r="J378" s="188">
        <v>6298.05</v>
      </c>
      <c r="K378" s="188">
        <v>8675.57</v>
      </c>
      <c r="L378" s="188">
        <v>9637.07</v>
      </c>
      <c r="M378" s="70"/>
      <c r="N378" s="188">
        <v>19522</v>
      </c>
      <c r="O378" s="188">
        <v>20565.75</v>
      </c>
      <c r="P378" s="188">
        <v>18072</v>
      </c>
      <c r="Q378" s="128"/>
      <c r="R378" s="128"/>
      <c r="S378" s="188">
        <v>4539.25</v>
      </c>
      <c r="T378" s="188">
        <v>7622.25</v>
      </c>
      <c r="U378" s="188">
        <v>8796.25</v>
      </c>
      <c r="V378" s="61"/>
      <c r="W378" s="58"/>
      <c r="X378" s="188">
        <v>31627.65</v>
      </c>
      <c r="Y378" s="188">
        <v>28597.9</v>
      </c>
      <c r="Z378" s="128"/>
      <c r="AA378" s="128"/>
      <c r="AB378" s="128"/>
      <c r="AC378" s="188">
        <v>3576.34</v>
      </c>
      <c r="AD378" s="188">
        <v>8470.6200000000008</v>
      </c>
      <c r="AE378" s="61"/>
      <c r="AF378" s="65"/>
      <c r="AG378" s="58"/>
      <c r="AH378" s="188">
        <v>33642.449999999997</v>
      </c>
      <c r="AI378" s="128"/>
      <c r="AJ378" s="128"/>
      <c r="AK378" s="128"/>
      <c r="AL378" s="128"/>
      <c r="AM378" s="188">
        <v>3721.7</v>
      </c>
      <c r="AN378" s="135"/>
      <c r="AO378" s="135"/>
      <c r="AP378" s="135"/>
    </row>
    <row r="379" spans="1:42" x14ac:dyDescent="0.25">
      <c r="A379" t="s">
        <v>85</v>
      </c>
      <c r="B379" t="s">
        <v>41</v>
      </c>
      <c r="C379" s="212" t="str">
        <f t="shared" si="5"/>
        <v>Levy Criminal Traffic</v>
      </c>
      <c r="D379" s="188">
        <v>49787.19</v>
      </c>
      <c r="E379" s="188">
        <v>46095.25</v>
      </c>
      <c r="F379" s="188">
        <v>45540.75</v>
      </c>
      <c r="G379" s="188">
        <v>42660.51</v>
      </c>
      <c r="H379" s="128"/>
      <c r="I379" s="188">
        <v>6233.19</v>
      </c>
      <c r="J379" s="188">
        <v>15130.25</v>
      </c>
      <c r="K379" s="188">
        <v>19337</v>
      </c>
      <c r="L379" s="188">
        <v>22898.5</v>
      </c>
      <c r="M379" s="70"/>
      <c r="N379" s="188">
        <v>60346.25</v>
      </c>
      <c r="O379" s="188">
        <v>57298.12</v>
      </c>
      <c r="P379" s="188">
        <v>55308.98</v>
      </c>
      <c r="Q379" s="128"/>
      <c r="R379" s="128"/>
      <c r="S379" s="188">
        <v>4778.25</v>
      </c>
      <c r="T379" s="188">
        <v>11210.62</v>
      </c>
      <c r="U379" s="188">
        <v>18325.27</v>
      </c>
      <c r="V379" s="61"/>
      <c r="W379" s="58"/>
      <c r="X379" s="188">
        <v>49166</v>
      </c>
      <c r="Y379" s="188">
        <v>46791</v>
      </c>
      <c r="Z379" s="128"/>
      <c r="AA379" s="128"/>
      <c r="AB379" s="128"/>
      <c r="AC379" s="188">
        <v>5319.5</v>
      </c>
      <c r="AD379" s="188">
        <v>13316.75</v>
      </c>
      <c r="AE379" s="61"/>
      <c r="AF379" s="65"/>
      <c r="AG379" s="58"/>
      <c r="AH379" s="188">
        <v>49901.77</v>
      </c>
      <c r="AI379" s="128"/>
      <c r="AJ379" s="128"/>
      <c r="AK379" s="128"/>
      <c r="AL379" s="128"/>
      <c r="AM379" s="188">
        <v>4931.5200000000004</v>
      </c>
      <c r="AN379" s="135"/>
      <c r="AO379" s="135"/>
      <c r="AP379" s="135"/>
    </row>
    <row r="380" spans="1:42" x14ac:dyDescent="0.25">
      <c r="A380" t="s">
        <v>85</v>
      </c>
      <c r="B380" t="s">
        <v>46</v>
      </c>
      <c r="C380" s="212" t="str">
        <f t="shared" si="5"/>
        <v>Levy Family</v>
      </c>
      <c r="D380" s="188">
        <v>31660.84</v>
      </c>
      <c r="E380" s="188">
        <v>35782.839999999997</v>
      </c>
      <c r="F380" s="188">
        <v>30957.84</v>
      </c>
      <c r="G380" s="188">
        <v>35782.839999999997</v>
      </c>
      <c r="H380" s="128"/>
      <c r="I380" s="188">
        <v>25672.09</v>
      </c>
      <c r="J380" s="188">
        <v>28641.51</v>
      </c>
      <c r="K380" s="188">
        <v>28884.51</v>
      </c>
      <c r="L380" s="188">
        <v>28994.51</v>
      </c>
      <c r="M380" s="70"/>
      <c r="N380" s="188">
        <v>33467.949999999997</v>
      </c>
      <c r="O380" s="188">
        <v>27137.95</v>
      </c>
      <c r="P380" s="188">
        <v>32425.95</v>
      </c>
      <c r="Q380" s="128"/>
      <c r="R380" s="128"/>
      <c r="S380" s="188">
        <v>22568.15</v>
      </c>
      <c r="T380" s="188">
        <v>24992.95</v>
      </c>
      <c r="U380" s="188">
        <v>25329.95</v>
      </c>
      <c r="V380" s="61"/>
      <c r="W380" s="58"/>
      <c r="X380" s="188">
        <v>31391.47</v>
      </c>
      <c r="Y380" s="188">
        <v>34004.47</v>
      </c>
      <c r="Z380" s="128"/>
      <c r="AA380" s="128"/>
      <c r="AB380" s="128"/>
      <c r="AC380" s="188">
        <v>26867.47</v>
      </c>
      <c r="AD380" s="188">
        <v>27685.47</v>
      </c>
      <c r="AE380" s="61"/>
      <c r="AF380" s="65"/>
      <c r="AG380" s="58"/>
      <c r="AH380" s="188">
        <v>36111.72</v>
      </c>
      <c r="AI380" s="128"/>
      <c r="AJ380" s="128"/>
      <c r="AK380" s="128"/>
      <c r="AL380" s="128"/>
      <c r="AM380" s="188">
        <v>28956.17</v>
      </c>
      <c r="AN380" s="135"/>
      <c r="AO380" s="135"/>
      <c r="AP380" s="135"/>
    </row>
    <row r="381" spans="1:42" x14ac:dyDescent="0.25">
      <c r="A381" t="s">
        <v>85</v>
      </c>
      <c r="B381" t="s">
        <v>40</v>
      </c>
      <c r="C381" s="212" t="str">
        <f t="shared" si="5"/>
        <v>Levy Juvenile Delinquency</v>
      </c>
      <c r="D381" s="188">
        <v>4613</v>
      </c>
      <c r="E381" s="188">
        <v>4398</v>
      </c>
      <c r="F381" s="188">
        <v>4298</v>
      </c>
      <c r="G381" s="188">
        <v>4348</v>
      </c>
      <c r="H381" s="128"/>
      <c r="I381" s="188">
        <v>1928.25</v>
      </c>
      <c r="J381" s="188">
        <v>2863</v>
      </c>
      <c r="K381" s="188">
        <v>3173</v>
      </c>
      <c r="L381" s="188">
        <v>3433</v>
      </c>
      <c r="M381" s="70"/>
      <c r="N381" s="188">
        <v>2291</v>
      </c>
      <c r="O381" s="188">
        <v>2041</v>
      </c>
      <c r="P381" s="188">
        <v>2241</v>
      </c>
      <c r="Q381" s="128"/>
      <c r="R381" s="128"/>
      <c r="S381" s="188">
        <v>411</v>
      </c>
      <c r="T381" s="188">
        <v>936</v>
      </c>
      <c r="U381" s="188">
        <v>1121</v>
      </c>
      <c r="V381" s="61"/>
      <c r="W381" s="58"/>
      <c r="X381" s="188">
        <v>1951</v>
      </c>
      <c r="Y381" s="188">
        <v>2066</v>
      </c>
      <c r="Z381" s="128"/>
      <c r="AA381" s="128"/>
      <c r="AB381" s="128"/>
      <c r="AC381" s="188">
        <v>763</v>
      </c>
      <c r="AD381" s="188">
        <v>1411</v>
      </c>
      <c r="AE381" s="61"/>
      <c r="AF381" s="65"/>
      <c r="AG381" s="58"/>
      <c r="AH381" s="188">
        <v>2313</v>
      </c>
      <c r="AI381" s="128"/>
      <c r="AJ381" s="128"/>
      <c r="AK381" s="128"/>
      <c r="AL381" s="128"/>
      <c r="AM381" s="188">
        <v>1179</v>
      </c>
      <c r="AN381" s="135"/>
      <c r="AO381" s="135"/>
      <c r="AP381" s="135"/>
    </row>
    <row r="382" spans="1:42" x14ac:dyDescent="0.25">
      <c r="A382" t="s">
        <v>85</v>
      </c>
      <c r="B382" t="s">
        <v>45</v>
      </c>
      <c r="C382" s="212" t="str">
        <f t="shared" si="5"/>
        <v>Levy Probate</v>
      </c>
      <c r="D382" s="188">
        <v>12473.5</v>
      </c>
      <c r="E382" s="188">
        <v>12619.5</v>
      </c>
      <c r="F382" s="188">
        <v>12388.5</v>
      </c>
      <c r="G382" s="188">
        <v>12619.5</v>
      </c>
      <c r="H382" s="128"/>
      <c r="I382" s="188">
        <v>12182.5</v>
      </c>
      <c r="J382" s="188">
        <v>12138.5</v>
      </c>
      <c r="K382" s="188">
        <v>12138.5</v>
      </c>
      <c r="L382" s="188">
        <v>12138.5</v>
      </c>
      <c r="M382" s="70"/>
      <c r="N382" s="188">
        <v>20467.5</v>
      </c>
      <c r="O382" s="188">
        <v>20467.5</v>
      </c>
      <c r="P382" s="188">
        <v>20467.5</v>
      </c>
      <c r="Q382" s="128"/>
      <c r="R382" s="128"/>
      <c r="S382" s="188">
        <v>18257.669999999998</v>
      </c>
      <c r="T382" s="188">
        <v>19687.669999999998</v>
      </c>
      <c r="U382" s="188">
        <v>19687.669999999998</v>
      </c>
      <c r="V382" s="61"/>
      <c r="W382" s="58"/>
      <c r="X382" s="188">
        <v>16667.439999999999</v>
      </c>
      <c r="Y382" s="188">
        <v>16663.439999999999</v>
      </c>
      <c r="Z382" s="128"/>
      <c r="AA382" s="128"/>
      <c r="AB382" s="128"/>
      <c r="AC382" s="188">
        <v>15273.44</v>
      </c>
      <c r="AD382" s="188">
        <v>15735.44</v>
      </c>
      <c r="AE382" s="61"/>
      <c r="AF382" s="65"/>
      <c r="AG382" s="58"/>
      <c r="AH382" s="188">
        <v>18251.5</v>
      </c>
      <c r="AI382" s="128"/>
      <c r="AJ382" s="128"/>
      <c r="AK382" s="128"/>
      <c r="AL382" s="128"/>
      <c r="AM382" s="188">
        <v>16966.5</v>
      </c>
      <c r="AN382" s="135"/>
      <c r="AO382" s="135"/>
      <c r="AP382" s="135"/>
    </row>
    <row r="383" spans="1:42" x14ac:dyDescent="0.25">
      <c r="A383" t="s">
        <v>86</v>
      </c>
      <c r="B383" t="s">
        <v>42</v>
      </c>
      <c r="C383" s="212" t="str">
        <f t="shared" si="5"/>
        <v>Liberty Circuit Civil</v>
      </c>
      <c r="D383" s="188">
        <v>5542</v>
      </c>
      <c r="E383" s="188">
        <v>5542</v>
      </c>
      <c r="F383" s="188">
        <v>5542</v>
      </c>
      <c r="G383" s="188">
        <v>5542</v>
      </c>
      <c r="H383" s="128"/>
      <c r="I383" s="188">
        <v>5542</v>
      </c>
      <c r="J383" s="188">
        <v>5542</v>
      </c>
      <c r="K383" s="188">
        <v>5542</v>
      </c>
      <c r="L383" s="188">
        <v>5542</v>
      </c>
      <c r="M383" s="70"/>
      <c r="N383" s="188">
        <v>4858</v>
      </c>
      <c r="O383" s="188">
        <v>4858</v>
      </c>
      <c r="P383" s="188">
        <v>4858</v>
      </c>
      <c r="Q383" s="128"/>
      <c r="R383" s="128"/>
      <c r="S383" s="188">
        <v>4458</v>
      </c>
      <c r="T383" s="188">
        <v>4458</v>
      </c>
      <c r="U383" s="188">
        <v>4458</v>
      </c>
      <c r="V383" s="61"/>
      <c r="W383" s="58"/>
      <c r="X383" s="188">
        <v>6084.03</v>
      </c>
      <c r="Y383" s="188">
        <v>6084.03</v>
      </c>
      <c r="Z383" s="128"/>
      <c r="AA383" s="128"/>
      <c r="AB383" s="128"/>
      <c r="AC383" s="188">
        <v>6084.03</v>
      </c>
      <c r="AD383" s="188">
        <v>6084.03</v>
      </c>
      <c r="AE383" s="61"/>
      <c r="AF383" s="65"/>
      <c r="AG383" s="58"/>
      <c r="AH383" s="188">
        <v>5653</v>
      </c>
      <c r="AI383" s="128"/>
      <c r="AJ383" s="128"/>
      <c r="AK383" s="128"/>
      <c r="AL383" s="128"/>
      <c r="AM383" s="188">
        <v>5253</v>
      </c>
      <c r="AN383" s="135"/>
      <c r="AO383" s="135"/>
      <c r="AP383" s="135"/>
    </row>
    <row r="384" spans="1:42" x14ac:dyDescent="0.25">
      <c r="A384" t="s">
        <v>86</v>
      </c>
      <c r="B384" t="s">
        <v>38</v>
      </c>
      <c r="C384" s="212" t="str">
        <f t="shared" si="5"/>
        <v>Liberty Circuit Criminal</v>
      </c>
      <c r="D384" s="188">
        <v>67707.5</v>
      </c>
      <c r="E384" s="188">
        <v>67716.5</v>
      </c>
      <c r="F384" s="188">
        <v>67716.5</v>
      </c>
      <c r="G384" s="188">
        <v>67716.5</v>
      </c>
      <c r="H384" s="128"/>
      <c r="I384" s="188">
        <v>1148.5</v>
      </c>
      <c r="J384" s="188">
        <v>1527.69</v>
      </c>
      <c r="K384" s="188">
        <v>2025.88</v>
      </c>
      <c r="L384" s="188">
        <v>2088.38</v>
      </c>
      <c r="M384" s="70"/>
      <c r="N384" s="188">
        <v>31376.5</v>
      </c>
      <c r="O384" s="188">
        <v>29666.5</v>
      </c>
      <c r="P384" s="188">
        <v>29666.5</v>
      </c>
      <c r="Q384" s="128"/>
      <c r="R384" s="128"/>
      <c r="S384" s="188">
        <v>1994.54</v>
      </c>
      <c r="T384" s="188">
        <v>2930.72</v>
      </c>
      <c r="U384" s="188">
        <v>3836.85</v>
      </c>
      <c r="V384" s="61"/>
      <c r="W384" s="58"/>
      <c r="X384" s="188">
        <v>17159.5</v>
      </c>
      <c r="Y384" s="188">
        <v>16434.5</v>
      </c>
      <c r="Z384" s="128"/>
      <c r="AA384" s="128"/>
      <c r="AB384" s="128"/>
      <c r="AC384" s="188">
        <v>875.5</v>
      </c>
      <c r="AD384" s="188">
        <v>1048.81</v>
      </c>
      <c r="AE384" s="61"/>
      <c r="AF384" s="65"/>
      <c r="AG384" s="58"/>
      <c r="AH384" s="188">
        <v>278525.5</v>
      </c>
      <c r="AI384" s="128"/>
      <c r="AJ384" s="128"/>
      <c r="AK384" s="128"/>
      <c r="AL384" s="128"/>
      <c r="AM384" s="188">
        <v>1431.31</v>
      </c>
      <c r="AN384" s="135"/>
      <c r="AO384" s="135"/>
      <c r="AP384" s="135"/>
    </row>
    <row r="385" spans="1:42" x14ac:dyDescent="0.25">
      <c r="A385" t="s">
        <v>86</v>
      </c>
      <c r="B385" t="s">
        <v>265</v>
      </c>
      <c r="C385" s="212" t="str">
        <f t="shared" si="5"/>
        <v>Liberty Circuit Criminal Drug Cases</v>
      </c>
      <c r="D385" s="188">
        <v>53275</v>
      </c>
      <c r="E385" s="188">
        <v>53275</v>
      </c>
      <c r="F385" s="188">
        <v>53275</v>
      </c>
      <c r="G385" s="188">
        <v>53275</v>
      </c>
      <c r="H385" s="63"/>
      <c r="I385" s="188">
        <v>0</v>
      </c>
      <c r="J385" s="188">
        <v>0</v>
      </c>
      <c r="K385" s="188">
        <v>0</v>
      </c>
      <c r="L385" s="188">
        <v>0</v>
      </c>
      <c r="N385" s="188">
        <v>2625</v>
      </c>
      <c r="O385" s="188">
        <v>2625</v>
      </c>
      <c r="P385" s="188">
        <v>2625</v>
      </c>
      <c r="Q385" s="63"/>
      <c r="R385" s="63"/>
      <c r="S385" s="188">
        <v>0</v>
      </c>
      <c r="T385" s="188">
        <v>0</v>
      </c>
      <c r="U385" s="188">
        <v>0</v>
      </c>
      <c r="X385" s="188">
        <v>875</v>
      </c>
      <c r="Y385" s="188">
        <v>875</v>
      </c>
      <c r="Z385" s="63"/>
      <c r="AB385" s="63"/>
      <c r="AC385" s="188">
        <v>0</v>
      </c>
      <c r="AD385" s="188">
        <v>0</v>
      </c>
      <c r="AH385" s="188">
        <v>0</v>
      </c>
      <c r="AI385" s="63"/>
      <c r="AL385" s="63"/>
      <c r="AM385" s="188">
        <v>0</v>
      </c>
    </row>
    <row r="386" spans="1:42" x14ac:dyDescent="0.25">
      <c r="A386" t="s">
        <v>86</v>
      </c>
      <c r="B386" t="s">
        <v>44</v>
      </c>
      <c r="C386" s="212" t="str">
        <f t="shared" si="5"/>
        <v>Liberty Civil Traffic</v>
      </c>
      <c r="D386" s="188">
        <v>25911</v>
      </c>
      <c r="E386" s="188">
        <v>22073</v>
      </c>
      <c r="F386" s="188">
        <v>22073</v>
      </c>
      <c r="G386" s="188">
        <v>21822</v>
      </c>
      <c r="H386" s="128"/>
      <c r="I386" s="188">
        <v>10087</v>
      </c>
      <c r="J386" s="188">
        <v>18370.5</v>
      </c>
      <c r="K386" s="188">
        <v>18837.5</v>
      </c>
      <c r="L386" s="188">
        <v>18860.5</v>
      </c>
      <c r="M386" s="70"/>
      <c r="N386" s="188">
        <v>17734</v>
      </c>
      <c r="O386" s="188">
        <v>17040</v>
      </c>
      <c r="P386" s="188">
        <v>16371.5</v>
      </c>
      <c r="Q386" s="128"/>
      <c r="R386" s="128"/>
      <c r="S386" s="188">
        <v>6966</v>
      </c>
      <c r="T386" s="188">
        <v>13431</v>
      </c>
      <c r="U386" s="188">
        <v>14282.5</v>
      </c>
      <c r="V386" s="61"/>
      <c r="W386" s="58"/>
      <c r="X386" s="188">
        <v>35468</v>
      </c>
      <c r="Y386" s="188">
        <v>32230</v>
      </c>
      <c r="Z386" s="128"/>
      <c r="AA386" s="128"/>
      <c r="AB386" s="128"/>
      <c r="AC386" s="188">
        <v>12315</v>
      </c>
      <c r="AD386" s="188">
        <v>25759</v>
      </c>
      <c r="AE386" s="61"/>
      <c r="AF386" s="65"/>
      <c r="AG386" s="58"/>
      <c r="AH386" s="188">
        <v>27420</v>
      </c>
      <c r="AI386" s="128"/>
      <c r="AJ386" s="128"/>
      <c r="AK386" s="128"/>
      <c r="AL386" s="128"/>
      <c r="AM386" s="188">
        <v>11340</v>
      </c>
      <c r="AN386" s="135"/>
      <c r="AO386" s="135"/>
      <c r="AP386" s="135"/>
    </row>
    <row r="387" spans="1:42" x14ac:dyDescent="0.25">
      <c r="A387" t="s">
        <v>86</v>
      </c>
      <c r="B387" t="s">
        <v>43</v>
      </c>
      <c r="C387" s="212" t="str">
        <f t="shared" ref="C387:C450" si="6">A387&amp;" "&amp;B387</f>
        <v>Liberty County Civil</v>
      </c>
      <c r="D387" s="188">
        <v>2096</v>
      </c>
      <c r="E387" s="188">
        <v>2096</v>
      </c>
      <c r="F387" s="188">
        <v>2096</v>
      </c>
      <c r="G387" s="188">
        <v>2096</v>
      </c>
      <c r="H387" s="128"/>
      <c r="I387" s="188">
        <v>2096</v>
      </c>
      <c r="J387" s="188">
        <v>2096</v>
      </c>
      <c r="K387" s="188">
        <v>2096</v>
      </c>
      <c r="L387" s="188">
        <v>2096</v>
      </c>
      <c r="M387" s="70"/>
      <c r="N387" s="188">
        <v>3681</v>
      </c>
      <c r="O387" s="188">
        <v>3681</v>
      </c>
      <c r="P387" s="188">
        <v>3681</v>
      </c>
      <c r="Q387" s="128"/>
      <c r="R387" s="128"/>
      <c r="S387" s="188">
        <v>3681</v>
      </c>
      <c r="T387" s="188">
        <v>3681</v>
      </c>
      <c r="U387" s="188">
        <v>3681</v>
      </c>
      <c r="V387" s="61"/>
      <c r="W387" s="58"/>
      <c r="X387" s="188">
        <v>4185</v>
      </c>
      <c r="Y387" s="188">
        <v>4185</v>
      </c>
      <c r="Z387" s="128"/>
      <c r="AA387" s="128"/>
      <c r="AB387" s="128"/>
      <c r="AC387" s="188">
        <v>4185</v>
      </c>
      <c r="AD387" s="188">
        <v>4185</v>
      </c>
      <c r="AE387" s="61"/>
      <c r="AF387" s="65"/>
      <c r="AG387" s="58"/>
      <c r="AH387" s="188">
        <v>2765</v>
      </c>
      <c r="AI387" s="128"/>
      <c r="AJ387" s="128"/>
      <c r="AK387" s="128"/>
      <c r="AL387" s="128"/>
      <c r="AM387" s="188">
        <v>2590</v>
      </c>
      <c r="AN387" s="135"/>
      <c r="AO387" s="135"/>
      <c r="AP387" s="135"/>
    </row>
    <row r="388" spans="1:42" x14ac:dyDescent="0.25">
      <c r="A388" t="s">
        <v>86</v>
      </c>
      <c r="B388" t="s">
        <v>39</v>
      </c>
      <c r="C388" s="212" t="str">
        <f t="shared" si="6"/>
        <v>Liberty County Criminal</v>
      </c>
      <c r="D388" s="188">
        <v>11420</v>
      </c>
      <c r="E388" s="188">
        <v>11426</v>
      </c>
      <c r="F388" s="188">
        <v>11426</v>
      </c>
      <c r="G388" s="188">
        <v>11426</v>
      </c>
      <c r="H388" s="128"/>
      <c r="I388" s="188">
        <v>4801</v>
      </c>
      <c r="J388" s="188">
        <v>6877</v>
      </c>
      <c r="K388" s="188">
        <v>7779</v>
      </c>
      <c r="L388" s="188">
        <v>8834</v>
      </c>
      <c r="M388" s="70"/>
      <c r="N388" s="188">
        <v>8704.5</v>
      </c>
      <c r="O388" s="188">
        <v>8704.5</v>
      </c>
      <c r="P388" s="188">
        <v>8704.5</v>
      </c>
      <c r="Q388" s="128"/>
      <c r="R388" s="128"/>
      <c r="S388" s="188">
        <v>4045.5</v>
      </c>
      <c r="T388" s="188">
        <v>5890.5</v>
      </c>
      <c r="U388" s="188">
        <v>7639.5</v>
      </c>
      <c r="V388" s="61"/>
      <c r="W388" s="58"/>
      <c r="X388" s="188">
        <v>5652</v>
      </c>
      <c r="Y388" s="188">
        <v>5177</v>
      </c>
      <c r="Z388" s="128"/>
      <c r="AA388" s="128"/>
      <c r="AB388" s="128"/>
      <c r="AC388" s="188">
        <v>3132</v>
      </c>
      <c r="AD388" s="188">
        <v>3358</v>
      </c>
      <c r="AE388" s="61"/>
      <c r="AF388" s="65"/>
      <c r="AG388" s="58"/>
      <c r="AH388" s="188">
        <v>12783.01</v>
      </c>
      <c r="AI388" s="128"/>
      <c r="AJ388" s="128"/>
      <c r="AK388" s="128"/>
      <c r="AL388" s="128"/>
      <c r="AM388" s="188">
        <v>6197.01</v>
      </c>
      <c r="AN388" s="135"/>
      <c r="AO388" s="135"/>
      <c r="AP388" s="135"/>
    </row>
    <row r="389" spans="1:42" x14ac:dyDescent="0.25">
      <c r="A389" t="s">
        <v>86</v>
      </c>
      <c r="B389" t="s">
        <v>41</v>
      </c>
      <c r="C389" s="212" t="str">
        <f t="shared" si="6"/>
        <v>Liberty Criminal Traffic</v>
      </c>
      <c r="D389" s="188">
        <v>11055</v>
      </c>
      <c r="E389" s="188">
        <v>11025</v>
      </c>
      <c r="F389" s="188">
        <v>10925</v>
      </c>
      <c r="G389" s="188">
        <v>10925</v>
      </c>
      <c r="H389" s="128"/>
      <c r="I389" s="188">
        <v>2850</v>
      </c>
      <c r="J389" s="188">
        <v>5395</v>
      </c>
      <c r="K389" s="188">
        <v>7243</v>
      </c>
      <c r="L389" s="188">
        <v>8799</v>
      </c>
      <c r="M389" s="70"/>
      <c r="N389" s="188">
        <v>7699</v>
      </c>
      <c r="O389" s="188">
        <v>6799</v>
      </c>
      <c r="P389" s="188">
        <v>6799</v>
      </c>
      <c r="Q389" s="128"/>
      <c r="R389" s="128"/>
      <c r="S389" s="188">
        <v>3573</v>
      </c>
      <c r="T389" s="188">
        <v>4681</v>
      </c>
      <c r="U389" s="188">
        <v>5636</v>
      </c>
      <c r="V389" s="61"/>
      <c r="W389" s="58"/>
      <c r="X389" s="188">
        <v>6170.5</v>
      </c>
      <c r="Y389" s="188">
        <v>6170.5</v>
      </c>
      <c r="Z389" s="128"/>
      <c r="AA389" s="128"/>
      <c r="AB389" s="128"/>
      <c r="AC389" s="188">
        <v>2927.5</v>
      </c>
      <c r="AD389" s="188">
        <v>3942.5</v>
      </c>
      <c r="AE389" s="61"/>
      <c r="AF389" s="65"/>
      <c r="AG389" s="58"/>
      <c r="AH389" s="188">
        <v>11295</v>
      </c>
      <c r="AI389" s="128"/>
      <c r="AJ389" s="128"/>
      <c r="AK389" s="128"/>
      <c r="AL389" s="128"/>
      <c r="AM389" s="188">
        <v>3090.5</v>
      </c>
      <c r="AN389" s="135"/>
      <c r="AO389" s="135"/>
      <c r="AP389" s="135"/>
    </row>
    <row r="390" spans="1:42" x14ac:dyDescent="0.25">
      <c r="A390" t="s">
        <v>86</v>
      </c>
      <c r="B390" t="s">
        <v>46</v>
      </c>
      <c r="C390" s="212" t="str">
        <f t="shared" si="6"/>
        <v>Liberty Family</v>
      </c>
      <c r="D390" s="188">
        <v>2323</v>
      </c>
      <c r="E390" s="188">
        <v>2323</v>
      </c>
      <c r="F390" s="188">
        <v>2323</v>
      </c>
      <c r="G390" s="188">
        <v>2323</v>
      </c>
      <c r="H390" s="128"/>
      <c r="I390" s="188">
        <v>2323</v>
      </c>
      <c r="J390" s="188">
        <v>2323</v>
      </c>
      <c r="K390" s="188">
        <v>2323</v>
      </c>
      <c r="L390" s="188">
        <v>2323</v>
      </c>
      <c r="M390" s="70"/>
      <c r="N390" s="188">
        <v>3554</v>
      </c>
      <c r="O390" s="188">
        <v>3146</v>
      </c>
      <c r="P390" s="188">
        <v>3146</v>
      </c>
      <c r="Q390" s="128"/>
      <c r="R390" s="128"/>
      <c r="S390" s="188">
        <v>2746</v>
      </c>
      <c r="T390" s="188">
        <v>2746</v>
      </c>
      <c r="U390" s="188">
        <v>2746</v>
      </c>
      <c r="V390" s="61"/>
      <c r="W390" s="58"/>
      <c r="X390" s="188">
        <v>4637</v>
      </c>
      <c r="Y390" s="188">
        <v>3413</v>
      </c>
      <c r="Z390" s="128"/>
      <c r="AA390" s="128"/>
      <c r="AB390" s="128"/>
      <c r="AC390" s="188">
        <v>3413</v>
      </c>
      <c r="AD390" s="188">
        <v>3413</v>
      </c>
      <c r="AE390" s="61"/>
      <c r="AF390" s="65"/>
      <c r="AG390" s="58"/>
      <c r="AH390" s="188">
        <v>3085</v>
      </c>
      <c r="AI390" s="128"/>
      <c r="AJ390" s="128"/>
      <c r="AK390" s="128"/>
      <c r="AL390" s="128"/>
      <c r="AM390" s="188">
        <v>2677</v>
      </c>
      <c r="AN390" s="135"/>
      <c r="AO390" s="135"/>
      <c r="AP390" s="135"/>
    </row>
    <row r="391" spans="1:42" x14ac:dyDescent="0.25">
      <c r="A391" t="s">
        <v>86</v>
      </c>
      <c r="B391" t="s">
        <v>40</v>
      </c>
      <c r="C391" s="212" t="str">
        <f t="shared" si="6"/>
        <v>Liberty Juvenile Delinquency</v>
      </c>
      <c r="D391" s="188">
        <v>2515.5</v>
      </c>
      <c r="E391" s="188">
        <v>2518.5</v>
      </c>
      <c r="F391" s="188">
        <v>2518.5</v>
      </c>
      <c r="G391" s="188">
        <v>2518.5</v>
      </c>
      <c r="H391" s="128"/>
      <c r="I391" s="188">
        <v>0.5</v>
      </c>
      <c r="J391" s="188">
        <v>203.5</v>
      </c>
      <c r="K391" s="188">
        <v>203.5</v>
      </c>
      <c r="L391" s="188">
        <v>253.5</v>
      </c>
      <c r="M391" s="70"/>
      <c r="N391" s="188">
        <v>3.5</v>
      </c>
      <c r="O391" s="188">
        <v>3.5</v>
      </c>
      <c r="P391" s="188">
        <v>3.5</v>
      </c>
      <c r="Q391" s="128"/>
      <c r="R391" s="128"/>
      <c r="S391" s="188">
        <v>3.5</v>
      </c>
      <c r="T391" s="188">
        <v>3.5</v>
      </c>
      <c r="U391" s="188">
        <v>3.5</v>
      </c>
      <c r="V391" s="61"/>
      <c r="W391" s="58"/>
      <c r="X391" s="188">
        <v>1131</v>
      </c>
      <c r="Y391" s="188">
        <v>1131</v>
      </c>
      <c r="Z391" s="128"/>
      <c r="AA391" s="128"/>
      <c r="AB391" s="128"/>
      <c r="AC391" s="188">
        <v>14</v>
      </c>
      <c r="AD391" s="188">
        <v>14</v>
      </c>
      <c r="AE391" s="61"/>
      <c r="AF391" s="65"/>
      <c r="AG391" s="58"/>
      <c r="AH391" s="188">
        <v>801</v>
      </c>
      <c r="AI391" s="128"/>
      <c r="AJ391" s="128"/>
      <c r="AK391" s="128"/>
      <c r="AL391" s="128"/>
      <c r="AM391" s="188">
        <v>0</v>
      </c>
      <c r="AN391" s="135"/>
      <c r="AO391" s="135"/>
      <c r="AP391" s="135"/>
    </row>
    <row r="392" spans="1:42" x14ac:dyDescent="0.25">
      <c r="A392" t="s">
        <v>86</v>
      </c>
      <c r="B392" t="s">
        <v>45</v>
      </c>
      <c r="C392" s="212" t="str">
        <f t="shared" si="6"/>
        <v>Liberty Probate</v>
      </c>
      <c r="D392" s="188">
        <v>2231</v>
      </c>
      <c r="E392" s="188">
        <v>2231</v>
      </c>
      <c r="F392" s="188">
        <v>2231</v>
      </c>
      <c r="G392" s="188">
        <v>2231</v>
      </c>
      <c r="H392" s="128"/>
      <c r="I392" s="188">
        <v>2231</v>
      </c>
      <c r="J392" s="188">
        <v>2231</v>
      </c>
      <c r="K392" s="188">
        <v>2231</v>
      </c>
      <c r="L392" s="188">
        <v>2231</v>
      </c>
      <c r="M392" s="70"/>
      <c r="N392" s="188">
        <v>2033</v>
      </c>
      <c r="O392" s="188">
        <v>2033</v>
      </c>
      <c r="P392" s="188">
        <v>2033</v>
      </c>
      <c r="Q392" s="128"/>
      <c r="R392" s="128"/>
      <c r="S392" s="188">
        <v>2033</v>
      </c>
      <c r="T392" s="188">
        <v>2033</v>
      </c>
      <c r="U392" s="188">
        <v>2033</v>
      </c>
      <c r="V392" s="61"/>
      <c r="W392" s="58"/>
      <c r="X392" s="188">
        <v>775</v>
      </c>
      <c r="Y392" s="188">
        <v>775</v>
      </c>
      <c r="Z392" s="128"/>
      <c r="AA392" s="128"/>
      <c r="AB392" s="128"/>
      <c r="AC392" s="188">
        <v>775</v>
      </c>
      <c r="AD392" s="188">
        <v>775</v>
      </c>
      <c r="AE392" s="61"/>
      <c r="AF392" s="65"/>
      <c r="AG392" s="58"/>
      <c r="AH392" s="188">
        <v>2290</v>
      </c>
      <c r="AI392" s="128"/>
      <c r="AJ392" s="128"/>
      <c r="AK392" s="128"/>
      <c r="AL392" s="128"/>
      <c r="AM392" s="188">
        <v>2290</v>
      </c>
      <c r="AN392" s="135"/>
      <c r="AO392" s="135"/>
      <c r="AP392" s="135"/>
    </row>
    <row r="393" spans="1:42" x14ac:dyDescent="0.25">
      <c r="A393" t="s">
        <v>87</v>
      </c>
      <c r="B393" t="s">
        <v>42</v>
      </c>
      <c r="C393" s="212" t="str">
        <f t="shared" si="6"/>
        <v>Madison Circuit Civil</v>
      </c>
      <c r="D393" s="188">
        <v>21419</v>
      </c>
      <c r="E393" s="188">
        <v>21439</v>
      </c>
      <c r="F393" s="188">
        <v>21039</v>
      </c>
      <c r="G393" s="188">
        <v>20134</v>
      </c>
      <c r="H393" s="128"/>
      <c r="I393" s="188">
        <v>19624</v>
      </c>
      <c r="J393" s="188">
        <v>19624</v>
      </c>
      <c r="K393" s="188">
        <v>19624</v>
      </c>
      <c r="L393" s="188">
        <v>19624</v>
      </c>
      <c r="M393" s="70"/>
      <c r="N393" s="188">
        <v>180223.6</v>
      </c>
      <c r="O393" s="188">
        <v>180223.6</v>
      </c>
      <c r="P393" s="188">
        <v>180223.6</v>
      </c>
      <c r="Q393" s="128"/>
      <c r="R393" s="128"/>
      <c r="S393" s="188">
        <v>179278.6</v>
      </c>
      <c r="T393" s="188">
        <v>179278.6</v>
      </c>
      <c r="U393" s="188">
        <v>179278.6</v>
      </c>
      <c r="V393" s="61"/>
      <c r="W393" s="58"/>
      <c r="X393" s="188">
        <v>10860</v>
      </c>
      <c r="Y393" s="188">
        <v>10860</v>
      </c>
      <c r="Z393" s="128"/>
      <c r="AA393" s="128"/>
      <c r="AB393" s="128"/>
      <c r="AC393" s="188">
        <v>10460</v>
      </c>
      <c r="AD393" s="188">
        <v>10460</v>
      </c>
      <c r="AE393" s="61"/>
      <c r="AF393" s="65"/>
      <c r="AG393" s="58"/>
      <c r="AH393" s="188">
        <v>57607</v>
      </c>
      <c r="AI393" s="128"/>
      <c r="AJ393" s="128"/>
      <c r="AK393" s="128"/>
      <c r="AL393" s="128"/>
      <c r="AM393" s="188">
        <v>55502</v>
      </c>
      <c r="AN393" s="135"/>
      <c r="AO393" s="135"/>
      <c r="AP393" s="135"/>
    </row>
    <row r="394" spans="1:42" x14ac:dyDescent="0.25">
      <c r="A394" t="s">
        <v>87</v>
      </c>
      <c r="B394" t="s">
        <v>38</v>
      </c>
      <c r="C394" s="212" t="str">
        <f t="shared" si="6"/>
        <v>Madison Circuit Criminal</v>
      </c>
      <c r="D394" s="188">
        <v>105349.8</v>
      </c>
      <c r="E394" s="188">
        <v>105149.8</v>
      </c>
      <c r="F394" s="188">
        <v>105129.8</v>
      </c>
      <c r="G394" s="188">
        <v>105069.8</v>
      </c>
      <c r="H394" s="128"/>
      <c r="I394" s="188">
        <v>781.14</v>
      </c>
      <c r="J394" s="188">
        <v>3499.88</v>
      </c>
      <c r="K394" s="188">
        <v>6102.35</v>
      </c>
      <c r="L394" s="188">
        <v>11363.29</v>
      </c>
      <c r="M394" s="70"/>
      <c r="N394" s="188">
        <v>88968.52</v>
      </c>
      <c r="O394" s="188">
        <v>88948.52</v>
      </c>
      <c r="P394" s="188">
        <v>89089.52</v>
      </c>
      <c r="Q394" s="128"/>
      <c r="R394" s="128"/>
      <c r="S394" s="188">
        <v>1826.84</v>
      </c>
      <c r="T394" s="188">
        <v>4553.66</v>
      </c>
      <c r="U394" s="188">
        <v>6712.52</v>
      </c>
      <c r="V394" s="61"/>
      <c r="W394" s="58"/>
      <c r="X394" s="188">
        <v>87168.58</v>
      </c>
      <c r="Y394" s="188">
        <v>86738.58</v>
      </c>
      <c r="Z394" s="128"/>
      <c r="AA394" s="128"/>
      <c r="AB394" s="128"/>
      <c r="AC394" s="188">
        <v>3213.54</v>
      </c>
      <c r="AD394" s="188">
        <v>5180.9399999999996</v>
      </c>
      <c r="AE394" s="61"/>
      <c r="AF394" s="65"/>
      <c r="AG394" s="58"/>
      <c r="AH394" s="188">
        <v>76646.2</v>
      </c>
      <c r="AI394" s="128"/>
      <c r="AJ394" s="128"/>
      <c r="AK394" s="128"/>
      <c r="AL394" s="128"/>
      <c r="AM394" s="188">
        <v>2709.39</v>
      </c>
      <c r="AN394" s="135"/>
      <c r="AO394" s="135"/>
      <c r="AP394" s="135"/>
    </row>
    <row r="395" spans="1:42" x14ac:dyDescent="0.25">
      <c r="A395" t="s">
        <v>87</v>
      </c>
      <c r="B395" t="s">
        <v>265</v>
      </c>
      <c r="C395" s="212" t="str">
        <f t="shared" si="6"/>
        <v>Madison Circuit Criminal Drug Cases</v>
      </c>
      <c r="D395" s="188"/>
      <c r="E395" s="188"/>
      <c r="H395" s="63"/>
      <c r="I395" s="188"/>
      <c r="J395" s="188"/>
      <c r="N395" s="188"/>
      <c r="O395" s="188"/>
      <c r="P395" s="188"/>
      <c r="Q395" s="63"/>
      <c r="R395" s="63"/>
      <c r="S395" s="188"/>
      <c r="T395" s="188"/>
      <c r="U395" s="188"/>
      <c r="X395" s="188"/>
      <c r="Y395" s="188"/>
      <c r="Z395" s="63"/>
      <c r="AB395" s="63"/>
      <c r="AC395" s="188"/>
      <c r="AD395" s="188"/>
      <c r="AH395" s="188"/>
      <c r="AI395" s="63"/>
      <c r="AL395" s="63"/>
      <c r="AM395" s="188"/>
    </row>
    <row r="396" spans="1:42" x14ac:dyDescent="0.25">
      <c r="A396" t="s">
        <v>87</v>
      </c>
      <c r="B396" t="s">
        <v>44</v>
      </c>
      <c r="C396" s="212" t="str">
        <f t="shared" si="6"/>
        <v>Madison Civil Traffic</v>
      </c>
      <c r="D396" s="188">
        <v>521088.96</v>
      </c>
      <c r="E396" s="188">
        <v>509233.46</v>
      </c>
      <c r="F396" s="188">
        <v>507016.46</v>
      </c>
      <c r="G396" s="188">
        <v>504179.46</v>
      </c>
      <c r="H396" s="128"/>
      <c r="I396" s="188">
        <v>152618.10999999999</v>
      </c>
      <c r="J396" s="188">
        <v>255620.61</v>
      </c>
      <c r="K396" s="188">
        <v>270897.11</v>
      </c>
      <c r="L396" s="188">
        <v>288421.33</v>
      </c>
      <c r="M396" s="70"/>
      <c r="N396" s="188">
        <v>444010.5</v>
      </c>
      <c r="O396" s="188">
        <v>427122.5</v>
      </c>
      <c r="P396" s="188">
        <v>425172.5</v>
      </c>
      <c r="Q396" s="128"/>
      <c r="R396" s="128"/>
      <c r="S396" s="188">
        <v>218926.51</v>
      </c>
      <c r="T396" s="188">
        <v>305070.98</v>
      </c>
      <c r="U396" s="188">
        <v>328604.98</v>
      </c>
      <c r="V396" s="61"/>
      <c r="W396" s="58"/>
      <c r="X396" s="188">
        <v>358550</v>
      </c>
      <c r="Y396" s="188">
        <v>349350</v>
      </c>
      <c r="Z396" s="128"/>
      <c r="AA396" s="128"/>
      <c r="AB396" s="128"/>
      <c r="AC396" s="188">
        <v>133085.31</v>
      </c>
      <c r="AD396" s="188">
        <v>239588.5</v>
      </c>
      <c r="AE396" s="61"/>
      <c r="AF396" s="65"/>
      <c r="AG396" s="58"/>
      <c r="AH396" s="188">
        <v>752807.5</v>
      </c>
      <c r="AI396" s="128"/>
      <c r="AJ396" s="128"/>
      <c r="AK396" s="128"/>
      <c r="AL396" s="128"/>
      <c r="AM396" s="188">
        <v>250542.5</v>
      </c>
      <c r="AN396" s="135"/>
      <c r="AO396" s="135"/>
      <c r="AP396" s="135"/>
    </row>
    <row r="397" spans="1:42" x14ac:dyDescent="0.25">
      <c r="A397" t="s">
        <v>87</v>
      </c>
      <c r="B397" t="s">
        <v>43</v>
      </c>
      <c r="C397" s="212" t="str">
        <f t="shared" si="6"/>
        <v>Madison County Civil</v>
      </c>
      <c r="D397" s="188">
        <v>14579.56</v>
      </c>
      <c r="E397" s="188">
        <v>14394.56</v>
      </c>
      <c r="F397" s="188">
        <v>14394.56</v>
      </c>
      <c r="G397" s="188">
        <v>14394.56</v>
      </c>
      <c r="H397" s="128"/>
      <c r="I397" s="188">
        <v>14389.31</v>
      </c>
      <c r="J397" s="188">
        <v>14389.31</v>
      </c>
      <c r="K397" s="188">
        <v>14389.31</v>
      </c>
      <c r="L397" s="188">
        <v>14389.31</v>
      </c>
      <c r="M397" s="70"/>
      <c r="N397" s="188">
        <v>17618.03</v>
      </c>
      <c r="O397" s="188">
        <v>17618.03</v>
      </c>
      <c r="P397" s="188">
        <v>17618.03</v>
      </c>
      <c r="Q397" s="128"/>
      <c r="R397" s="128"/>
      <c r="S397" s="188">
        <v>16357.03</v>
      </c>
      <c r="T397" s="188">
        <v>16657.03</v>
      </c>
      <c r="U397" s="188">
        <v>16657.03</v>
      </c>
      <c r="V397" s="61"/>
      <c r="W397" s="58"/>
      <c r="X397" s="188">
        <v>18205.09</v>
      </c>
      <c r="Y397" s="188">
        <v>18205.09</v>
      </c>
      <c r="Z397" s="128"/>
      <c r="AA397" s="128"/>
      <c r="AB397" s="128"/>
      <c r="AC397" s="188">
        <v>17605.09</v>
      </c>
      <c r="AD397" s="188">
        <v>17605.09</v>
      </c>
      <c r="AE397" s="61"/>
      <c r="AF397" s="65"/>
      <c r="AG397" s="58"/>
      <c r="AH397" s="188">
        <v>14410.26</v>
      </c>
      <c r="AI397" s="128"/>
      <c r="AJ397" s="128"/>
      <c r="AK397" s="128"/>
      <c r="AL397" s="128"/>
      <c r="AM397" s="188">
        <v>13905.26</v>
      </c>
      <c r="AN397" s="135"/>
      <c r="AO397" s="135"/>
      <c r="AP397" s="135"/>
    </row>
    <row r="398" spans="1:42" x14ac:dyDescent="0.25">
      <c r="A398" t="s">
        <v>87</v>
      </c>
      <c r="B398" t="s">
        <v>39</v>
      </c>
      <c r="C398" s="212" t="str">
        <f t="shared" si="6"/>
        <v>Madison County Criminal</v>
      </c>
      <c r="D398" s="188">
        <v>18601.5</v>
      </c>
      <c r="E398" s="188">
        <v>18601.5</v>
      </c>
      <c r="F398" s="188">
        <v>18181.5</v>
      </c>
      <c r="G398" s="188">
        <v>18141.5</v>
      </c>
      <c r="H398" s="128"/>
      <c r="I398" s="188">
        <v>5834.5</v>
      </c>
      <c r="J398" s="188">
        <v>6857</v>
      </c>
      <c r="K398" s="188">
        <v>7122</v>
      </c>
      <c r="L398" s="188">
        <v>8377</v>
      </c>
      <c r="M398" s="70"/>
      <c r="N398" s="188">
        <v>14820.5</v>
      </c>
      <c r="O398" s="188">
        <v>15036</v>
      </c>
      <c r="P398" s="188">
        <v>15456</v>
      </c>
      <c r="Q398" s="128"/>
      <c r="R398" s="128"/>
      <c r="S398" s="188">
        <v>2422.5</v>
      </c>
      <c r="T398" s="188">
        <v>3618</v>
      </c>
      <c r="U398" s="188">
        <v>4080.5</v>
      </c>
      <c r="V398" s="61"/>
      <c r="W398" s="58"/>
      <c r="X398" s="188">
        <v>18668.03</v>
      </c>
      <c r="Y398" s="188">
        <v>18618.03</v>
      </c>
      <c r="Z398" s="128"/>
      <c r="AA398" s="128"/>
      <c r="AB398" s="128"/>
      <c r="AC398" s="188">
        <v>3873.53</v>
      </c>
      <c r="AD398" s="188">
        <v>4933.53</v>
      </c>
      <c r="AE398" s="61"/>
      <c r="AF398" s="65"/>
      <c r="AG398" s="58"/>
      <c r="AH398" s="188">
        <v>30160.85</v>
      </c>
      <c r="AI398" s="128"/>
      <c r="AJ398" s="128"/>
      <c r="AK398" s="128"/>
      <c r="AL398" s="128"/>
      <c r="AM398" s="188">
        <v>3317.75</v>
      </c>
      <c r="AN398" s="135"/>
      <c r="AO398" s="135"/>
      <c r="AP398" s="135"/>
    </row>
    <row r="399" spans="1:42" x14ac:dyDescent="0.25">
      <c r="A399" t="s">
        <v>87</v>
      </c>
      <c r="B399" t="s">
        <v>41</v>
      </c>
      <c r="C399" s="212" t="str">
        <f t="shared" si="6"/>
        <v>Madison Criminal Traffic</v>
      </c>
      <c r="D399" s="188">
        <v>36102.800000000003</v>
      </c>
      <c r="E399" s="188">
        <v>36109.800000000003</v>
      </c>
      <c r="F399" s="188">
        <v>36124.800000000003</v>
      </c>
      <c r="G399" s="188">
        <v>36274.800000000003</v>
      </c>
      <c r="H399" s="128"/>
      <c r="I399" s="188">
        <v>7690.1</v>
      </c>
      <c r="J399" s="188">
        <v>12040.8</v>
      </c>
      <c r="K399" s="188">
        <v>17483.599999999999</v>
      </c>
      <c r="L399" s="188">
        <v>19457.8</v>
      </c>
      <c r="M399" s="70"/>
      <c r="N399" s="188">
        <v>40176</v>
      </c>
      <c r="O399" s="188">
        <v>40249.1</v>
      </c>
      <c r="P399" s="188">
        <v>41255.800000000003</v>
      </c>
      <c r="Q399" s="128"/>
      <c r="R399" s="128"/>
      <c r="S399" s="188">
        <v>6384.6</v>
      </c>
      <c r="T399" s="188">
        <v>13182.7</v>
      </c>
      <c r="U399" s="188">
        <v>22144.82</v>
      </c>
      <c r="V399" s="61"/>
      <c r="W399" s="58"/>
      <c r="X399" s="188">
        <v>31667</v>
      </c>
      <c r="Y399" s="188">
        <v>31967</v>
      </c>
      <c r="Z399" s="128"/>
      <c r="AA399" s="128"/>
      <c r="AB399" s="128"/>
      <c r="AC399" s="188">
        <v>13875.6</v>
      </c>
      <c r="AD399" s="188">
        <v>17791.7</v>
      </c>
      <c r="AE399" s="61"/>
      <c r="AF399" s="65"/>
      <c r="AG399" s="58"/>
      <c r="AH399" s="188">
        <v>42594.18</v>
      </c>
      <c r="AI399" s="128"/>
      <c r="AJ399" s="128"/>
      <c r="AK399" s="128"/>
      <c r="AL399" s="128"/>
      <c r="AM399" s="188">
        <v>8936.7800000000007</v>
      </c>
      <c r="AN399" s="135"/>
      <c r="AO399" s="135"/>
      <c r="AP399" s="135"/>
    </row>
    <row r="400" spans="1:42" x14ac:dyDescent="0.25">
      <c r="A400" t="s">
        <v>87</v>
      </c>
      <c r="B400" t="s">
        <v>46</v>
      </c>
      <c r="C400" s="212" t="str">
        <f t="shared" si="6"/>
        <v>Madison Family</v>
      </c>
      <c r="D400" s="188">
        <v>6900</v>
      </c>
      <c r="E400" s="188">
        <v>6900</v>
      </c>
      <c r="F400" s="188">
        <v>6900</v>
      </c>
      <c r="G400" s="188">
        <v>6900</v>
      </c>
      <c r="H400" s="128"/>
      <c r="I400" s="188">
        <v>5709</v>
      </c>
      <c r="J400" s="188">
        <v>6234</v>
      </c>
      <c r="K400" s="188">
        <v>6467</v>
      </c>
      <c r="L400" s="188">
        <v>6467</v>
      </c>
      <c r="M400" s="70"/>
      <c r="N400" s="188">
        <v>8616.5</v>
      </c>
      <c r="O400" s="188">
        <v>8496.5</v>
      </c>
      <c r="P400" s="188">
        <v>8496.5</v>
      </c>
      <c r="Q400" s="128"/>
      <c r="R400" s="128"/>
      <c r="S400" s="188">
        <v>6988</v>
      </c>
      <c r="T400" s="188">
        <v>6988</v>
      </c>
      <c r="U400" s="188">
        <v>6988</v>
      </c>
      <c r="V400" s="61"/>
      <c r="W400" s="58"/>
      <c r="X400" s="188">
        <v>10107.5</v>
      </c>
      <c r="Y400" s="188">
        <v>9807.5</v>
      </c>
      <c r="Z400" s="128"/>
      <c r="AA400" s="128"/>
      <c r="AB400" s="128"/>
      <c r="AC400" s="188">
        <v>9064.5</v>
      </c>
      <c r="AD400" s="188">
        <v>9064.5</v>
      </c>
      <c r="AE400" s="61"/>
      <c r="AF400" s="65"/>
      <c r="AG400" s="58"/>
      <c r="AH400" s="188">
        <v>10556.5</v>
      </c>
      <c r="AI400" s="128"/>
      <c r="AJ400" s="128"/>
      <c r="AK400" s="128"/>
      <c r="AL400" s="128"/>
      <c r="AM400" s="188">
        <v>7003</v>
      </c>
      <c r="AN400" s="135"/>
      <c r="AO400" s="135"/>
      <c r="AP400" s="135"/>
    </row>
    <row r="401" spans="1:42" x14ac:dyDescent="0.25">
      <c r="A401" t="s">
        <v>87</v>
      </c>
      <c r="B401" t="s">
        <v>40</v>
      </c>
      <c r="C401" s="212" t="str">
        <f t="shared" si="6"/>
        <v>Madison Juvenile Delinquency</v>
      </c>
      <c r="D401" s="188">
        <v>1357</v>
      </c>
      <c r="E401" s="188">
        <v>1357</v>
      </c>
      <c r="F401" s="188">
        <v>1257</v>
      </c>
      <c r="G401" s="188">
        <v>1107</v>
      </c>
      <c r="H401" s="128"/>
      <c r="I401" s="188">
        <v>153.5</v>
      </c>
      <c r="J401" s="188">
        <v>153.5</v>
      </c>
      <c r="K401" s="188">
        <v>257</v>
      </c>
      <c r="L401" s="188">
        <v>257</v>
      </c>
      <c r="M401" s="70"/>
      <c r="N401" s="188">
        <v>1064</v>
      </c>
      <c r="O401" s="188">
        <v>1064</v>
      </c>
      <c r="P401" s="188">
        <v>1064</v>
      </c>
      <c r="Q401" s="128"/>
      <c r="R401" s="128"/>
      <c r="S401" s="188">
        <v>50</v>
      </c>
      <c r="T401" s="188">
        <v>100</v>
      </c>
      <c r="U401" s="188">
        <v>200</v>
      </c>
      <c r="V401" s="61"/>
      <c r="W401" s="58"/>
      <c r="X401" s="188">
        <v>1953.5</v>
      </c>
      <c r="Y401" s="188">
        <v>1953.5</v>
      </c>
      <c r="Z401" s="128"/>
      <c r="AA401" s="128"/>
      <c r="AB401" s="128"/>
      <c r="AC401" s="188">
        <v>150</v>
      </c>
      <c r="AD401" s="188">
        <v>670</v>
      </c>
      <c r="AE401" s="61"/>
      <c r="AF401" s="65"/>
      <c r="AG401" s="58"/>
      <c r="AH401" s="188">
        <v>2650</v>
      </c>
      <c r="AI401" s="128"/>
      <c r="AJ401" s="128"/>
      <c r="AK401" s="128"/>
      <c r="AL401" s="128"/>
      <c r="AM401" s="188">
        <v>90</v>
      </c>
      <c r="AN401" s="135"/>
      <c r="AO401" s="135"/>
      <c r="AP401" s="135"/>
    </row>
    <row r="402" spans="1:42" x14ac:dyDescent="0.25">
      <c r="A402" t="s">
        <v>87</v>
      </c>
      <c r="B402" t="s">
        <v>45</v>
      </c>
      <c r="C402" s="212" t="str">
        <f t="shared" si="6"/>
        <v>Madison Probate</v>
      </c>
      <c r="D402" s="188">
        <v>5681</v>
      </c>
      <c r="E402" s="188">
        <v>5681</v>
      </c>
      <c r="F402" s="188">
        <v>5681</v>
      </c>
      <c r="G402" s="188">
        <v>5681</v>
      </c>
      <c r="H402" s="128"/>
      <c r="I402" s="188">
        <v>5571</v>
      </c>
      <c r="J402" s="188">
        <v>5571</v>
      </c>
      <c r="K402" s="188">
        <v>5571</v>
      </c>
      <c r="L402" s="188">
        <v>5571</v>
      </c>
      <c r="M402" s="70"/>
      <c r="N402" s="188">
        <v>6456</v>
      </c>
      <c r="O402" s="188">
        <v>6456</v>
      </c>
      <c r="P402" s="188">
        <v>6456</v>
      </c>
      <c r="Q402" s="128"/>
      <c r="R402" s="128"/>
      <c r="S402" s="188">
        <v>5766</v>
      </c>
      <c r="T402" s="188">
        <v>5766</v>
      </c>
      <c r="U402" s="188">
        <v>5766</v>
      </c>
      <c r="V402" s="61"/>
      <c r="W402" s="58"/>
      <c r="X402" s="188">
        <v>8864</v>
      </c>
      <c r="Y402" s="188">
        <v>8864</v>
      </c>
      <c r="Z402" s="128"/>
      <c r="AA402" s="128"/>
      <c r="AB402" s="128"/>
      <c r="AC402" s="188">
        <v>8644</v>
      </c>
      <c r="AD402" s="188">
        <v>8644</v>
      </c>
      <c r="AE402" s="61"/>
      <c r="AF402" s="65"/>
      <c r="AG402" s="58"/>
      <c r="AH402" s="188">
        <v>5501</v>
      </c>
      <c r="AI402" s="128"/>
      <c r="AJ402" s="128"/>
      <c r="AK402" s="128"/>
      <c r="AL402" s="128"/>
      <c r="AM402" s="188">
        <v>2356</v>
      </c>
      <c r="AN402" s="135"/>
      <c r="AO402" s="135"/>
      <c r="AP402" s="135"/>
    </row>
    <row r="403" spans="1:42" x14ac:dyDescent="0.25">
      <c r="A403" t="s">
        <v>88</v>
      </c>
      <c r="B403" t="s">
        <v>42</v>
      </c>
      <c r="C403" s="212" t="str">
        <f t="shared" si="6"/>
        <v>Manatee Circuit Civil</v>
      </c>
      <c r="D403" s="188">
        <v>646239.5</v>
      </c>
      <c r="E403" s="188">
        <v>641854.5</v>
      </c>
      <c r="F403" s="188">
        <v>638611.5</v>
      </c>
      <c r="G403" s="188">
        <v>636459.5</v>
      </c>
      <c r="H403" s="128"/>
      <c r="I403" s="188">
        <v>630694</v>
      </c>
      <c r="J403" s="188">
        <v>632241.5</v>
      </c>
      <c r="K403" s="188">
        <v>631731.5</v>
      </c>
      <c r="L403" s="188">
        <v>630086.5</v>
      </c>
      <c r="M403" s="70"/>
      <c r="N403" s="188">
        <v>579146.21</v>
      </c>
      <c r="O403" s="188">
        <v>577113.06000000006</v>
      </c>
      <c r="P403" s="188">
        <v>578313.06000000006</v>
      </c>
      <c r="Q403" s="128"/>
      <c r="R403" s="128"/>
      <c r="S403" s="188">
        <v>546945.71</v>
      </c>
      <c r="T403" s="188">
        <v>567843.06000000006</v>
      </c>
      <c r="U403" s="188">
        <v>567913.06000000006</v>
      </c>
      <c r="V403" s="61"/>
      <c r="W403" s="58"/>
      <c r="X403" s="188">
        <v>690427.66</v>
      </c>
      <c r="Y403" s="188">
        <v>693800.16</v>
      </c>
      <c r="Z403" s="128"/>
      <c r="AA403" s="128"/>
      <c r="AB403" s="128"/>
      <c r="AC403" s="188">
        <v>637775.66</v>
      </c>
      <c r="AD403" s="188">
        <v>668485.16</v>
      </c>
      <c r="AE403" s="61"/>
      <c r="AF403" s="65"/>
      <c r="AG403" s="58"/>
      <c r="AH403" s="188">
        <v>819944.11</v>
      </c>
      <c r="AI403" s="128"/>
      <c r="AJ403" s="128"/>
      <c r="AK403" s="128"/>
      <c r="AL403" s="128"/>
      <c r="AM403" s="188">
        <v>789089.39</v>
      </c>
      <c r="AN403" s="135"/>
      <c r="AO403" s="135"/>
      <c r="AP403" s="135"/>
    </row>
    <row r="404" spans="1:42" x14ac:dyDescent="0.25">
      <c r="A404" t="s">
        <v>88</v>
      </c>
      <c r="B404" t="s">
        <v>38</v>
      </c>
      <c r="C404" s="212" t="str">
        <f t="shared" si="6"/>
        <v>Manatee Circuit Criminal</v>
      </c>
      <c r="D404" s="188">
        <v>572738.42000000004</v>
      </c>
      <c r="E404" s="188">
        <v>568846.66</v>
      </c>
      <c r="F404" s="188">
        <v>568073.66</v>
      </c>
      <c r="G404" s="188">
        <v>574827.43000000005</v>
      </c>
      <c r="H404" s="128"/>
      <c r="I404" s="188">
        <v>20634.18</v>
      </c>
      <c r="J404" s="188">
        <v>37151.339999999997</v>
      </c>
      <c r="K404" s="188">
        <v>52020.63</v>
      </c>
      <c r="L404" s="188">
        <v>69247.149999999994</v>
      </c>
      <c r="M404" s="70"/>
      <c r="N404" s="188">
        <v>486207.03</v>
      </c>
      <c r="O404" s="188">
        <v>482895.53</v>
      </c>
      <c r="P404" s="188">
        <v>489007.53</v>
      </c>
      <c r="Q404" s="128"/>
      <c r="R404" s="128"/>
      <c r="S404" s="188">
        <v>24485.84</v>
      </c>
      <c r="T404" s="188">
        <v>39428.400000000001</v>
      </c>
      <c r="U404" s="188">
        <v>50419.79</v>
      </c>
      <c r="V404" s="61"/>
      <c r="W404" s="58"/>
      <c r="X404" s="188">
        <v>602076.71</v>
      </c>
      <c r="Y404" s="188">
        <v>610195.57999999996</v>
      </c>
      <c r="Z404" s="128"/>
      <c r="AA404" s="128"/>
      <c r="AB404" s="128"/>
      <c r="AC404" s="188">
        <v>18441.57</v>
      </c>
      <c r="AD404" s="188">
        <v>35089.5</v>
      </c>
      <c r="AE404" s="61"/>
      <c r="AF404" s="65"/>
      <c r="AG404" s="58"/>
      <c r="AH404" s="188">
        <v>706918</v>
      </c>
      <c r="AI404" s="128"/>
      <c r="AJ404" s="128"/>
      <c r="AK404" s="128"/>
      <c r="AL404" s="128"/>
      <c r="AM404" s="188">
        <v>24366.26</v>
      </c>
      <c r="AN404" s="135"/>
      <c r="AO404" s="135"/>
      <c r="AP404" s="135"/>
    </row>
    <row r="405" spans="1:42" x14ac:dyDescent="0.25">
      <c r="A405" t="s">
        <v>88</v>
      </c>
      <c r="B405" t="s">
        <v>265</v>
      </c>
      <c r="C405" s="212" t="str">
        <f t="shared" si="6"/>
        <v>Manatee Circuit Criminal Drug Cases</v>
      </c>
      <c r="D405" s="188">
        <v>157918</v>
      </c>
      <c r="E405" s="188">
        <v>157918</v>
      </c>
      <c r="F405" s="188">
        <v>157918</v>
      </c>
      <c r="H405" s="63"/>
      <c r="I405" s="188">
        <v>0</v>
      </c>
      <c r="J405" s="188">
        <v>0</v>
      </c>
      <c r="K405" s="188">
        <v>0</v>
      </c>
      <c r="N405" s="188">
        <v>105418</v>
      </c>
      <c r="O405" s="188">
        <v>105418</v>
      </c>
      <c r="Q405" s="63"/>
      <c r="R405" s="63"/>
      <c r="S405" s="188">
        <v>0</v>
      </c>
      <c r="T405" s="188">
        <v>0</v>
      </c>
      <c r="X405" s="188">
        <v>210418</v>
      </c>
      <c r="Y405" s="188"/>
      <c r="Z405" s="63"/>
      <c r="AB405" s="63"/>
      <c r="AC405" s="188">
        <v>0</v>
      </c>
      <c r="AD405" s="188"/>
      <c r="AH405" s="188">
        <v>52918</v>
      </c>
      <c r="AI405" s="63"/>
      <c r="AL405" s="63"/>
      <c r="AM405" s="188">
        <v>0</v>
      </c>
    </row>
    <row r="406" spans="1:42" x14ac:dyDescent="0.25">
      <c r="A406" t="s">
        <v>88</v>
      </c>
      <c r="B406" t="s">
        <v>44</v>
      </c>
      <c r="C406" s="212" t="str">
        <f t="shared" si="6"/>
        <v>Manatee Civil Traffic</v>
      </c>
      <c r="D406" s="188">
        <v>1207805.55</v>
      </c>
      <c r="E406" s="188">
        <v>1352997.88</v>
      </c>
      <c r="F406" s="188">
        <v>1346388.25</v>
      </c>
      <c r="G406" s="188">
        <v>1343177.47</v>
      </c>
      <c r="H406" s="128"/>
      <c r="I406" s="188">
        <v>601718.80000000005</v>
      </c>
      <c r="J406" s="188">
        <v>1044274.36</v>
      </c>
      <c r="K406" s="188">
        <v>1155813.0900000001</v>
      </c>
      <c r="L406" s="188">
        <v>1179707.05</v>
      </c>
      <c r="M406" s="70"/>
      <c r="N406" s="188">
        <v>1297740.8999999999</v>
      </c>
      <c r="O406" s="188">
        <v>1454418.68</v>
      </c>
      <c r="P406" s="188">
        <v>1460947.01</v>
      </c>
      <c r="Q406" s="128"/>
      <c r="R406" s="128"/>
      <c r="S406" s="188">
        <v>730001.15</v>
      </c>
      <c r="T406" s="188">
        <v>1142401.9099999999</v>
      </c>
      <c r="U406" s="188">
        <v>1260826.24</v>
      </c>
      <c r="V406" s="61"/>
      <c r="W406" s="58"/>
      <c r="X406" s="188">
        <v>1472172.83</v>
      </c>
      <c r="Y406" s="188">
        <v>1640385.03</v>
      </c>
      <c r="Z406" s="128"/>
      <c r="AA406" s="128"/>
      <c r="AB406" s="128"/>
      <c r="AC406" s="188">
        <v>751057.93</v>
      </c>
      <c r="AD406" s="188">
        <v>1266097.1399999999</v>
      </c>
      <c r="AE406" s="61"/>
      <c r="AF406" s="65"/>
      <c r="AG406" s="58"/>
      <c r="AH406" s="188">
        <v>1228092.8700000001</v>
      </c>
      <c r="AI406" s="128"/>
      <c r="AJ406" s="128"/>
      <c r="AK406" s="128"/>
      <c r="AL406" s="128"/>
      <c r="AM406" s="188">
        <v>635865.06999999995</v>
      </c>
      <c r="AN406" s="135"/>
      <c r="AO406" s="135"/>
      <c r="AP406" s="135"/>
    </row>
    <row r="407" spans="1:42" x14ac:dyDescent="0.25">
      <c r="A407" t="s">
        <v>88</v>
      </c>
      <c r="B407" t="s">
        <v>43</v>
      </c>
      <c r="C407" s="212" t="str">
        <f t="shared" si="6"/>
        <v>Manatee County Civil</v>
      </c>
      <c r="D407" s="188">
        <v>323828.40000000002</v>
      </c>
      <c r="E407" s="188">
        <v>322513.40000000002</v>
      </c>
      <c r="F407" s="188">
        <v>322513.40000000002</v>
      </c>
      <c r="G407" s="188">
        <v>322223.40000000002</v>
      </c>
      <c r="H407" s="128"/>
      <c r="I407" s="188">
        <v>315412.90000000002</v>
      </c>
      <c r="J407" s="188">
        <v>317502.90000000002</v>
      </c>
      <c r="K407" s="188">
        <v>317177.90000000002</v>
      </c>
      <c r="L407" s="188">
        <v>317262.90000000002</v>
      </c>
      <c r="M407" s="70"/>
      <c r="N407" s="188">
        <v>318578.92</v>
      </c>
      <c r="O407" s="188">
        <v>318838.42</v>
      </c>
      <c r="P407" s="188">
        <v>320168.92</v>
      </c>
      <c r="Q407" s="128"/>
      <c r="R407" s="128"/>
      <c r="S407" s="188">
        <v>312904.49</v>
      </c>
      <c r="T407" s="188">
        <v>316711.42</v>
      </c>
      <c r="U407" s="188">
        <v>316731.42</v>
      </c>
      <c r="V407" s="61"/>
      <c r="W407" s="58"/>
      <c r="X407" s="188">
        <v>308610.65999999997</v>
      </c>
      <c r="Y407" s="188">
        <v>309040.65999999997</v>
      </c>
      <c r="Z407" s="128"/>
      <c r="AA407" s="128"/>
      <c r="AB407" s="128"/>
      <c r="AC407" s="188">
        <v>298743.65999999997</v>
      </c>
      <c r="AD407" s="188">
        <v>300763.65999999997</v>
      </c>
      <c r="AE407" s="61"/>
      <c r="AF407" s="65"/>
      <c r="AG407" s="58"/>
      <c r="AH407" s="188">
        <v>330542.92</v>
      </c>
      <c r="AI407" s="128"/>
      <c r="AJ407" s="128"/>
      <c r="AK407" s="128"/>
      <c r="AL407" s="128"/>
      <c r="AM407" s="188">
        <v>320009.42</v>
      </c>
      <c r="AN407" s="135"/>
      <c r="AO407" s="135"/>
      <c r="AP407" s="135"/>
    </row>
    <row r="408" spans="1:42" x14ac:dyDescent="0.25">
      <c r="A408" t="s">
        <v>88</v>
      </c>
      <c r="B408" t="s">
        <v>39</v>
      </c>
      <c r="C408" s="212" t="str">
        <f t="shared" si="6"/>
        <v>Manatee County Criminal</v>
      </c>
      <c r="D408" s="188">
        <v>281484.75</v>
      </c>
      <c r="E408" s="188">
        <v>276145.5</v>
      </c>
      <c r="F408" s="188">
        <v>274354.25</v>
      </c>
      <c r="G408" s="188">
        <v>277204.5</v>
      </c>
      <c r="H408" s="128"/>
      <c r="I408" s="188">
        <v>45124.4</v>
      </c>
      <c r="J408" s="188">
        <v>73563.100000000006</v>
      </c>
      <c r="K408" s="188">
        <v>88645.35</v>
      </c>
      <c r="L408" s="188">
        <v>96288.85</v>
      </c>
      <c r="M408" s="70"/>
      <c r="N408" s="188">
        <v>301215.5</v>
      </c>
      <c r="O408" s="188">
        <v>293551</v>
      </c>
      <c r="P408" s="188">
        <v>290266.75</v>
      </c>
      <c r="Q408" s="128"/>
      <c r="R408" s="128"/>
      <c r="S408" s="188">
        <v>57102.25</v>
      </c>
      <c r="T408" s="188">
        <v>85215.42</v>
      </c>
      <c r="U408" s="188">
        <v>99482.42</v>
      </c>
      <c r="V408" s="61"/>
      <c r="W408" s="58"/>
      <c r="X408" s="188">
        <v>303006.40000000002</v>
      </c>
      <c r="Y408" s="188">
        <v>294510.90000000002</v>
      </c>
      <c r="Z408" s="128"/>
      <c r="AA408" s="128"/>
      <c r="AB408" s="128"/>
      <c r="AC408" s="188">
        <v>56244.800000000003</v>
      </c>
      <c r="AD408" s="188">
        <v>90014.06</v>
      </c>
      <c r="AE408" s="61"/>
      <c r="AF408" s="65"/>
      <c r="AG408" s="58"/>
      <c r="AH408" s="188">
        <v>293115.34000000003</v>
      </c>
      <c r="AI408" s="128"/>
      <c r="AJ408" s="128"/>
      <c r="AK408" s="128"/>
      <c r="AL408" s="128"/>
      <c r="AM408" s="188">
        <v>43793.66</v>
      </c>
      <c r="AN408" s="135"/>
      <c r="AO408" s="135"/>
      <c r="AP408" s="135"/>
    </row>
    <row r="409" spans="1:42" x14ac:dyDescent="0.25">
      <c r="A409" t="s">
        <v>88</v>
      </c>
      <c r="B409" t="s">
        <v>41</v>
      </c>
      <c r="C409" s="212" t="str">
        <f t="shared" si="6"/>
        <v>Manatee Criminal Traffic</v>
      </c>
      <c r="D409" s="188">
        <v>443868.25</v>
      </c>
      <c r="E409" s="188">
        <v>439746</v>
      </c>
      <c r="F409" s="188">
        <v>425505</v>
      </c>
      <c r="G409" s="188">
        <v>424390.75</v>
      </c>
      <c r="H409" s="128"/>
      <c r="I409" s="188">
        <v>126108.25</v>
      </c>
      <c r="J409" s="188">
        <v>190379.26</v>
      </c>
      <c r="K409" s="188">
        <v>219773.3</v>
      </c>
      <c r="L409" s="188">
        <v>244656.73</v>
      </c>
      <c r="M409" s="70"/>
      <c r="N409" s="188">
        <v>458907.2</v>
      </c>
      <c r="O409" s="188">
        <v>448700.45</v>
      </c>
      <c r="P409" s="188">
        <v>452385.7</v>
      </c>
      <c r="Q409" s="128"/>
      <c r="R409" s="128"/>
      <c r="S409" s="188">
        <v>134906.67000000001</v>
      </c>
      <c r="T409" s="188">
        <v>194606.47</v>
      </c>
      <c r="U409" s="188">
        <v>223810.45</v>
      </c>
      <c r="V409" s="61"/>
      <c r="W409" s="58"/>
      <c r="X409" s="188">
        <v>540986.25</v>
      </c>
      <c r="Y409" s="188">
        <v>540723.75</v>
      </c>
      <c r="Z409" s="128"/>
      <c r="AA409" s="128"/>
      <c r="AB409" s="128"/>
      <c r="AC409" s="188">
        <v>152823.5</v>
      </c>
      <c r="AD409" s="188">
        <v>225868</v>
      </c>
      <c r="AE409" s="61"/>
      <c r="AF409" s="65"/>
      <c r="AG409" s="58"/>
      <c r="AH409" s="188">
        <v>426295.02</v>
      </c>
      <c r="AI409" s="128"/>
      <c r="AJ409" s="128"/>
      <c r="AK409" s="128"/>
      <c r="AL409" s="128"/>
      <c r="AM409" s="188">
        <v>118818.77</v>
      </c>
      <c r="AN409" s="135"/>
      <c r="AO409" s="135"/>
      <c r="AP409" s="135"/>
    </row>
    <row r="410" spans="1:42" x14ac:dyDescent="0.25">
      <c r="A410" t="s">
        <v>88</v>
      </c>
      <c r="B410" t="s">
        <v>46</v>
      </c>
      <c r="C410" s="212" t="str">
        <f t="shared" si="6"/>
        <v>Manatee Family</v>
      </c>
      <c r="D410" s="188">
        <v>155504.09</v>
      </c>
      <c r="E410" s="188">
        <v>152519.09</v>
      </c>
      <c r="F410" s="188">
        <v>151826.59</v>
      </c>
      <c r="G410" s="188">
        <v>151409.09</v>
      </c>
      <c r="H410" s="128"/>
      <c r="I410" s="188">
        <v>126061.09</v>
      </c>
      <c r="J410" s="188">
        <v>129228.59</v>
      </c>
      <c r="K410" s="188">
        <v>129946.09</v>
      </c>
      <c r="L410" s="188">
        <v>130343.59</v>
      </c>
      <c r="M410" s="70"/>
      <c r="N410" s="188">
        <v>152777.5</v>
      </c>
      <c r="O410" s="188">
        <v>153742.5</v>
      </c>
      <c r="P410" s="188">
        <v>154037.5</v>
      </c>
      <c r="Q410" s="128"/>
      <c r="R410" s="128"/>
      <c r="S410" s="188">
        <v>136077</v>
      </c>
      <c r="T410" s="188">
        <v>138344.5</v>
      </c>
      <c r="U410" s="188">
        <v>138639.5</v>
      </c>
      <c r="V410" s="61"/>
      <c r="W410" s="58"/>
      <c r="X410" s="188">
        <v>161411.5</v>
      </c>
      <c r="Y410" s="188">
        <v>158816.5</v>
      </c>
      <c r="Z410" s="128"/>
      <c r="AA410" s="128"/>
      <c r="AB410" s="128"/>
      <c r="AC410" s="188">
        <v>140821</v>
      </c>
      <c r="AD410" s="188">
        <v>143308.5</v>
      </c>
      <c r="AE410" s="61"/>
      <c r="AF410" s="65"/>
      <c r="AG410" s="58"/>
      <c r="AH410" s="188">
        <v>166792.24</v>
      </c>
      <c r="AI410" s="128"/>
      <c r="AJ410" s="128"/>
      <c r="AK410" s="128"/>
      <c r="AL410" s="128"/>
      <c r="AM410" s="188">
        <v>132624.74</v>
      </c>
      <c r="AN410" s="135"/>
      <c r="AO410" s="135"/>
      <c r="AP410" s="135"/>
    </row>
    <row r="411" spans="1:42" x14ac:dyDescent="0.25">
      <c r="A411" t="s">
        <v>88</v>
      </c>
      <c r="B411" t="s">
        <v>40</v>
      </c>
      <c r="C411" s="212" t="str">
        <f t="shared" si="6"/>
        <v>Manatee Juvenile Delinquency</v>
      </c>
      <c r="D411" s="188">
        <v>6964</v>
      </c>
      <c r="E411" s="188">
        <v>6964</v>
      </c>
      <c r="F411" s="188">
        <v>6964</v>
      </c>
      <c r="G411" s="188">
        <v>7014</v>
      </c>
      <c r="H411" s="128"/>
      <c r="I411" s="188">
        <v>2414</v>
      </c>
      <c r="J411" s="188">
        <v>2564</v>
      </c>
      <c r="K411" s="188">
        <v>2936</v>
      </c>
      <c r="L411" s="188">
        <v>3036</v>
      </c>
      <c r="M411" s="70"/>
      <c r="N411" s="188">
        <v>6396.5</v>
      </c>
      <c r="O411" s="188">
        <v>6396.5</v>
      </c>
      <c r="P411" s="188">
        <v>6396.5</v>
      </c>
      <c r="Q411" s="128"/>
      <c r="R411" s="128"/>
      <c r="S411" s="188">
        <v>2117.5</v>
      </c>
      <c r="T411" s="188">
        <v>2267.5</v>
      </c>
      <c r="U411" s="188">
        <v>2417.5</v>
      </c>
      <c r="V411" s="61"/>
      <c r="W411" s="58"/>
      <c r="X411" s="188">
        <v>7421</v>
      </c>
      <c r="Y411" s="188">
        <v>7417.5</v>
      </c>
      <c r="Z411" s="128"/>
      <c r="AA411" s="128"/>
      <c r="AB411" s="128"/>
      <c r="AC411" s="188">
        <v>2577.5</v>
      </c>
      <c r="AD411" s="188">
        <v>2727.5</v>
      </c>
      <c r="AE411" s="61"/>
      <c r="AF411" s="65"/>
      <c r="AG411" s="58"/>
      <c r="AH411" s="188">
        <v>8037.5</v>
      </c>
      <c r="AI411" s="128"/>
      <c r="AJ411" s="128"/>
      <c r="AK411" s="128"/>
      <c r="AL411" s="128"/>
      <c r="AM411" s="188">
        <v>2322</v>
      </c>
      <c r="AN411" s="135"/>
      <c r="AO411" s="135"/>
      <c r="AP411" s="135"/>
    </row>
    <row r="412" spans="1:42" x14ac:dyDescent="0.25">
      <c r="A412" t="s">
        <v>88</v>
      </c>
      <c r="B412" t="s">
        <v>45</v>
      </c>
      <c r="C412" s="212" t="str">
        <f t="shared" si="6"/>
        <v>Manatee Probate</v>
      </c>
      <c r="D412" s="188">
        <v>120558.45</v>
      </c>
      <c r="E412" s="188">
        <v>119968.45</v>
      </c>
      <c r="F412" s="188">
        <v>119968.45</v>
      </c>
      <c r="G412" s="188">
        <v>119968.45</v>
      </c>
      <c r="H412" s="128"/>
      <c r="I412" s="188">
        <v>115834.45</v>
      </c>
      <c r="J412" s="188">
        <v>115934.45</v>
      </c>
      <c r="K412" s="188">
        <v>116565.45</v>
      </c>
      <c r="L412" s="188">
        <v>116565.45</v>
      </c>
      <c r="M412" s="70"/>
      <c r="N412" s="188">
        <v>135075</v>
      </c>
      <c r="O412" s="188">
        <v>153742.5</v>
      </c>
      <c r="P412" s="188">
        <v>136835</v>
      </c>
      <c r="Q412" s="128"/>
      <c r="R412" s="128"/>
      <c r="S412" s="188">
        <v>127089.5</v>
      </c>
      <c r="T412" s="188">
        <v>138344.5</v>
      </c>
      <c r="U412" s="188">
        <v>131337.5</v>
      </c>
      <c r="V412" s="61"/>
      <c r="W412" s="58"/>
      <c r="X412" s="188">
        <v>140808.45000000001</v>
      </c>
      <c r="Y412" s="188">
        <v>140879.45000000001</v>
      </c>
      <c r="Z412" s="128"/>
      <c r="AA412" s="128"/>
      <c r="AB412" s="128"/>
      <c r="AC412" s="188">
        <v>133304.45000000001</v>
      </c>
      <c r="AD412" s="188">
        <v>136278.45000000001</v>
      </c>
      <c r="AE412" s="61"/>
      <c r="AF412" s="65"/>
      <c r="AG412" s="58"/>
      <c r="AH412" s="188">
        <v>128297.42</v>
      </c>
      <c r="AI412" s="128"/>
      <c r="AJ412" s="128"/>
      <c r="AK412" s="128"/>
      <c r="AL412" s="128"/>
      <c r="AM412" s="188">
        <v>121330.42</v>
      </c>
      <c r="AN412" s="135"/>
      <c r="AO412" s="135"/>
      <c r="AP412" s="135"/>
    </row>
    <row r="413" spans="1:42" x14ac:dyDescent="0.25">
      <c r="A413" t="s">
        <v>89</v>
      </c>
      <c r="B413" t="s">
        <v>42</v>
      </c>
      <c r="C413" s="212" t="str">
        <f t="shared" si="6"/>
        <v>Marion Circuit Civil</v>
      </c>
      <c r="D413" s="188">
        <v>703746.42</v>
      </c>
      <c r="E413" s="188">
        <v>704696.42</v>
      </c>
      <c r="F413" s="188">
        <v>0</v>
      </c>
      <c r="G413" s="188">
        <v>665220.81999999995</v>
      </c>
      <c r="H413" s="128"/>
      <c r="I413" s="188">
        <v>693418.21</v>
      </c>
      <c r="J413" s="188">
        <v>696386.21</v>
      </c>
      <c r="K413" s="188">
        <v>0</v>
      </c>
      <c r="L413" s="188">
        <v>642958.80000000005</v>
      </c>
      <c r="M413" s="70"/>
      <c r="N413" s="188">
        <v>683429.04</v>
      </c>
      <c r="O413" s="188">
        <v>0</v>
      </c>
      <c r="P413" s="188">
        <v>647591.66</v>
      </c>
      <c r="Q413" s="128"/>
      <c r="R413" s="128"/>
      <c r="S413" s="188">
        <v>666194.36</v>
      </c>
      <c r="T413" s="188">
        <v>0</v>
      </c>
      <c r="U413" s="188">
        <v>629338.79</v>
      </c>
      <c r="V413" s="61"/>
      <c r="W413" s="58"/>
      <c r="X413" s="188">
        <v>0</v>
      </c>
      <c r="Y413" s="188">
        <v>718080.56</v>
      </c>
      <c r="Z413" s="128"/>
      <c r="AA413" s="128"/>
      <c r="AB413" s="128"/>
      <c r="AC413" s="188">
        <v>0</v>
      </c>
      <c r="AD413" s="188">
        <v>686175.2</v>
      </c>
      <c r="AE413" s="61"/>
      <c r="AF413" s="65"/>
      <c r="AG413" s="58"/>
      <c r="AH413" s="188">
        <v>712573.46</v>
      </c>
      <c r="AI413" s="128"/>
      <c r="AJ413" s="128"/>
      <c r="AK413" s="128"/>
      <c r="AL413" s="128"/>
      <c r="AM413" s="188">
        <v>697344.8</v>
      </c>
      <c r="AN413" s="135"/>
      <c r="AO413" s="135"/>
      <c r="AP413" s="135"/>
    </row>
    <row r="414" spans="1:42" x14ac:dyDescent="0.25">
      <c r="A414" t="s">
        <v>89</v>
      </c>
      <c r="B414" t="s">
        <v>38</v>
      </c>
      <c r="C414" s="212" t="str">
        <f t="shared" si="6"/>
        <v>Marion Circuit Criminal</v>
      </c>
      <c r="D414" s="188">
        <v>4414539.8499999996</v>
      </c>
      <c r="E414" s="188">
        <v>4410287.95</v>
      </c>
      <c r="F414" s="188">
        <v>0</v>
      </c>
      <c r="G414" s="188">
        <v>1806736.31</v>
      </c>
      <c r="H414" s="128"/>
      <c r="I414" s="188">
        <v>54207.61</v>
      </c>
      <c r="J414" s="188">
        <v>100811.56</v>
      </c>
      <c r="K414" s="188">
        <v>0</v>
      </c>
      <c r="L414" s="188">
        <v>136140.87</v>
      </c>
      <c r="M414" s="70"/>
      <c r="N414" s="188">
        <v>2302480.96</v>
      </c>
      <c r="O414" s="188">
        <v>0</v>
      </c>
      <c r="P414" s="188">
        <v>1427396.8</v>
      </c>
      <c r="Q414" s="128"/>
      <c r="R414" s="128"/>
      <c r="S414" s="188">
        <v>65742.17</v>
      </c>
      <c r="T414" s="188">
        <v>0</v>
      </c>
      <c r="U414" s="188">
        <v>113889.09</v>
      </c>
      <c r="V414" s="61"/>
      <c r="W414" s="58"/>
      <c r="X414" s="188">
        <v>0</v>
      </c>
      <c r="Y414" s="188">
        <v>2833708.26</v>
      </c>
      <c r="Z414" s="128"/>
      <c r="AA414" s="128"/>
      <c r="AB414" s="128"/>
      <c r="AC414" s="188">
        <v>0</v>
      </c>
      <c r="AD414" s="188">
        <v>80946.75</v>
      </c>
      <c r="AE414" s="61"/>
      <c r="AF414" s="65"/>
      <c r="AG414" s="58"/>
      <c r="AH414" s="188">
        <v>5969958.9800000004</v>
      </c>
      <c r="AI414" s="128"/>
      <c r="AJ414" s="128"/>
      <c r="AK414" s="128"/>
      <c r="AL414" s="128"/>
      <c r="AM414" s="188">
        <v>43851.99</v>
      </c>
      <c r="AN414" s="135"/>
      <c r="AO414" s="135"/>
      <c r="AP414" s="135"/>
    </row>
    <row r="415" spans="1:42" x14ac:dyDescent="0.25">
      <c r="A415" t="s">
        <v>89</v>
      </c>
      <c r="B415" t="s">
        <v>265</v>
      </c>
      <c r="C415" s="212" t="str">
        <f t="shared" si="6"/>
        <v>Marion Circuit Criminal Drug Cases</v>
      </c>
      <c r="D415" s="188">
        <v>1433653.88</v>
      </c>
      <c r="E415" s="188">
        <v>1337091.23</v>
      </c>
      <c r="F415" s="188">
        <v>0</v>
      </c>
      <c r="G415" s="188">
        <v>873126.88</v>
      </c>
      <c r="H415" s="63"/>
      <c r="I415" s="188">
        <v>13054.03</v>
      </c>
      <c r="J415" s="188">
        <v>21883.84</v>
      </c>
      <c r="K415" s="188">
        <v>0</v>
      </c>
      <c r="L415" s="188">
        <v>736.01</v>
      </c>
      <c r="N415" s="188">
        <v>562477.77</v>
      </c>
      <c r="O415" s="188">
        <v>0</v>
      </c>
      <c r="P415" s="188">
        <v>553745.62</v>
      </c>
      <c r="Q415" s="63"/>
      <c r="R415" s="63"/>
      <c r="S415" s="188">
        <v>18749.57</v>
      </c>
      <c r="T415" s="188">
        <v>0</v>
      </c>
      <c r="U415" s="188">
        <v>157.66</v>
      </c>
      <c r="X415" s="188">
        <v>0</v>
      </c>
      <c r="Y415" s="188">
        <v>541462.1</v>
      </c>
      <c r="Z415" s="63"/>
      <c r="AB415" s="63"/>
      <c r="AC415" s="188">
        <v>0</v>
      </c>
      <c r="AD415" s="188">
        <v>1266.69</v>
      </c>
      <c r="AH415" s="188">
        <v>1485733.89</v>
      </c>
      <c r="AI415" s="63"/>
      <c r="AL415" s="63"/>
      <c r="AM415" s="188">
        <v>589.78</v>
      </c>
    </row>
    <row r="416" spans="1:42" x14ac:dyDescent="0.25">
      <c r="A416" t="s">
        <v>89</v>
      </c>
      <c r="B416" t="s">
        <v>44</v>
      </c>
      <c r="C416" s="212" t="str">
        <f t="shared" si="6"/>
        <v>Marion Civil Traffic</v>
      </c>
      <c r="D416" s="188">
        <v>1249454.6499999999</v>
      </c>
      <c r="E416" s="188">
        <v>1186066.55</v>
      </c>
      <c r="F416" s="188">
        <v>0</v>
      </c>
      <c r="G416" s="188">
        <v>1289163.5</v>
      </c>
      <c r="H416" s="128"/>
      <c r="I416" s="188">
        <v>668381.94999999995</v>
      </c>
      <c r="J416" s="188">
        <v>1036539.54</v>
      </c>
      <c r="K416" s="188">
        <v>0</v>
      </c>
      <c r="L416" s="188">
        <v>1136903.8400000001</v>
      </c>
      <c r="M416" s="70"/>
      <c r="N416" s="188">
        <v>1389959</v>
      </c>
      <c r="O416" s="188">
        <v>0</v>
      </c>
      <c r="P416" s="188">
        <v>1527625.87</v>
      </c>
      <c r="Q416" s="128"/>
      <c r="R416" s="128"/>
      <c r="S416" s="188">
        <v>772376.75</v>
      </c>
      <c r="T416" s="188">
        <v>0</v>
      </c>
      <c r="U416" s="188">
        <v>1329646.1499999999</v>
      </c>
      <c r="V416" s="61"/>
      <c r="W416" s="58"/>
      <c r="X416" s="188">
        <v>0</v>
      </c>
      <c r="Y416" s="188">
        <v>1678474.29</v>
      </c>
      <c r="Z416" s="128"/>
      <c r="AA416" s="128"/>
      <c r="AB416" s="128"/>
      <c r="AC416" s="188">
        <v>0</v>
      </c>
      <c r="AD416" s="188">
        <v>886058.9</v>
      </c>
      <c r="AE416" s="61"/>
      <c r="AF416" s="65"/>
      <c r="AG416" s="58"/>
      <c r="AH416" s="188">
        <v>1174511.5</v>
      </c>
      <c r="AI416" s="128"/>
      <c r="AJ416" s="128"/>
      <c r="AK416" s="128"/>
      <c r="AL416" s="128"/>
      <c r="AM416" s="188">
        <v>606330</v>
      </c>
      <c r="AN416" s="135"/>
      <c r="AO416" s="135"/>
      <c r="AP416" s="135"/>
    </row>
    <row r="417" spans="1:42" x14ac:dyDescent="0.25">
      <c r="A417" t="s">
        <v>89</v>
      </c>
      <c r="B417" t="s">
        <v>43</v>
      </c>
      <c r="C417" s="212" t="str">
        <f t="shared" si="6"/>
        <v>Marion County Civil</v>
      </c>
      <c r="D417" s="188">
        <v>295098.59000000003</v>
      </c>
      <c r="E417" s="188">
        <v>294198.59000000003</v>
      </c>
      <c r="F417" s="188">
        <v>0</v>
      </c>
      <c r="G417" s="188">
        <v>283501.84000000003</v>
      </c>
      <c r="H417" s="128"/>
      <c r="I417" s="188">
        <v>292939.39</v>
      </c>
      <c r="J417" s="188">
        <v>292308.89</v>
      </c>
      <c r="K417" s="188">
        <v>0</v>
      </c>
      <c r="L417" s="188">
        <v>277675.03999999998</v>
      </c>
      <c r="M417" s="70"/>
      <c r="N417" s="188">
        <v>301684.02</v>
      </c>
      <c r="O417" s="188">
        <v>0</v>
      </c>
      <c r="P417" s="188">
        <v>301854.88</v>
      </c>
      <c r="Q417" s="128"/>
      <c r="R417" s="128"/>
      <c r="S417" s="188">
        <v>299706.82</v>
      </c>
      <c r="T417" s="188">
        <v>0</v>
      </c>
      <c r="U417" s="188">
        <v>292953.64</v>
      </c>
      <c r="V417" s="61"/>
      <c r="W417" s="58"/>
      <c r="X417" s="188">
        <v>0</v>
      </c>
      <c r="Y417" s="188">
        <v>293332.01</v>
      </c>
      <c r="Z417" s="128"/>
      <c r="AA417" s="128"/>
      <c r="AB417" s="128"/>
      <c r="AC417" s="188">
        <v>0</v>
      </c>
      <c r="AD417" s="188">
        <v>286665.31</v>
      </c>
      <c r="AE417" s="61"/>
      <c r="AF417" s="65"/>
      <c r="AG417" s="58"/>
      <c r="AH417" s="188">
        <v>283966.03999999998</v>
      </c>
      <c r="AI417" s="128"/>
      <c r="AJ417" s="128"/>
      <c r="AK417" s="128"/>
      <c r="AL417" s="128"/>
      <c r="AM417" s="188">
        <v>282547.03999999998</v>
      </c>
      <c r="AN417" s="135"/>
      <c r="AO417" s="135"/>
      <c r="AP417" s="135"/>
    </row>
    <row r="418" spans="1:42" x14ac:dyDescent="0.25">
      <c r="A418" t="s">
        <v>89</v>
      </c>
      <c r="B418" t="s">
        <v>39</v>
      </c>
      <c r="C418" s="212" t="str">
        <f t="shared" si="6"/>
        <v>Marion County Criminal</v>
      </c>
      <c r="D418" s="188">
        <v>437641.23</v>
      </c>
      <c r="E418" s="188">
        <v>435979.73</v>
      </c>
      <c r="F418" s="188">
        <v>0</v>
      </c>
      <c r="G418" s="188">
        <v>408623.82</v>
      </c>
      <c r="H418" s="128"/>
      <c r="I418" s="188">
        <v>55214.04</v>
      </c>
      <c r="J418" s="188">
        <v>108491.67</v>
      </c>
      <c r="K418" s="188">
        <v>0</v>
      </c>
      <c r="L418" s="188">
        <v>140495.73000000001</v>
      </c>
      <c r="M418" s="70"/>
      <c r="N418" s="188">
        <v>410349.98</v>
      </c>
      <c r="O418" s="188">
        <v>0</v>
      </c>
      <c r="P418" s="188">
        <v>388769.8</v>
      </c>
      <c r="Q418" s="128"/>
      <c r="R418" s="128"/>
      <c r="S418" s="188">
        <v>52616.49</v>
      </c>
      <c r="T418" s="188">
        <v>0</v>
      </c>
      <c r="U418" s="188">
        <v>112794.86</v>
      </c>
      <c r="V418" s="61"/>
      <c r="W418" s="58"/>
      <c r="X418" s="188">
        <v>0</v>
      </c>
      <c r="Y418" s="188">
        <v>433398.6</v>
      </c>
      <c r="Z418" s="128"/>
      <c r="AA418" s="128"/>
      <c r="AB418" s="128"/>
      <c r="AC418" s="188">
        <v>0</v>
      </c>
      <c r="AD418" s="188">
        <v>52490.65</v>
      </c>
      <c r="AE418" s="61"/>
      <c r="AF418" s="65"/>
      <c r="AG418" s="58"/>
      <c r="AH418" s="188">
        <v>498369.98</v>
      </c>
      <c r="AI418" s="128"/>
      <c r="AJ418" s="128"/>
      <c r="AK418" s="128"/>
      <c r="AL418" s="128"/>
      <c r="AM418" s="188">
        <v>66025.070000000007</v>
      </c>
      <c r="AN418" s="135"/>
      <c r="AO418" s="135"/>
      <c r="AP418" s="135"/>
    </row>
    <row r="419" spans="1:42" x14ac:dyDescent="0.25">
      <c r="A419" t="s">
        <v>89</v>
      </c>
      <c r="B419" t="s">
        <v>41</v>
      </c>
      <c r="C419" s="212" t="str">
        <f t="shared" si="6"/>
        <v>Marion Criminal Traffic</v>
      </c>
      <c r="D419" s="188">
        <v>545727.92000000004</v>
      </c>
      <c r="E419" s="188">
        <v>551857.17000000004</v>
      </c>
      <c r="F419" s="188">
        <v>0</v>
      </c>
      <c r="G419" s="188">
        <v>507906.23</v>
      </c>
      <c r="H419" s="128"/>
      <c r="I419" s="188">
        <v>107801.86</v>
      </c>
      <c r="J419" s="188">
        <v>270070.67</v>
      </c>
      <c r="K419" s="188">
        <v>0</v>
      </c>
      <c r="L419" s="188">
        <v>294505.58</v>
      </c>
      <c r="M419" s="70"/>
      <c r="N419" s="188">
        <v>489155.47</v>
      </c>
      <c r="O419" s="188">
        <v>0</v>
      </c>
      <c r="P419" s="188">
        <v>466742.89</v>
      </c>
      <c r="Q419" s="128"/>
      <c r="R419" s="128"/>
      <c r="S419" s="188">
        <v>98054.37</v>
      </c>
      <c r="T419" s="188">
        <v>0</v>
      </c>
      <c r="U419" s="188">
        <v>236554.23999999999</v>
      </c>
      <c r="V419" s="61"/>
      <c r="W419" s="58"/>
      <c r="X419" s="188">
        <v>0</v>
      </c>
      <c r="Y419" s="188">
        <v>459874.86</v>
      </c>
      <c r="Z419" s="128"/>
      <c r="AA419" s="128"/>
      <c r="AB419" s="128"/>
      <c r="AC419" s="188">
        <v>0</v>
      </c>
      <c r="AD419" s="188">
        <v>96497.25</v>
      </c>
      <c r="AE419" s="61"/>
      <c r="AF419" s="65"/>
      <c r="AG419" s="58"/>
      <c r="AH419" s="188">
        <v>511817.84</v>
      </c>
      <c r="AI419" s="128"/>
      <c r="AJ419" s="128"/>
      <c r="AK419" s="128"/>
      <c r="AL419" s="128"/>
      <c r="AM419" s="188">
        <v>111191.42</v>
      </c>
      <c r="AN419" s="135"/>
      <c r="AO419" s="135"/>
      <c r="AP419" s="135"/>
    </row>
    <row r="420" spans="1:42" x14ac:dyDescent="0.25">
      <c r="A420" t="s">
        <v>89</v>
      </c>
      <c r="B420" t="s">
        <v>46</v>
      </c>
      <c r="C420" s="212" t="str">
        <f t="shared" si="6"/>
        <v>Marion Family</v>
      </c>
      <c r="D420" s="188">
        <v>144418.75</v>
      </c>
      <c r="E420" s="188">
        <v>144418.75</v>
      </c>
      <c r="F420" s="188">
        <v>0</v>
      </c>
      <c r="G420" s="188">
        <v>157876.95000000001</v>
      </c>
      <c r="H420" s="128"/>
      <c r="I420" s="188">
        <v>139049.29999999999</v>
      </c>
      <c r="J420" s="188">
        <v>139394.29999999999</v>
      </c>
      <c r="K420" s="188">
        <v>0</v>
      </c>
      <c r="L420" s="188">
        <v>141832.70000000001</v>
      </c>
      <c r="M420" s="70"/>
      <c r="N420" s="188">
        <v>183304.03</v>
      </c>
      <c r="O420" s="188">
        <v>0</v>
      </c>
      <c r="P420" s="188">
        <v>190924.35</v>
      </c>
      <c r="Q420" s="128"/>
      <c r="R420" s="128"/>
      <c r="S420" s="188">
        <v>179081.93</v>
      </c>
      <c r="T420" s="188">
        <v>0</v>
      </c>
      <c r="U420" s="188">
        <v>173208.95</v>
      </c>
      <c r="V420" s="61"/>
      <c r="W420" s="58"/>
      <c r="X420" s="188">
        <v>0</v>
      </c>
      <c r="Y420" s="188">
        <v>202275.95</v>
      </c>
      <c r="Z420" s="128"/>
      <c r="AA420" s="128"/>
      <c r="AB420" s="128"/>
      <c r="AC420" s="188">
        <v>0</v>
      </c>
      <c r="AD420" s="188">
        <v>153883.5</v>
      </c>
      <c r="AE420" s="61"/>
      <c r="AF420" s="65"/>
      <c r="AG420" s="58"/>
      <c r="AH420" s="188">
        <v>148670.04999999999</v>
      </c>
      <c r="AI420" s="128"/>
      <c r="AJ420" s="128"/>
      <c r="AK420" s="128"/>
      <c r="AL420" s="128"/>
      <c r="AM420" s="188">
        <v>145245.73000000001</v>
      </c>
      <c r="AN420" s="135"/>
      <c r="AO420" s="135"/>
      <c r="AP420" s="135"/>
    </row>
    <row r="421" spans="1:42" x14ac:dyDescent="0.25">
      <c r="A421" t="s">
        <v>89</v>
      </c>
      <c r="B421" t="s">
        <v>40</v>
      </c>
      <c r="C421" s="212" t="str">
        <f t="shared" si="6"/>
        <v>Marion Juvenile Delinquency</v>
      </c>
      <c r="D421" s="188">
        <v>33242.5</v>
      </c>
      <c r="E421" s="188">
        <v>33242.5</v>
      </c>
      <c r="F421" s="188">
        <v>0</v>
      </c>
      <c r="G421" s="188">
        <v>32570.5</v>
      </c>
      <c r="H421" s="128"/>
      <c r="I421" s="188">
        <v>3186.42</v>
      </c>
      <c r="J421" s="188">
        <v>4995.1400000000003</v>
      </c>
      <c r="K421" s="188">
        <v>0</v>
      </c>
      <c r="L421" s="188">
        <v>5090</v>
      </c>
      <c r="M421" s="70"/>
      <c r="N421" s="188">
        <v>38811.5</v>
      </c>
      <c r="O421" s="188">
        <v>0</v>
      </c>
      <c r="P421" s="188">
        <v>36519.339999999997</v>
      </c>
      <c r="Q421" s="128"/>
      <c r="R421" s="128"/>
      <c r="S421" s="188">
        <v>2918.63</v>
      </c>
      <c r="T421" s="188">
        <v>0</v>
      </c>
      <c r="U421" s="188">
        <v>4385</v>
      </c>
      <c r="V421" s="61"/>
      <c r="W421" s="58"/>
      <c r="X421" s="188">
        <v>0</v>
      </c>
      <c r="Y421" s="188">
        <v>25693.15</v>
      </c>
      <c r="Z421" s="128"/>
      <c r="AA421" s="128"/>
      <c r="AB421" s="128"/>
      <c r="AC421" s="188">
        <v>0</v>
      </c>
      <c r="AD421" s="188">
        <v>2287.8000000000002</v>
      </c>
      <c r="AE421" s="61"/>
      <c r="AF421" s="65"/>
      <c r="AG421" s="58"/>
      <c r="AH421" s="188">
        <v>39107.5</v>
      </c>
      <c r="AI421" s="128"/>
      <c r="AJ421" s="128"/>
      <c r="AK421" s="128"/>
      <c r="AL421" s="128"/>
      <c r="AM421" s="188">
        <v>3321.57</v>
      </c>
      <c r="AN421" s="135"/>
      <c r="AO421" s="135"/>
      <c r="AP421" s="135"/>
    </row>
    <row r="422" spans="1:42" x14ac:dyDescent="0.25">
      <c r="A422" t="s">
        <v>89</v>
      </c>
      <c r="B422" t="s">
        <v>45</v>
      </c>
      <c r="C422" s="212" t="str">
        <f t="shared" si="6"/>
        <v>Marion Probate</v>
      </c>
      <c r="D422" s="188">
        <v>124279.84</v>
      </c>
      <c r="E422" s="188">
        <v>124329.84</v>
      </c>
      <c r="F422" s="188">
        <v>0</v>
      </c>
      <c r="G422" s="188">
        <v>118739</v>
      </c>
      <c r="H422" s="128"/>
      <c r="I422" s="188">
        <v>123440.84</v>
      </c>
      <c r="J422" s="188">
        <v>123828.84</v>
      </c>
      <c r="K422" s="188">
        <v>0</v>
      </c>
      <c r="L422" s="188">
        <v>117606</v>
      </c>
      <c r="M422" s="70"/>
      <c r="N422" s="188">
        <v>139475.04</v>
      </c>
      <c r="O422" s="188">
        <v>0</v>
      </c>
      <c r="P422" s="188">
        <v>133474.93</v>
      </c>
      <c r="Q422" s="128"/>
      <c r="R422" s="128"/>
      <c r="S422" s="188">
        <v>138790</v>
      </c>
      <c r="T422" s="188">
        <v>0</v>
      </c>
      <c r="U422" s="188">
        <v>132263.41</v>
      </c>
      <c r="V422" s="61"/>
      <c r="W422" s="58"/>
      <c r="X422" s="188">
        <v>0</v>
      </c>
      <c r="Y422" s="188">
        <v>161014.6</v>
      </c>
      <c r="Z422" s="128"/>
      <c r="AA422" s="128"/>
      <c r="AB422" s="128"/>
      <c r="AC422" s="188">
        <v>0</v>
      </c>
      <c r="AD422" s="188">
        <v>155924.1</v>
      </c>
      <c r="AE422" s="61"/>
      <c r="AF422" s="65"/>
      <c r="AG422" s="58"/>
      <c r="AH422" s="188">
        <v>149727.47</v>
      </c>
      <c r="AI422" s="128"/>
      <c r="AJ422" s="128"/>
      <c r="AK422" s="128"/>
      <c r="AL422" s="128"/>
      <c r="AM422" s="188">
        <v>149687.47</v>
      </c>
      <c r="AN422" s="135"/>
      <c r="AO422" s="135"/>
      <c r="AP422" s="135"/>
    </row>
    <row r="423" spans="1:42" x14ac:dyDescent="0.25">
      <c r="A423" t="s">
        <v>90</v>
      </c>
      <c r="B423" t="s">
        <v>42</v>
      </c>
      <c r="C423" s="212" t="str">
        <f t="shared" si="6"/>
        <v>Martin Circuit Civil</v>
      </c>
      <c r="D423" s="188">
        <v>313935.55</v>
      </c>
      <c r="E423" s="188">
        <v>313435.55</v>
      </c>
      <c r="F423" s="188">
        <v>313435.55</v>
      </c>
      <c r="G423" s="188">
        <v>313435.55</v>
      </c>
      <c r="H423" s="128"/>
      <c r="I423" s="188">
        <v>311825.55</v>
      </c>
      <c r="J423" s="188">
        <v>312305.55</v>
      </c>
      <c r="K423" s="188">
        <v>312445.55</v>
      </c>
      <c r="L423" s="188">
        <v>312445.55</v>
      </c>
      <c r="M423" s="70"/>
      <c r="N423" s="188">
        <v>268986.21000000002</v>
      </c>
      <c r="O423" s="188">
        <v>268836.21000000002</v>
      </c>
      <c r="P423" s="188">
        <v>269836.21000000002</v>
      </c>
      <c r="Q423" s="128"/>
      <c r="R423" s="128"/>
      <c r="S423" s="188">
        <v>268416.21000000002</v>
      </c>
      <c r="T423" s="188">
        <v>268636.21000000002</v>
      </c>
      <c r="U423" s="188">
        <v>269636.21000000002</v>
      </c>
      <c r="V423" s="61"/>
      <c r="W423" s="58"/>
      <c r="X423" s="188">
        <v>301877.33</v>
      </c>
      <c r="Y423" s="188">
        <v>301877.33</v>
      </c>
      <c r="Z423" s="128"/>
      <c r="AA423" s="128"/>
      <c r="AB423" s="128"/>
      <c r="AC423" s="188">
        <v>300487.33</v>
      </c>
      <c r="AD423" s="188">
        <v>300927.33</v>
      </c>
      <c r="AE423" s="61"/>
      <c r="AF423" s="65"/>
      <c r="AG423" s="58"/>
      <c r="AH423" s="188">
        <v>302647.17</v>
      </c>
      <c r="AI423" s="128"/>
      <c r="AJ423" s="128"/>
      <c r="AK423" s="128"/>
      <c r="AL423" s="128"/>
      <c r="AM423" s="188">
        <v>298747.17</v>
      </c>
      <c r="AN423" s="135"/>
      <c r="AO423" s="135"/>
      <c r="AP423" s="135"/>
    </row>
    <row r="424" spans="1:42" x14ac:dyDescent="0.25">
      <c r="A424" t="s">
        <v>90</v>
      </c>
      <c r="B424" t="s">
        <v>38</v>
      </c>
      <c r="C424" s="212" t="str">
        <f t="shared" si="6"/>
        <v>Martin Circuit Criminal</v>
      </c>
      <c r="D424" s="188">
        <v>335105.99</v>
      </c>
      <c r="E424" s="188">
        <v>332255.99</v>
      </c>
      <c r="F424" s="188">
        <v>330575.99</v>
      </c>
      <c r="G424" s="188">
        <v>328647.21999999997</v>
      </c>
      <c r="H424" s="128"/>
      <c r="I424" s="188">
        <v>6509.89</v>
      </c>
      <c r="J424" s="188">
        <v>19015.18</v>
      </c>
      <c r="K424" s="188">
        <v>25686.68</v>
      </c>
      <c r="L424" s="188">
        <v>30985.65</v>
      </c>
      <c r="M424" s="70"/>
      <c r="N424" s="188">
        <v>333618.52</v>
      </c>
      <c r="O424" s="188">
        <v>330102.52</v>
      </c>
      <c r="P424" s="188">
        <v>328452.52</v>
      </c>
      <c r="Q424" s="128"/>
      <c r="R424" s="128"/>
      <c r="S424" s="188">
        <v>8489.26</v>
      </c>
      <c r="T424" s="188">
        <v>15898.21</v>
      </c>
      <c r="U424" s="188">
        <v>23675.61</v>
      </c>
      <c r="V424" s="61"/>
      <c r="W424" s="58"/>
      <c r="X424" s="188">
        <v>358564</v>
      </c>
      <c r="Y424" s="188">
        <v>355364</v>
      </c>
      <c r="Z424" s="128"/>
      <c r="AA424" s="128"/>
      <c r="AB424" s="128"/>
      <c r="AC424" s="188">
        <v>8946.76</v>
      </c>
      <c r="AD424" s="188">
        <v>23818.67</v>
      </c>
      <c r="AE424" s="61"/>
      <c r="AF424" s="65"/>
      <c r="AG424" s="58"/>
      <c r="AH424" s="188">
        <v>433440.75</v>
      </c>
      <c r="AI424" s="128"/>
      <c r="AJ424" s="128"/>
      <c r="AK424" s="128"/>
      <c r="AL424" s="128"/>
      <c r="AM424" s="188">
        <v>7858.77</v>
      </c>
      <c r="AN424" s="135"/>
      <c r="AO424" s="135"/>
      <c r="AP424" s="135"/>
    </row>
    <row r="425" spans="1:42" x14ac:dyDescent="0.25">
      <c r="A425" t="s">
        <v>90</v>
      </c>
      <c r="B425" t="s">
        <v>265</v>
      </c>
      <c r="C425" s="212" t="str">
        <f t="shared" si="6"/>
        <v>Martin Circuit Criminal Drug Cases</v>
      </c>
      <c r="D425" s="188">
        <v>105465</v>
      </c>
      <c r="E425" s="188">
        <v>105465</v>
      </c>
      <c r="F425" s="188">
        <v>105465</v>
      </c>
      <c r="G425" s="188">
        <v>105645</v>
      </c>
      <c r="H425" s="63"/>
      <c r="I425" s="188">
        <v>0</v>
      </c>
      <c r="J425" s="188">
        <v>0</v>
      </c>
      <c r="K425" s="188">
        <v>0</v>
      </c>
      <c r="L425" s="188">
        <v>0</v>
      </c>
      <c r="N425" s="188">
        <v>106360</v>
      </c>
      <c r="O425" s="188">
        <v>106360</v>
      </c>
      <c r="P425" s="188">
        <v>106360</v>
      </c>
      <c r="Q425" s="63"/>
      <c r="R425" s="63"/>
      <c r="S425" s="188">
        <v>0</v>
      </c>
      <c r="T425" s="188">
        <v>0</v>
      </c>
      <c r="U425" s="188">
        <v>0</v>
      </c>
      <c r="X425" s="188">
        <v>53465</v>
      </c>
      <c r="Y425" s="188">
        <v>53465</v>
      </c>
      <c r="Z425" s="63"/>
      <c r="AB425" s="63"/>
      <c r="AC425" s="188">
        <v>0</v>
      </c>
      <c r="AD425" s="188">
        <v>0</v>
      </c>
      <c r="AH425" s="188">
        <v>110594</v>
      </c>
      <c r="AI425" s="63"/>
      <c r="AL425" s="63"/>
      <c r="AM425" s="188">
        <v>0</v>
      </c>
    </row>
    <row r="426" spans="1:42" x14ac:dyDescent="0.25">
      <c r="A426" t="s">
        <v>90</v>
      </c>
      <c r="B426" t="s">
        <v>44</v>
      </c>
      <c r="C426" s="212" t="str">
        <f t="shared" si="6"/>
        <v>Martin Civil Traffic</v>
      </c>
      <c r="D426" s="188">
        <v>1160355.29</v>
      </c>
      <c r="E426" s="188">
        <v>1112867.53</v>
      </c>
      <c r="F426" s="188">
        <v>1110631.53</v>
      </c>
      <c r="G426" s="188">
        <v>1109520.52</v>
      </c>
      <c r="H426" s="128"/>
      <c r="I426" s="188">
        <v>484555.29</v>
      </c>
      <c r="J426" s="188">
        <v>896857.03</v>
      </c>
      <c r="K426" s="188">
        <v>958949.27</v>
      </c>
      <c r="L426" s="188">
        <v>972438.95</v>
      </c>
      <c r="M426" s="70"/>
      <c r="N426" s="188">
        <v>1077831.6499999999</v>
      </c>
      <c r="O426" s="188">
        <v>1038734.6</v>
      </c>
      <c r="P426" s="188">
        <v>1036435.58</v>
      </c>
      <c r="Q426" s="128"/>
      <c r="R426" s="128"/>
      <c r="S426" s="188">
        <v>481557.7</v>
      </c>
      <c r="T426" s="188">
        <v>861530.26</v>
      </c>
      <c r="U426" s="188">
        <v>922487.46</v>
      </c>
      <c r="V426" s="61"/>
      <c r="W426" s="58"/>
      <c r="X426" s="188">
        <v>1145498.6000000001</v>
      </c>
      <c r="Y426" s="188">
        <v>1101435.25</v>
      </c>
      <c r="Z426" s="128"/>
      <c r="AA426" s="128"/>
      <c r="AB426" s="128"/>
      <c r="AC426" s="188">
        <v>457629.1</v>
      </c>
      <c r="AD426" s="188">
        <v>904178.14</v>
      </c>
      <c r="AE426" s="61"/>
      <c r="AF426" s="65"/>
      <c r="AG426" s="58"/>
      <c r="AH426" s="188">
        <v>1235709.25</v>
      </c>
      <c r="AI426" s="128"/>
      <c r="AJ426" s="128"/>
      <c r="AK426" s="128"/>
      <c r="AL426" s="128"/>
      <c r="AM426" s="188">
        <v>498857.8</v>
      </c>
      <c r="AN426" s="135"/>
      <c r="AO426" s="135"/>
      <c r="AP426" s="135"/>
    </row>
    <row r="427" spans="1:42" x14ac:dyDescent="0.25">
      <c r="A427" t="s">
        <v>90</v>
      </c>
      <c r="B427" t="s">
        <v>43</v>
      </c>
      <c r="C427" s="212" t="str">
        <f t="shared" si="6"/>
        <v>Martin County Civil</v>
      </c>
      <c r="D427" s="188">
        <v>101958.34</v>
      </c>
      <c r="E427" s="188">
        <v>101833.34</v>
      </c>
      <c r="F427" s="188">
        <v>101958.34</v>
      </c>
      <c r="G427" s="188">
        <v>101958.34</v>
      </c>
      <c r="H427" s="128"/>
      <c r="I427" s="188">
        <v>101823.34</v>
      </c>
      <c r="J427" s="188">
        <v>101833.34</v>
      </c>
      <c r="K427" s="188">
        <v>101958.34</v>
      </c>
      <c r="L427" s="188">
        <v>101958.34</v>
      </c>
      <c r="M427" s="70"/>
      <c r="N427" s="188">
        <v>118579.32</v>
      </c>
      <c r="O427" s="188">
        <v>118169.32</v>
      </c>
      <c r="P427" s="188">
        <v>118334.32</v>
      </c>
      <c r="Q427" s="128"/>
      <c r="R427" s="128"/>
      <c r="S427" s="188">
        <v>117464.32000000001</v>
      </c>
      <c r="T427" s="188">
        <v>117904.32000000001</v>
      </c>
      <c r="U427" s="188">
        <v>118069.32</v>
      </c>
      <c r="V427" s="61"/>
      <c r="W427" s="58"/>
      <c r="X427" s="188">
        <v>118535.37</v>
      </c>
      <c r="Y427" s="188">
        <v>118485.37</v>
      </c>
      <c r="Z427" s="128"/>
      <c r="AA427" s="128"/>
      <c r="AB427" s="128"/>
      <c r="AC427" s="188">
        <v>117389.1</v>
      </c>
      <c r="AD427" s="188">
        <v>118339.1</v>
      </c>
      <c r="AE427" s="61"/>
      <c r="AF427" s="65"/>
      <c r="AG427" s="58"/>
      <c r="AH427" s="188">
        <v>117734.51</v>
      </c>
      <c r="AI427" s="128"/>
      <c r="AJ427" s="128"/>
      <c r="AK427" s="128"/>
      <c r="AL427" s="128"/>
      <c r="AM427" s="188">
        <v>116444.51</v>
      </c>
      <c r="AN427" s="135"/>
      <c r="AO427" s="135"/>
      <c r="AP427" s="135"/>
    </row>
    <row r="428" spans="1:42" x14ac:dyDescent="0.25">
      <c r="A428" t="s">
        <v>90</v>
      </c>
      <c r="B428" t="s">
        <v>39</v>
      </c>
      <c r="C428" s="212" t="str">
        <f t="shared" si="6"/>
        <v>Martin County Criminal</v>
      </c>
      <c r="D428" s="188">
        <v>227068.98</v>
      </c>
      <c r="E428" s="188">
        <v>222519.98</v>
      </c>
      <c r="F428" s="188">
        <v>218160.98</v>
      </c>
      <c r="G428" s="188">
        <v>216248.48</v>
      </c>
      <c r="H428" s="128"/>
      <c r="I428" s="188">
        <v>64905.760000000002</v>
      </c>
      <c r="J428" s="188">
        <v>94960.98</v>
      </c>
      <c r="K428" s="188">
        <v>111450.98</v>
      </c>
      <c r="L428" s="188">
        <v>120631.74</v>
      </c>
      <c r="M428" s="70"/>
      <c r="N428" s="188">
        <v>242421.65</v>
      </c>
      <c r="O428" s="188">
        <v>234846.15</v>
      </c>
      <c r="P428" s="188">
        <v>229086.65</v>
      </c>
      <c r="Q428" s="128"/>
      <c r="R428" s="128"/>
      <c r="S428" s="188">
        <v>87890.15</v>
      </c>
      <c r="T428" s="188">
        <v>118503.72</v>
      </c>
      <c r="U428" s="188">
        <v>130815.79</v>
      </c>
      <c r="V428" s="61"/>
      <c r="W428" s="58"/>
      <c r="X428" s="188">
        <v>228683</v>
      </c>
      <c r="Y428" s="188">
        <v>221528</v>
      </c>
      <c r="Z428" s="128"/>
      <c r="AA428" s="128"/>
      <c r="AB428" s="128"/>
      <c r="AC428" s="188">
        <v>81383.62</v>
      </c>
      <c r="AD428" s="188">
        <v>108492.25</v>
      </c>
      <c r="AE428" s="61"/>
      <c r="AF428" s="65"/>
      <c r="AG428" s="58"/>
      <c r="AH428" s="188">
        <v>229825.5</v>
      </c>
      <c r="AI428" s="128"/>
      <c r="AJ428" s="128"/>
      <c r="AK428" s="128"/>
      <c r="AL428" s="128"/>
      <c r="AM428" s="188">
        <v>75529.66</v>
      </c>
      <c r="AN428" s="135"/>
      <c r="AO428" s="135"/>
      <c r="AP428" s="135"/>
    </row>
    <row r="429" spans="1:42" x14ac:dyDescent="0.25">
      <c r="A429" t="s">
        <v>90</v>
      </c>
      <c r="B429" t="s">
        <v>41</v>
      </c>
      <c r="C429" s="212" t="str">
        <f t="shared" si="6"/>
        <v>Martin Criminal Traffic</v>
      </c>
      <c r="D429" s="188">
        <v>408381.5</v>
      </c>
      <c r="E429" s="188">
        <v>401527.5</v>
      </c>
      <c r="F429" s="188">
        <v>391347.5</v>
      </c>
      <c r="G429" s="188">
        <v>382061.5</v>
      </c>
      <c r="H429" s="128"/>
      <c r="I429" s="188">
        <v>119446</v>
      </c>
      <c r="J429" s="188">
        <v>186307.3</v>
      </c>
      <c r="K429" s="188">
        <v>223645</v>
      </c>
      <c r="L429" s="188">
        <v>245833.5</v>
      </c>
      <c r="M429" s="70"/>
      <c r="N429" s="188">
        <v>471220</v>
      </c>
      <c r="O429" s="188">
        <v>465006.5</v>
      </c>
      <c r="P429" s="188">
        <v>454679</v>
      </c>
      <c r="Q429" s="128"/>
      <c r="R429" s="128"/>
      <c r="S429" s="188">
        <v>138607.46</v>
      </c>
      <c r="T429" s="188">
        <v>205083.36</v>
      </c>
      <c r="U429" s="188">
        <v>241611.66</v>
      </c>
      <c r="V429" s="61"/>
      <c r="W429" s="58"/>
      <c r="X429" s="188">
        <v>332972.5</v>
      </c>
      <c r="Y429" s="188">
        <v>327300.5</v>
      </c>
      <c r="Z429" s="128"/>
      <c r="AA429" s="128"/>
      <c r="AB429" s="128"/>
      <c r="AC429" s="188">
        <v>115925.12</v>
      </c>
      <c r="AD429" s="188">
        <v>171496.52</v>
      </c>
      <c r="AE429" s="61"/>
      <c r="AF429" s="65"/>
      <c r="AG429" s="58"/>
      <c r="AH429" s="188">
        <v>337853.45</v>
      </c>
      <c r="AI429" s="128"/>
      <c r="AJ429" s="128"/>
      <c r="AK429" s="128"/>
      <c r="AL429" s="128"/>
      <c r="AM429" s="188">
        <v>103688.14</v>
      </c>
      <c r="AN429" s="135"/>
      <c r="AO429" s="135"/>
      <c r="AP429" s="135"/>
    </row>
    <row r="430" spans="1:42" x14ac:dyDescent="0.25">
      <c r="A430" t="s">
        <v>90</v>
      </c>
      <c r="B430" t="s">
        <v>46</v>
      </c>
      <c r="C430" s="212" t="str">
        <f t="shared" si="6"/>
        <v>Martin Family</v>
      </c>
      <c r="D430" s="188">
        <v>79823.320000000007</v>
      </c>
      <c r="E430" s="188">
        <v>79809.02</v>
      </c>
      <c r="F430" s="188">
        <v>79809.02</v>
      </c>
      <c r="G430" s="188">
        <v>79472.02</v>
      </c>
      <c r="H430" s="128"/>
      <c r="I430" s="188">
        <v>78617.02</v>
      </c>
      <c r="J430" s="188">
        <v>78669.02</v>
      </c>
      <c r="K430" s="188">
        <v>78669.02</v>
      </c>
      <c r="L430" s="188">
        <v>78677.02</v>
      </c>
      <c r="M430" s="70"/>
      <c r="N430" s="188">
        <v>97610.880000000005</v>
      </c>
      <c r="O430" s="188">
        <v>97955.88</v>
      </c>
      <c r="P430" s="188">
        <v>97905.88</v>
      </c>
      <c r="Q430" s="128"/>
      <c r="R430" s="128"/>
      <c r="S430" s="188">
        <v>96660.88</v>
      </c>
      <c r="T430" s="188">
        <v>97005.88</v>
      </c>
      <c r="U430" s="188">
        <v>97005.88</v>
      </c>
      <c r="V430" s="61"/>
      <c r="W430" s="58"/>
      <c r="X430" s="188">
        <v>84834.85</v>
      </c>
      <c r="Y430" s="188">
        <v>84834.85</v>
      </c>
      <c r="Z430" s="128"/>
      <c r="AA430" s="128"/>
      <c r="AB430" s="128"/>
      <c r="AC430" s="188">
        <v>83090.850000000006</v>
      </c>
      <c r="AD430" s="188">
        <v>84024.85</v>
      </c>
      <c r="AE430" s="61"/>
      <c r="AF430" s="65"/>
      <c r="AG430" s="58"/>
      <c r="AH430" s="188">
        <v>95411.07</v>
      </c>
      <c r="AI430" s="128"/>
      <c r="AJ430" s="128"/>
      <c r="AK430" s="128"/>
      <c r="AL430" s="128"/>
      <c r="AM430" s="188">
        <v>92790.07</v>
      </c>
      <c r="AN430" s="135"/>
      <c r="AO430" s="135"/>
      <c r="AP430" s="135"/>
    </row>
    <row r="431" spans="1:42" x14ac:dyDescent="0.25">
      <c r="A431" t="s">
        <v>90</v>
      </c>
      <c r="B431" t="s">
        <v>40</v>
      </c>
      <c r="C431" s="212" t="str">
        <f t="shared" si="6"/>
        <v>Martin Juvenile Delinquency</v>
      </c>
      <c r="D431" s="188">
        <v>9904.5</v>
      </c>
      <c r="E431" s="188">
        <v>9904.5</v>
      </c>
      <c r="F431" s="188">
        <v>9854.5</v>
      </c>
      <c r="G431" s="188">
        <v>8504.5</v>
      </c>
      <c r="H431" s="128"/>
      <c r="I431" s="188">
        <v>317.5</v>
      </c>
      <c r="J431" s="188">
        <v>886.5</v>
      </c>
      <c r="K431" s="188">
        <v>1514.5</v>
      </c>
      <c r="L431" s="188">
        <v>1534.5</v>
      </c>
      <c r="M431" s="70"/>
      <c r="N431" s="188">
        <v>18978</v>
      </c>
      <c r="O431" s="188">
        <v>18583</v>
      </c>
      <c r="P431" s="188">
        <v>17933</v>
      </c>
      <c r="Q431" s="128"/>
      <c r="R431" s="128"/>
      <c r="S431" s="188">
        <v>348</v>
      </c>
      <c r="T431" s="188">
        <v>1168</v>
      </c>
      <c r="U431" s="188">
        <v>1583</v>
      </c>
      <c r="V431" s="61"/>
      <c r="W431" s="58"/>
      <c r="X431" s="188">
        <v>10095</v>
      </c>
      <c r="Y431" s="188">
        <v>9895</v>
      </c>
      <c r="Z431" s="128"/>
      <c r="AA431" s="128"/>
      <c r="AB431" s="128"/>
      <c r="AC431" s="188">
        <v>145</v>
      </c>
      <c r="AD431" s="188">
        <v>595</v>
      </c>
      <c r="AE431" s="61"/>
      <c r="AF431" s="65"/>
      <c r="AG431" s="58"/>
      <c r="AH431" s="188">
        <v>9886</v>
      </c>
      <c r="AI431" s="128"/>
      <c r="AJ431" s="128"/>
      <c r="AK431" s="128"/>
      <c r="AL431" s="128"/>
      <c r="AM431" s="188">
        <v>116</v>
      </c>
      <c r="AN431" s="135"/>
      <c r="AO431" s="135"/>
      <c r="AP431" s="135"/>
    </row>
    <row r="432" spans="1:42" x14ac:dyDescent="0.25">
      <c r="A432" t="s">
        <v>90</v>
      </c>
      <c r="B432" t="s">
        <v>45</v>
      </c>
      <c r="C432" s="212" t="str">
        <f t="shared" si="6"/>
        <v>Martin Probate</v>
      </c>
      <c r="D432" s="188">
        <v>77705</v>
      </c>
      <c r="E432" s="188">
        <v>77705</v>
      </c>
      <c r="F432" s="188">
        <v>77705</v>
      </c>
      <c r="G432" s="188">
        <v>77706</v>
      </c>
      <c r="H432" s="128"/>
      <c r="I432" s="188">
        <v>77703</v>
      </c>
      <c r="J432" s="188">
        <v>77704</v>
      </c>
      <c r="K432" s="188">
        <v>77704</v>
      </c>
      <c r="L432" s="188">
        <v>77704</v>
      </c>
      <c r="M432" s="70"/>
      <c r="N432" s="188">
        <v>81261</v>
      </c>
      <c r="O432" s="188">
        <v>81261</v>
      </c>
      <c r="P432" s="188">
        <v>81261</v>
      </c>
      <c r="Q432" s="128"/>
      <c r="R432" s="128"/>
      <c r="S432" s="188">
        <v>80915</v>
      </c>
      <c r="T432" s="188">
        <v>81260</v>
      </c>
      <c r="U432" s="188">
        <v>81260</v>
      </c>
      <c r="V432" s="61"/>
      <c r="W432" s="58"/>
      <c r="X432" s="188">
        <v>81000</v>
      </c>
      <c r="Y432" s="188">
        <v>81000</v>
      </c>
      <c r="Z432" s="128"/>
      <c r="AA432" s="128"/>
      <c r="AB432" s="128"/>
      <c r="AC432" s="188">
        <v>80998</v>
      </c>
      <c r="AD432" s="188">
        <v>80998</v>
      </c>
      <c r="AE432" s="61"/>
      <c r="AF432" s="65"/>
      <c r="AG432" s="58"/>
      <c r="AH432" s="188">
        <v>68222</v>
      </c>
      <c r="AI432" s="128"/>
      <c r="AJ432" s="128"/>
      <c r="AK432" s="128"/>
      <c r="AL432" s="128"/>
      <c r="AM432" s="188">
        <v>68171</v>
      </c>
      <c r="AN432" s="135"/>
      <c r="AO432" s="135"/>
      <c r="AP432" s="135"/>
    </row>
    <row r="433" spans="1:42" x14ac:dyDescent="0.25">
      <c r="A433" t="s">
        <v>91</v>
      </c>
      <c r="B433" t="s">
        <v>42</v>
      </c>
      <c r="C433" s="212" t="str">
        <f t="shared" si="6"/>
        <v>Monroe Circuit Civil</v>
      </c>
      <c r="D433" s="188">
        <v>255171</v>
      </c>
      <c r="E433" s="188">
        <v>252892</v>
      </c>
      <c r="F433" s="188">
        <v>252892</v>
      </c>
      <c r="G433" s="188">
        <v>252892</v>
      </c>
      <c r="H433" s="128"/>
      <c r="I433" s="188">
        <v>248189</v>
      </c>
      <c r="J433" s="188">
        <v>249817</v>
      </c>
      <c r="K433" s="188">
        <v>250173</v>
      </c>
      <c r="L433" s="188">
        <v>250178</v>
      </c>
      <c r="M433" s="70"/>
      <c r="N433" s="188">
        <v>297510</v>
      </c>
      <c r="O433" s="188">
        <v>296217</v>
      </c>
      <c r="P433" s="188">
        <v>296217</v>
      </c>
      <c r="Q433" s="128"/>
      <c r="R433" s="128"/>
      <c r="S433" s="188">
        <v>288278</v>
      </c>
      <c r="T433" s="188">
        <v>291074</v>
      </c>
      <c r="U433" s="188">
        <v>291267</v>
      </c>
      <c r="V433" s="61"/>
      <c r="W433" s="58"/>
      <c r="X433" s="188">
        <v>315645</v>
      </c>
      <c r="Y433" s="188">
        <v>315645</v>
      </c>
      <c r="Z433" s="128"/>
      <c r="AA433" s="128"/>
      <c r="AB433" s="128"/>
      <c r="AC433" s="188">
        <v>305923</v>
      </c>
      <c r="AD433" s="188">
        <v>307063</v>
      </c>
      <c r="AE433" s="61"/>
      <c r="AF433" s="65"/>
      <c r="AG433" s="58"/>
      <c r="AI433" s="128"/>
      <c r="AJ433" s="128"/>
      <c r="AK433" s="128"/>
      <c r="AL433" s="128"/>
      <c r="AN433" s="135"/>
      <c r="AO433" s="135"/>
      <c r="AP433" s="135"/>
    </row>
    <row r="434" spans="1:42" x14ac:dyDescent="0.25">
      <c r="A434" t="s">
        <v>91</v>
      </c>
      <c r="B434" t="s">
        <v>38</v>
      </c>
      <c r="C434" s="212" t="str">
        <f t="shared" si="6"/>
        <v>Monroe Circuit Criminal</v>
      </c>
      <c r="D434" s="188">
        <v>480020</v>
      </c>
      <c r="E434" s="188">
        <v>477551</v>
      </c>
      <c r="F434" s="188">
        <v>477301</v>
      </c>
      <c r="G434" s="188">
        <v>477251</v>
      </c>
      <c r="H434" s="128"/>
      <c r="I434" s="188">
        <v>16920</v>
      </c>
      <c r="J434" s="188">
        <v>35679</v>
      </c>
      <c r="K434" s="188">
        <v>47719</v>
      </c>
      <c r="L434" s="188">
        <v>53251</v>
      </c>
      <c r="M434" s="70"/>
      <c r="N434" s="188">
        <v>350365</v>
      </c>
      <c r="O434" s="188">
        <v>348094</v>
      </c>
      <c r="P434" s="188">
        <v>345938</v>
      </c>
      <c r="Q434" s="128"/>
      <c r="R434" s="128"/>
      <c r="S434" s="188">
        <v>23016</v>
      </c>
      <c r="T434" s="188">
        <v>46822</v>
      </c>
      <c r="U434" s="188">
        <v>58827</v>
      </c>
      <c r="V434" s="61"/>
      <c r="W434" s="58"/>
      <c r="X434" s="188">
        <v>248188</v>
      </c>
      <c r="Y434" s="188">
        <v>245039</v>
      </c>
      <c r="Z434" s="128"/>
      <c r="AA434" s="128"/>
      <c r="AB434" s="128"/>
      <c r="AC434" s="188">
        <v>24940</v>
      </c>
      <c r="AD434" s="188">
        <v>41504</v>
      </c>
      <c r="AE434" s="61"/>
      <c r="AF434" s="65"/>
      <c r="AG434" s="58"/>
      <c r="AI434" s="128"/>
      <c r="AJ434" s="128"/>
      <c r="AK434" s="128"/>
      <c r="AL434" s="128"/>
      <c r="AN434" s="135"/>
      <c r="AO434" s="135"/>
      <c r="AP434" s="135"/>
    </row>
    <row r="435" spans="1:42" x14ac:dyDescent="0.25">
      <c r="A435" t="s">
        <v>91</v>
      </c>
      <c r="B435" t="s">
        <v>265</v>
      </c>
      <c r="C435" s="212" t="str">
        <f t="shared" si="6"/>
        <v>Monroe Circuit Criminal Drug Cases</v>
      </c>
      <c r="D435" s="188">
        <v>348847</v>
      </c>
      <c r="E435" s="188">
        <v>348847</v>
      </c>
      <c r="F435" s="188">
        <v>348847</v>
      </c>
      <c r="G435" s="188">
        <v>348847</v>
      </c>
      <c r="H435" s="63"/>
      <c r="I435" s="188">
        <v>7041.72</v>
      </c>
      <c r="J435" s="188">
        <v>12368.44</v>
      </c>
      <c r="K435" s="188">
        <v>17145.349999999999</v>
      </c>
      <c r="L435" s="188">
        <v>18687.740000000002</v>
      </c>
      <c r="N435" s="188">
        <v>203146</v>
      </c>
      <c r="O435" s="188">
        <v>203146</v>
      </c>
      <c r="P435" s="188">
        <v>203146</v>
      </c>
      <c r="Q435" s="63"/>
      <c r="R435" s="63"/>
      <c r="S435" s="188">
        <v>10429</v>
      </c>
      <c r="T435" s="188">
        <v>21482.71</v>
      </c>
      <c r="U435" s="188">
        <v>26442.01</v>
      </c>
      <c r="X435" s="188">
        <v>83577</v>
      </c>
      <c r="Y435" s="188">
        <v>83577</v>
      </c>
      <c r="Z435" s="63"/>
      <c r="AB435" s="63"/>
      <c r="AC435" s="188">
        <v>14616.89</v>
      </c>
      <c r="AD435" s="188">
        <v>21558.799999999999</v>
      </c>
      <c r="AH435" s="188">
        <v>66609.39</v>
      </c>
      <c r="AI435" s="63"/>
      <c r="AL435" s="63"/>
      <c r="AM435" s="188">
        <v>13958.85</v>
      </c>
    </row>
    <row r="436" spans="1:42" x14ac:dyDescent="0.25">
      <c r="A436" t="s">
        <v>91</v>
      </c>
      <c r="B436" t="s">
        <v>44</v>
      </c>
      <c r="C436" s="212" t="str">
        <f t="shared" si="6"/>
        <v>Monroe Civil Traffic</v>
      </c>
      <c r="D436" s="188">
        <v>1412200</v>
      </c>
      <c r="E436" s="188">
        <v>1186508</v>
      </c>
      <c r="F436" s="188">
        <v>1132572</v>
      </c>
      <c r="G436" s="188">
        <v>1125820</v>
      </c>
      <c r="H436" s="128"/>
      <c r="I436" s="188">
        <v>669250</v>
      </c>
      <c r="J436" s="188">
        <v>966456</v>
      </c>
      <c r="K436" s="188">
        <v>986724</v>
      </c>
      <c r="L436" s="188">
        <v>999991</v>
      </c>
      <c r="M436" s="70"/>
      <c r="N436" s="188">
        <v>1228809</v>
      </c>
      <c r="O436" s="188">
        <v>1043807</v>
      </c>
      <c r="P436" s="188">
        <v>1002424</v>
      </c>
      <c r="Q436" s="128"/>
      <c r="R436" s="128"/>
      <c r="S436" s="188">
        <v>579136</v>
      </c>
      <c r="T436" s="188">
        <v>839501</v>
      </c>
      <c r="U436" s="188">
        <v>864782</v>
      </c>
      <c r="V436" s="61"/>
      <c r="W436" s="58"/>
      <c r="X436" s="188">
        <v>1358440</v>
      </c>
      <c r="Y436" s="188">
        <v>1124745</v>
      </c>
      <c r="Z436" s="128"/>
      <c r="AA436" s="128"/>
      <c r="AB436" s="128"/>
      <c r="AC436" s="188">
        <v>619625</v>
      </c>
      <c r="AD436" s="188">
        <v>879183</v>
      </c>
      <c r="AE436" s="61"/>
      <c r="AF436" s="65"/>
      <c r="AG436" s="58"/>
      <c r="AI436" s="128"/>
      <c r="AJ436" s="128"/>
      <c r="AK436" s="128"/>
      <c r="AL436" s="128"/>
      <c r="AN436" s="135"/>
      <c r="AO436" s="135"/>
      <c r="AP436" s="135"/>
    </row>
    <row r="437" spans="1:42" x14ac:dyDescent="0.25">
      <c r="A437" t="s">
        <v>91</v>
      </c>
      <c r="B437" t="s">
        <v>43</v>
      </c>
      <c r="C437" s="212" t="str">
        <f t="shared" si="6"/>
        <v>Monroe County Civil</v>
      </c>
      <c r="D437" s="188">
        <v>66668</v>
      </c>
      <c r="E437" s="188">
        <v>64903</v>
      </c>
      <c r="F437" s="188">
        <v>64903</v>
      </c>
      <c r="G437" s="188">
        <v>64903</v>
      </c>
      <c r="H437" s="128"/>
      <c r="I437" s="188">
        <v>64468</v>
      </c>
      <c r="J437" s="188">
        <v>64703</v>
      </c>
      <c r="K437" s="188">
        <v>64703</v>
      </c>
      <c r="L437" s="188">
        <v>64703</v>
      </c>
      <c r="M437" s="70"/>
      <c r="N437" s="188">
        <v>79411</v>
      </c>
      <c r="O437" s="188">
        <v>79411</v>
      </c>
      <c r="P437" s="188">
        <v>79411</v>
      </c>
      <c r="Q437" s="128"/>
      <c r="R437" s="128"/>
      <c r="S437" s="188">
        <v>76579</v>
      </c>
      <c r="T437" s="188">
        <v>76708</v>
      </c>
      <c r="U437" s="188">
        <v>76836</v>
      </c>
      <c r="V437" s="61"/>
      <c r="W437" s="58"/>
      <c r="X437" s="188">
        <v>77782</v>
      </c>
      <c r="Y437" s="188">
        <v>77597</v>
      </c>
      <c r="Z437" s="128"/>
      <c r="AA437" s="128"/>
      <c r="AB437" s="128"/>
      <c r="AC437" s="188">
        <v>76678</v>
      </c>
      <c r="AD437" s="188">
        <v>76883</v>
      </c>
      <c r="AE437" s="61"/>
      <c r="AF437" s="65"/>
      <c r="AG437" s="58"/>
      <c r="AI437" s="128"/>
      <c r="AJ437" s="128"/>
      <c r="AK437" s="128"/>
      <c r="AL437" s="128"/>
      <c r="AN437" s="135"/>
      <c r="AO437" s="135"/>
      <c r="AP437" s="135"/>
    </row>
    <row r="438" spans="1:42" x14ac:dyDescent="0.25">
      <c r="A438" t="s">
        <v>91</v>
      </c>
      <c r="B438" t="s">
        <v>39</v>
      </c>
      <c r="C438" s="212" t="str">
        <f t="shared" si="6"/>
        <v>Monroe County Criminal</v>
      </c>
      <c r="D438" s="188">
        <v>334001</v>
      </c>
      <c r="E438" s="188">
        <v>329243</v>
      </c>
      <c r="F438" s="188">
        <v>327826</v>
      </c>
      <c r="G438" s="188">
        <v>326115</v>
      </c>
      <c r="H438" s="128"/>
      <c r="I438" s="188">
        <v>86527</v>
      </c>
      <c r="J438" s="188">
        <v>129458</v>
      </c>
      <c r="K438" s="188">
        <v>150484</v>
      </c>
      <c r="L438" s="188">
        <v>160937</v>
      </c>
      <c r="M438" s="70"/>
      <c r="N438" s="188">
        <v>301355</v>
      </c>
      <c r="O438" s="188">
        <v>299812</v>
      </c>
      <c r="P438" s="188">
        <v>297283</v>
      </c>
      <c r="Q438" s="128"/>
      <c r="R438" s="128"/>
      <c r="S438" s="188">
        <v>84662</v>
      </c>
      <c r="T438" s="188">
        <v>121397</v>
      </c>
      <c r="U438" s="188">
        <v>136031</v>
      </c>
      <c r="V438" s="61"/>
      <c r="W438" s="58"/>
      <c r="X438" s="188">
        <v>365348</v>
      </c>
      <c r="Y438" s="188">
        <v>360202</v>
      </c>
      <c r="Z438" s="128"/>
      <c r="AA438" s="128"/>
      <c r="AB438" s="128"/>
      <c r="AC438" s="188">
        <v>115705</v>
      </c>
      <c r="AD438" s="188">
        <v>150952</v>
      </c>
      <c r="AE438" s="61"/>
      <c r="AF438" s="65"/>
      <c r="AG438" s="58"/>
      <c r="AI438" s="128"/>
      <c r="AJ438" s="128"/>
      <c r="AK438" s="128"/>
      <c r="AL438" s="128"/>
      <c r="AN438" s="135"/>
      <c r="AO438" s="135"/>
      <c r="AP438" s="135"/>
    </row>
    <row r="439" spans="1:42" x14ac:dyDescent="0.25">
      <c r="A439" t="s">
        <v>91</v>
      </c>
      <c r="B439" t="s">
        <v>41</v>
      </c>
      <c r="C439" s="212" t="str">
        <f t="shared" si="6"/>
        <v>Monroe Criminal Traffic</v>
      </c>
      <c r="D439" s="188">
        <v>111072</v>
      </c>
      <c r="E439" s="188">
        <v>110292</v>
      </c>
      <c r="F439" s="188">
        <v>109006</v>
      </c>
      <c r="G439" s="188">
        <v>106737</v>
      </c>
      <c r="H439" s="128"/>
      <c r="I439" s="188">
        <v>37051</v>
      </c>
      <c r="J439" s="188">
        <v>54276</v>
      </c>
      <c r="K439" s="188">
        <v>68888</v>
      </c>
      <c r="L439" s="188">
        <v>73643</v>
      </c>
      <c r="M439" s="70"/>
      <c r="N439" s="188">
        <v>83225</v>
      </c>
      <c r="O439" s="188">
        <v>82506</v>
      </c>
      <c r="P439" s="188">
        <v>80477</v>
      </c>
      <c r="Q439" s="128"/>
      <c r="R439" s="128"/>
      <c r="S439" s="188">
        <v>27554</v>
      </c>
      <c r="T439" s="188">
        <v>42989</v>
      </c>
      <c r="U439" s="188">
        <v>52425</v>
      </c>
      <c r="V439" s="61"/>
      <c r="W439" s="58"/>
      <c r="X439" s="188">
        <v>97310</v>
      </c>
      <c r="Y439" s="188">
        <v>96202</v>
      </c>
      <c r="Z439" s="128"/>
      <c r="AA439" s="128"/>
      <c r="AB439" s="128"/>
      <c r="AC439" s="188">
        <v>30165</v>
      </c>
      <c r="AD439" s="188">
        <v>54132</v>
      </c>
      <c r="AE439" s="61"/>
      <c r="AF439" s="65"/>
      <c r="AG439" s="58"/>
      <c r="AI439" s="128"/>
      <c r="AJ439" s="128"/>
      <c r="AK439" s="128"/>
      <c r="AL439" s="128"/>
      <c r="AN439" s="135"/>
      <c r="AO439" s="135"/>
      <c r="AP439" s="135"/>
    </row>
    <row r="440" spans="1:42" x14ac:dyDescent="0.25">
      <c r="A440" t="s">
        <v>91</v>
      </c>
      <c r="B440" t="s">
        <v>46</v>
      </c>
      <c r="C440" s="212" t="str">
        <f t="shared" si="6"/>
        <v>Monroe Family</v>
      </c>
      <c r="D440" s="188">
        <v>79851</v>
      </c>
      <c r="E440" s="188">
        <v>79191</v>
      </c>
      <c r="F440" s="188">
        <v>79191</v>
      </c>
      <c r="G440" s="188">
        <v>79191</v>
      </c>
      <c r="H440" s="128"/>
      <c r="I440" s="188">
        <v>76675</v>
      </c>
      <c r="J440" s="188">
        <v>77617</v>
      </c>
      <c r="K440" s="188">
        <v>77617</v>
      </c>
      <c r="L440" s="188">
        <v>77620</v>
      </c>
      <c r="M440" s="70"/>
      <c r="N440" s="188">
        <v>94233</v>
      </c>
      <c r="O440" s="188">
        <v>93826</v>
      </c>
      <c r="P440" s="188">
        <v>93126</v>
      </c>
      <c r="Q440" s="128"/>
      <c r="R440" s="128"/>
      <c r="S440" s="188">
        <v>88153</v>
      </c>
      <c r="T440" s="188">
        <v>90075</v>
      </c>
      <c r="U440" s="188">
        <v>90207</v>
      </c>
      <c r="V440" s="61"/>
      <c r="W440" s="58"/>
      <c r="X440" s="188">
        <v>112505</v>
      </c>
      <c r="Y440" s="188">
        <v>110893</v>
      </c>
      <c r="Z440" s="128"/>
      <c r="AA440" s="128"/>
      <c r="AB440" s="128"/>
      <c r="AC440" s="188">
        <v>104491</v>
      </c>
      <c r="AD440" s="188">
        <v>105392</v>
      </c>
      <c r="AE440" s="61"/>
      <c r="AF440" s="65"/>
      <c r="AG440" s="58"/>
      <c r="AI440" s="128"/>
      <c r="AJ440" s="128"/>
      <c r="AK440" s="128"/>
      <c r="AL440" s="128"/>
      <c r="AN440" s="135"/>
      <c r="AO440" s="135"/>
      <c r="AP440" s="135"/>
    </row>
    <row r="441" spans="1:42" x14ac:dyDescent="0.25">
      <c r="A441" t="s">
        <v>91</v>
      </c>
      <c r="B441" t="s">
        <v>40</v>
      </c>
      <c r="C441" s="212" t="str">
        <f t="shared" si="6"/>
        <v>Monroe Juvenile Delinquency</v>
      </c>
      <c r="D441" s="188">
        <v>993</v>
      </c>
      <c r="E441" s="188">
        <v>993</v>
      </c>
      <c r="F441" s="188">
        <v>993</v>
      </c>
      <c r="G441" s="188">
        <v>993</v>
      </c>
      <c r="H441" s="128"/>
      <c r="I441" s="188">
        <v>243</v>
      </c>
      <c r="J441" s="188">
        <v>393</v>
      </c>
      <c r="K441" s="188">
        <v>393</v>
      </c>
      <c r="L441" s="188">
        <v>393</v>
      </c>
      <c r="M441" s="70"/>
      <c r="N441" s="188">
        <v>1071</v>
      </c>
      <c r="O441" s="188">
        <v>1071</v>
      </c>
      <c r="P441" s="188">
        <v>1069</v>
      </c>
      <c r="Q441" s="128"/>
      <c r="R441" s="128"/>
      <c r="S441" s="188">
        <v>271</v>
      </c>
      <c r="T441" s="188">
        <v>321</v>
      </c>
      <c r="U441" s="188">
        <v>321</v>
      </c>
      <c r="V441" s="61"/>
      <c r="W441" s="58"/>
      <c r="X441" s="188">
        <v>1306</v>
      </c>
      <c r="Y441" s="188">
        <v>1306</v>
      </c>
      <c r="Z441" s="128"/>
      <c r="AA441" s="128"/>
      <c r="AB441" s="128"/>
      <c r="AC441" s="188">
        <v>434</v>
      </c>
      <c r="AD441" s="188">
        <v>506</v>
      </c>
      <c r="AE441" s="61"/>
      <c r="AF441" s="65"/>
      <c r="AG441" s="58"/>
      <c r="AI441" s="128"/>
      <c r="AJ441" s="128"/>
      <c r="AK441" s="128"/>
      <c r="AL441" s="128"/>
      <c r="AN441" s="135"/>
      <c r="AO441" s="135"/>
      <c r="AP441" s="135"/>
    </row>
    <row r="442" spans="1:42" x14ac:dyDescent="0.25">
      <c r="A442" t="s">
        <v>91</v>
      </c>
      <c r="B442" t="s">
        <v>45</v>
      </c>
      <c r="C442" s="212" t="str">
        <f t="shared" si="6"/>
        <v>Monroe Probate</v>
      </c>
      <c r="D442" s="188">
        <v>30209</v>
      </c>
      <c r="E442" s="188">
        <v>29915</v>
      </c>
      <c r="F442" s="188">
        <v>29915</v>
      </c>
      <c r="G442" s="188">
        <v>29915</v>
      </c>
      <c r="H442" s="128"/>
      <c r="I442" s="188">
        <v>29356</v>
      </c>
      <c r="J442" s="188">
        <v>29462</v>
      </c>
      <c r="K442" s="188">
        <v>29807</v>
      </c>
      <c r="L442" s="188">
        <v>29807</v>
      </c>
      <c r="M442" s="70"/>
      <c r="N442" s="188">
        <v>42058</v>
      </c>
      <c r="O442" s="188">
        <v>42058</v>
      </c>
      <c r="P442" s="188">
        <v>42058</v>
      </c>
      <c r="Q442" s="128"/>
      <c r="R442" s="128"/>
      <c r="S442" s="188">
        <v>40393</v>
      </c>
      <c r="T442" s="188">
        <v>40666</v>
      </c>
      <c r="U442" s="188">
        <v>40675</v>
      </c>
      <c r="V442" s="61"/>
      <c r="W442" s="58"/>
      <c r="X442" s="188">
        <v>41983</v>
      </c>
      <c r="Y442" s="188">
        <v>41983</v>
      </c>
      <c r="Z442" s="128"/>
      <c r="AA442" s="128"/>
      <c r="AB442" s="128"/>
      <c r="AC442" s="188">
        <v>41050</v>
      </c>
      <c r="AD442" s="188">
        <v>41331</v>
      </c>
      <c r="AE442" s="61"/>
      <c r="AF442" s="65"/>
      <c r="AG442" s="58"/>
      <c r="AI442" s="128"/>
      <c r="AJ442" s="128"/>
      <c r="AK442" s="128"/>
      <c r="AL442" s="128"/>
      <c r="AN442" s="135"/>
      <c r="AO442" s="135"/>
      <c r="AP442" s="135"/>
    </row>
    <row r="443" spans="1:42" x14ac:dyDescent="0.25">
      <c r="A443" t="s">
        <v>92</v>
      </c>
      <c r="B443" t="s">
        <v>42</v>
      </c>
      <c r="C443" s="212" t="str">
        <f t="shared" si="6"/>
        <v>Nassau Circuit Civil</v>
      </c>
      <c r="D443" s="188">
        <v>143128.73000000001</v>
      </c>
      <c r="E443" s="188">
        <v>143128.73000000001</v>
      </c>
      <c r="F443" s="188">
        <v>143128.73000000001</v>
      </c>
      <c r="G443" s="188">
        <v>143128.73000000001</v>
      </c>
      <c r="H443" s="128"/>
      <c r="I443" s="188">
        <v>142861.73000000001</v>
      </c>
      <c r="J443" s="188">
        <v>142861.73000000001</v>
      </c>
      <c r="K443" s="188">
        <v>142861.73000000001</v>
      </c>
      <c r="L443" s="188">
        <v>142861.73000000001</v>
      </c>
      <c r="M443" s="70"/>
      <c r="N443" s="188">
        <v>120111.13</v>
      </c>
      <c r="O443" s="188">
        <v>120061.13</v>
      </c>
      <c r="P443" s="188">
        <v>120061.13</v>
      </c>
      <c r="Q443" s="128"/>
      <c r="R443" s="128"/>
      <c r="S443" s="188">
        <v>119901.13</v>
      </c>
      <c r="T443" s="188">
        <v>119961.13</v>
      </c>
      <c r="U443" s="188">
        <v>119961.13</v>
      </c>
      <c r="V443" s="61"/>
      <c r="W443" s="58"/>
      <c r="X443" s="188">
        <v>116199.08</v>
      </c>
      <c r="Y443" s="188">
        <v>116199.08</v>
      </c>
      <c r="Z443" s="128"/>
      <c r="AA443" s="128"/>
      <c r="AB443" s="128"/>
      <c r="AC443" s="188">
        <v>113281.58</v>
      </c>
      <c r="AD443" s="188">
        <v>114296.58</v>
      </c>
      <c r="AE443" s="61"/>
      <c r="AF443" s="65"/>
      <c r="AG443" s="58"/>
      <c r="AH443" s="188">
        <v>139421.07</v>
      </c>
      <c r="AI443" s="128"/>
      <c r="AJ443" s="128"/>
      <c r="AK443" s="128"/>
      <c r="AL443" s="128"/>
      <c r="AM443" s="188">
        <v>136098.57</v>
      </c>
      <c r="AN443" s="135"/>
      <c r="AO443" s="135"/>
      <c r="AP443" s="135"/>
    </row>
    <row r="444" spans="1:42" x14ac:dyDescent="0.25">
      <c r="A444" t="s">
        <v>92</v>
      </c>
      <c r="B444" t="s">
        <v>38</v>
      </c>
      <c r="C444" s="212" t="str">
        <f t="shared" si="6"/>
        <v>Nassau Circuit Criminal</v>
      </c>
      <c r="D444" s="188">
        <v>70520</v>
      </c>
      <c r="E444" s="188">
        <v>71521</v>
      </c>
      <c r="F444" s="188">
        <v>71520</v>
      </c>
      <c r="G444" s="188">
        <v>71620</v>
      </c>
      <c r="H444" s="128"/>
      <c r="I444" s="188">
        <v>1762.49</v>
      </c>
      <c r="J444" s="188">
        <v>6091.28</v>
      </c>
      <c r="K444" s="188">
        <v>10715.07</v>
      </c>
      <c r="L444" s="188">
        <v>13885.5</v>
      </c>
      <c r="M444" s="70"/>
      <c r="N444" s="188">
        <v>75262</v>
      </c>
      <c r="O444" s="188">
        <v>75730</v>
      </c>
      <c r="P444" s="188">
        <v>77268</v>
      </c>
      <c r="Q444" s="128"/>
      <c r="R444" s="128"/>
      <c r="S444" s="188">
        <v>4065.42</v>
      </c>
      <c r="T444" s="188">
        <v>12031</v>
      </c>
      <c r="U444" s="188">
        <v>15976.83</v>
      </c>
      <c r="V444" s="61"/>
      <c r="W444" s="58"/>
      <c r="X444" s="188">
        <v>77849</v>
      </c>
      <c r="Y444" s="188">
        <v>79714</v>
      </c>
      <c r="Z444" s="128"/>
      <c r="AA444" s="128"/>
      <c r="AB444" s="128"/>
      <c r="AC444" s="188">
        <v>2413.5500000000002</v>
      </c>
      <c r="AD444" s="188">
        <v>8936.56</v>
      </c>
      <c r="AE444" s="61"/>
      <c r="AF444" s="65"/>
      <c r="AG444" s="58"/>
      <c r="AH444" s="188">
        <v>129003</v>
      </c>
      <c r="AI444" s="128"/>
      <c r="AJ444" s="128"/>
      <c r="AK444" s="128"/>
      <c r="AL444" s="128"/>
      <c r="AM444" s="188">
        <v>2729.77</v>
      </c>
      <c r="AN444" s="135"/>
      <c r="AO444" s="135"/>
      <c r="AP444" s="135"/>
    </row>
    <row r="445" spans="1:42" x14ac:dyDescent="0.25">
      <c r="A445" t="s">
        <v>92</v>
      </c>
      <c r="B445" t="s">
        <v>265</v>
      </c>
      <c r="C445" s="212" t="str">
        <f t="shared" si="6"/>
        <v>Nassau Circuit Criminal Drug Cases</v>
      </c>
      <c r="D445" s="188"/>
      <c r="E445" s="188"/>
      <c r="F445" s="188"/>
      <c r="H445" s="63"/>
      <c r="I445" s="188"/>
      <c r="J445" s="188"/>
      <c r="K445" s="188"/>
      <c r="N445" s="188"/>
      <c r="O445" s="188"/>
      <c r="Q445" s="63"/>
      <c r="R445" s="63"/>
      <c r="S445" s="188"/>
      <c r="T445" s="188"/>
      <c r="X445" s="188"/>
      <c r="Y445" s="188"/>
      <c r="Z445" s="63"/>
      <c r="AB445" s="63"/>
      <c r="AC445" s="188"/>
      <c r="AD445" s="188"/>
      <c r="AH445" s="188"/>
      <c r="AI445" s="63"/>
      <c r="AL445" s="63"/>
      <c r="AM445" s="188"/>
    </row>
    <row r="446" spans="1:42" x14ac:dyDescent="0.25">
      <c r="A446" t="s">
        <v>92</v>
      </c>
      <c r="B446" t="s">
        <v>44</v>
      </c>
      <c r="C446" s="212" t="str">
        <f t="shared" si="6"/>
        <v>Nassau Civil Traffic</v>
      </c>
      <c r="D446" s="188">
        <v>299926.09999999998</v>
      </c>
      <c r="E446" s="188">
        <v>282958.84999999998</v>
      </c>
      <c r="F446" s="188">
        <v>278607.84999999998</v>
      </c>
      <c r="G446" s="188">
        <v>278204.84999999998</v>
      </c>
      <c r="H446" s="128"/>
      <c r="I446" s="188">
        <v>125651.95</v>
      </c>
      <c r="J446" s="188">
        <v>225486.9</v>
      </c>
      <c r="K446" s="188">
        <v>241595.33</v>
      </c>
      <c r="L446" s="188">
        <v>247871.4</v>
      </c>
      <c r="M446" s="70"/>
      <c r="N446" s="188">
        <v>334825.65000000002</v>
      </c>
      <c r="O446" s="188">
        <v>325793.15000000002</v>
      </c>
      <c r="P446" s="188">
        <v>318684.40000000002</v>
      </c>
      <c r="Q446" s="128"/>
      <c r="R446" s="128"/>
      <c r="S446" s="188">
        <v>156237.25</v>
      </c>
      <c r="T446" s="188">
        <v>256254.15</v>
      </c>
      <c r="U446" s="188">
        <v>275015.90000000002</v>
      </c>
      <c r="V446" s="61"/>
      <c r="W446" s="58"/>
      <c r="X446" s="188">
        <v>379045.25</v>
      </c>
      <c r="Y446" s="188">
        <v>364199.75</v>
      </c>
      <c r="Z446" s="128"/>
      <c r="AA446" s="128"/>
      <c r="AB446" s="128"/>
      <c r="AC446" s="188">
        <v>185104.75</v>
      </c>
      <c r="AD446" s="188">
        <v>290170.75</v>
      </c>
      <c r="AE446" s="61"/>
      <c r="AF446" s="65"/>
      <c r="AG446" s="58"/>
      <c r="AH446" s="188">
        <v>349019.25</v>
      </c>
      <c r="AI446" s="128"/>
      <c r="AJ446" s="128"/>
      <c r="AK446" s="128"/>
      <c r="AL446" s="128"/>
      <c r="AM446" s="188">
        <v>172897.75</v>
      </c>
      <c r="AN446" s="135"/>
      <c r="AO446" s="135"/>
      <c r="AP446" s="135"/>
    </row>
    <row r="447" spans="1:42" x14ac:dyDescent="0.25">
      <c r="A447" t="s">
        <v>92</v>
      </c>
      <c r="B447" t="s">
        <v>43</v>
      </c>
      <c r="C447" s="212" t="str">
        <f t="shared" si="6"/>
        <v>Nassau County Civil</v>
      </c>
      <c r="D447" s="188">
        <v>41982</v>
      </c>
      <c r="E447" s="188">
        <v>41982</v>
      </c>
      <c r="F447" s="188">
        <v>41982</v>
      </c>
      <c r="G447" s="188">
        <v>41982</v>
      </c>
      <c r="H447" s="128"/>
      <c r="I447" s="188">
        <v>41772</v>
      </c>
      <c r="J447" s="188">
        <v>41772</v>
      </c>
      <c r="K447" s="188">
        <v>41772</v>
      </c>
      <c r="L447" s="188">
        <v>41772</v>
      </c>
      <c r="M447" s="70"/>
      <c r="N447" s="188">
        <v>58192.03</v>
      </c>
      <c r="O447" s="188">
        <v>58502.03</v>
      </c>
      <c r="P447" s="188">
        <v>58502.03</v>
      </c>
      <c r="Q447" s="128"/>
      <c r="R447" s="128"/>
      <c r="S447" s="188">
        <v>57552.03</v>
      </c>
      <c r="T447" s="188">
        <v>58192.03</v>
      </c>
      <c r="U447" s="188">
        <v>58192.03</v>
      </c>
      <c r="V447" s="61"/>
      <c r="W447" s="58"/>
      <c r="X447" s="188">
        <v>56593.94</v>
      </c>
      <c r="Y447" s="188">
        <v>56593.94</v>
      </c>
      <c r="Z447" s="128"/>
      <c r="AA447" s="128"/>
      <c r="AB447" s="128"/>
      <c r="AC447" s="188">
        <v>55751.17</v>
      </c>
      <c r="AD447" s="188">
        <v>55796.17</v>
      </c>
      <c r="AE447" s="61"/>
      <c r="AF447" s="65"/>
      <c r="AG447" s="58"/>
      <c r="AH447" s="188">
        <v>58114.52</v>
      </c>
      <c r="AI447" s="128"/>
      <c r="AJ447" s="128"/>
      <c r="AK447" s="128"/>
      <c r="AL447" s="128"/>
      <c r="AM447" s="188">
        <v>58104.52</v>
      </c>
      <c r="AN447" s="135"/>
      <c r="AO447" s="135"/>
      <c r="AP447" s="135"/>
    </row>
    <row r="448" spans="1:42" x14ac:dyDescent="0.25">
      <c r="A448" t="s">
        <v>92</v>
      </c>
      <c r="B448" t="s">
        <v>39</v>
      </c>
      <c r="C448" s="212" t="str">
        <f t="shared" si="6"/>
        <v>Nassau County Criminal</v>
      </c>
      <c r="D448" s="188">
        <v>74313.5</v>
      </c>
      <c r="E448" s="188">
        <v>74665.5</v>
      </c>
      <c r="F448" s="188">
        <v>74119.5</v>
      </c>
      <c r="G448" s="188">
        <v>74119.5</v>
      </c>
      <c r="H448" s="128"/>
      <c r="I448" s="188">
        <v>13500.5</v>
      </c>
      <c r="J448" s="188">
        <v>37305.5</v>
      </c>
      <c r="K448" s="188">
        <v>44454.5</v>
      </c>
      <c r="L448" s="188">
        <v>46290.3</v>
      </c>
      <c r="M448" s="70"/>
      <c r="N448" s="188">
        <v>65281.5</v>
      </c>
      <c r="O448" s="188">
        <v>65648.5</v>
      </c>
      <c r="P448" s="188">
        <v>65648.5</v>
      </c>
      <c r="Q448" s="128"/>
      <c r="R448" s="128"/>
      <c r="S448" s="188">
        <v>14446</v>
      </c>
      <c r="T448" s="188">
        <v>32105.91</v>
      </c>
      <c r="U448" s="188">
        <v>38909.75</v>
      </c>
      <c r="V448" s="61"/>
      <c r="W448" s="58"/>
      <c r="X448" s="188">
        <v>73752</v>
      </c>
      <c r="Y448" s="188">
        <v>72899</v>
      </c>
      <c r="Z448" s="128"/>
      <c r="AA448" s="128"/>
      <c r="AB448" s="128"/>
      <c r="AC448" s="188">
        <v>23544</v>
      </c>
      <c r="AD448" s="188">
        <v>41418</v>
      </c>
      <c r="AE448" s="61"/>
      <c r="AF448" s="65"/>
      <c r="AG448" s="58"/>
      <c r="AH448" s="188">
        <v>86012</v>
      </c>
      <c r="AI448" s="128"/>
      <c r="AJ448" s="128"/>
      <c r="AK448" s="128"/>
      <c r="AL448" s="128"/>
      <c r="AM448" s="188">
        <v>30454.6</v>
      </c>
      <c r="AN448" s="135"/>
      <c r="AO448" s="135"/>
      <c r="AP448" s="135"/>
    </row>
    <row r="449" spans="1:42" x14ac:dyDescent="0.25">
      <c r="A449" t="s">
        <v>92</v>
      </c>
      <c r="B449" t="s">
        <v>41</v>
      </c>
      <c r="C449" s="212" t="str">
        <f t="shared" si="6"/>
        <v>Nassau Criminal Traffic</v>
      </c>
      <c r="D449" s="188">
        <v>149105.5</v>
      </c>
      <c r="E449" s="188">
        <v>149105.5</v>
      </c>
      <c r="F449" s="188">
        <v>149055.5</v>
      </c>
      <c r="G449" s="188">
        <v>149055.5</v>
      </c>
      <c r="H449" s="128"/>
      <c r="I449" s="188">
        <v>19065.61</v>
      </c>
      <c r="J449" s="188">
        <v>57501.81</v>
      </c>
      <c r="K449" s="188">
        <v>77991.14</v>
      </c>
      <c r="L449" s="188">
        <v>88252.5</v>
      </c>
      <c r="M449" s="70"/>
      <c r="N449" s="188">
        <v>158164</v>
      </c>
      <c r="O449" s="188">
        <v>158074</v>
      </c>
      <c r="P449" s="188">
        <v>158074</v>
      </c>
      <c r="Q449" s="128"/>
      <c r="R449" s="128"/>
      <c r="S449" s="188">
        <v>29416.639999999999</v>
      </c>
      <c r="T449" s="188">
        <v>74676.12</v>
      </c>
      <c r="U449" s="188">
        <v>92795.37</v>
      </c>
      <c r="V449" s="61"/>
      <c r="W449" s="58"/>
      <c r="X449" s="188">
        <v>170229</v>
      </c>
      <c r="Y449" s="188">
        <v>170152</v>
      </c>
      <c r="Z449" s="128"/>
      <c r="AA449" s="128"/>
      <c r="AB449" s="128"/>
      <c r="AC449" s="188">
        <v>32419.08</v>
      </c>
      <c r="AD449" s="188">
        <v>70928.740000000005</v>
      </c>
      <c r="AE449" s="61"/>
      <c r="AF449" s="65"/>
      <c r="AG449" s="58"/>
      <c r="AH449" s="188">
        <v>168158.5</v>
      </c>
      <c r="AI449" s="128"/>
      <c r="AJ449" s="128"/>
      <c r="AK449" s="128"/>
      <c r="AL449" s="128"/>
      <c r="AM449" s="188">
        <v>37932.449999999997</v>
      </c>
      <c r="AN449" s="135"/>
      <c r="AO449" s="135"/>
      <c r="AP449" s="135"/>
    </row>
    <row r="450" spans="1:42" x14ac:dyDescent="0.25">
      <c r="A450" t="s">
        <v>92</v>
      </c>
      <c r="B450" t="s">
        <v>46</v>
      </c>
      <c r="C450" s="212" t="str">
        <f t="shared" si="6"/>
        <v>Nassau Family</v>
      </c>
      <c r="D450" s="188">
        <v>46874.14</v>
      </c>
      <c r="E450" s="188">
        <v>46874.14</v>
      </c>
      <c r="F450" s="188">
        <v>46874.14</v>
      </c>
      <c r="G450" s="188">
        <v>46874.14</v>
      </c>
      <c r="H450" s="128"/>
      <c r="I450" s="188">
        <v>44614.01</v>
      </c>
      <c r="J450" s="188">
        <v>45142.01</v>
      </c>
      <c r="K450" s="188">
        <v>45382.14</v>
      </c>
      <c r="L450" s="188">
        <v>45382.14</v>
      </c>
      <c r="M450" s="70"/>
      <c r="N450" s="188">
        <v>52901.09</v>
      </c>
      <c r="O450" s="188">
        <v>52901.09</v>
      </c>
      <c r="P450" s="188">
        <v>52901.09</v>
      </c>
      <c r="Q450" s="128"/>
      <c r="R450" s="128"/>
      <c r="S450" s="188">
        <v>51096.86</v>
      </c>
      <c r="T450" s="188">
        <v>52374.09</v>
      </c>
      <c r="U450" s="188">
        <v>52374.09</v>
      </c>
      <c r="V450" s="61"/>
      <c r="W450" s="58"/>
      <c r="X450" s="188">
        <v>50411.16</v>
      </c>
      <c r="Y450" s="188">
        <v>50411.16</v>
      </c>
      <c r="Z450" s="128"/>
      <c r="AA450" s="128"/>
      <c r="AB450" s="128"/>
      <c r="AC450" s="188">
        <v>48815.9</v>
      </c>
      <c r="AD450" s="188">
        <v>49283.9</v>
      </c>
      <c r="AE450" s="61"/>
      <c r="AF450" s="65"/>
      <c r="AG450" s="58"/>
      <c r="AH450" s="188">
        <v>56234.7</v>
      </c>
      <c r="AI450" s="128"/>
      <c r="AJ450" s="128"/>
      <c r="AK450" s="128"/>
      <c r="AL450" s="128"/>
      <c r="AM450" s="188">
        <v>53190.35</v>
      </c>
      <c r="AN450" s="135"/>
      <c r="AO450" s="135"/>
      <c r="AP450" s="135"/>
    </row>
    <row r="451" spans="1:42" x14ac:dyDescent="0.25">
      <c r="A451" t="s">
        <v>92</v>
      </c>
      <c r="B451" t="s">
        <v>40</v>
      </c>
      <c r="C451" s="212" t="str">
        <f t="shared" ref="C451:C514" si="7">A451&amp;" "&amp;B451</f>
        <v>Nassau Juvenile Delinquency</v>
      </c>
      <c r="D451" s="188">
        <v>2999.5</v>
      </c>
      <c r="E451" s="188">
        <v>3217.5</v>
      </c>
      <c r="F451" s="188">
        <v>3217.5</v>
      </c>
      <c r="G451" s="188">
        <v>3029.5</v>
      </c>
      <c r="H451" s="128"/>
      <c r="I451" s="188">
        <v>237.5</v>
      </c>
      <c r="J451" s="188">
        <v>1127.5</v>
      </c>
      <c r="K451" s="188">
        <v>1588.5</v>
      </c>
      <c r="L451" s="188">
        <v>1896.5</v>
      </c>
      <c r="M451" s="70"/>
      <c r="N451" s="188">
        <v>2602.5</v>
      </c>
      <c r="O451" s="188">
        <v>3542.5</v>
      </c>
      <c r="P451" s="188">
        <v>3542.5</v>
      </c>
      <c r="Q451" s="128"/>
      <c r="R451" s="128"/>
      <c r="S451" s="188">
        <v>186.5</v>
      </c>
      <c r="T451" s="188">
        <v>1098.5</v>
      </c>
      <c r="U451" s="188">
        <v>1504.5</v>
      </c>
      <c r="V451" s="61"/>
      <c r="W451" s="58"/>
      <c r="X451" s="188">
        <v>4276</v>
      </c>
      <c r="Y451" s="188">
        <v>4276</v>
      </c>
      <c r="Z451" s="128"/>
      <c r="AA451" s="128"/>
      <c r="AB451" s="128"/>
      <c r="AC451" s="188">
        <v>268</v>
      </c>
      <c r="AD451" s="188">
        <v>794</v>
      </c>
      <c r="AE451" s="61"/>
      <c r="AF451" s="65"/>
      <c r="AG451" s="58"/>
      <c r="AH451" s="188">
        <v>3209</v>
      </c>
      <c r="AI451" s="128"/>
      <c r="AJ451" s="128"/>
      <c r="AK451" s="128"/>
      <c r="AL451" s="128"/>
      <c r="AM451" s="188">
        <v>191</v>
      </c>
      <c r="AN451" s="135"/>
      <c r="AO451" s="135"/>
      <c r="AP451" s="135"/>
    </row>
    <row r="452" spans="1:42" x14ac:dyDescent="0.25">
      <c r="A452" t="s">
        <v>92</v>
      </c>
      <c r="B452" t="s">
        <v>45</v>
      </c>
      <c r="C452" s="212" t="str">
        <f t="shared" si="7"/>
        <v>Nassau Probate</v>
      </c>
      <c r="D452" s="188">
        <v>22169</v>
      </c>
      <c r="E452" s="188">
        <v>22169</v>
      </c>
      <c r="F452" s="188">
        <v>22169</v>
      </c>
      <c r="G452" s="188">
        <v>21938</v>
      </c>
      <c r="H452" s="128"/>
      <c r="I452" s="188">
        <v>21490</v>
      </c>
      <c r="J452" s="188">
        <v>21890</v>
      </c>
      <c r="K452" s="188">
        <v>21890</v>
      </c>
      <c r="L452" s="188">
        <v>21890</v>
      </c>
      <c r="M452" s="70"/>
      <c r="N452" s="188">
        <v>20677</v>
      </c>
      <c r="O452" s="188">
        <v>20332</v>
      </c>
      <c r="P452" s="188">
        <v>20332</v>
      </c>
      <c r="Q452" s="128"/>
      <c r="R452" s="128"/>
      <c r="S452" s="188">
        <v>20277</v>
      </c>
      <c r="T452" s="188">
        <v>20332</v>
      </c>
      <c r="U452" s="188">
        <v>20332</v>
      </c>
      <c r="V452" s="61"/>
      <c r="W452" s="58"/>
      <c r="X452" s="188">
        <v>25068.5</v>
      </c>
      <c r="Y452" s="188">
        <v>25068.5</v>
      </c>
      <c r="Z452" s="128"/>
      <c r="AA452" s="128"/>
      <c r="AB452" s="128"/>
      <c r="AC452" s="188">
        <v>24962.5</v>
      </c>
      <c r="AD452" s="188">
        <v>24962.5</v>
      </c>
      <c r="AE452" s="61"/>
      <c r="AF452" s="65"/>
      <c r="AG452" s="58"/>
      <c r="AH452" s="188">
        <v>24902.15</v>
      </c>
      <c r="AI452" s="128"/>
      <c r="AJ452" s="128"/>
      <c r="AK452" s="128"/>
      <c r="AL452" s="128"/>
      <c r="AM452" s="188">
        <v>24502.15</v>
      </c>
      <c r="AN452" s="135"/>
      <c r="AO452" s="135"/>
      <c r="AP452" s="135"/>
    </row>
    <row r="453" spans="1:42" x14ac:dyDescent="0.25">
      <c r="A453" t="s">
        <v>93</v>
      </c>
      <c r="B453" t="s">
        <v>42</v>
      </c>
      <c r="C453" s="212" t="str">
        <f t="shared" si="7"/>
        <v>Okaloosa Circuit Civil</v>
      </c>
      <c r="D453" s="188">
        <v>358410.56</v>
      </c>
      <c r="E453" s="188">
        <v>357940.56</v>
      </c>
      <c r="F453" s="188">
        <v>357940.56</v>
      </c>
      <c r="G453" s="188">
        <v>357940.56</v>
      </c>
      <c r="H453" s="128"/>
      <c r="I453" s="188">
        <v>350666.06</v>
      </c>
      <c r="J453" s="188">
        <v>351465.81</v>
      </c>
      <c r="K453" s="188">
        <v>351890.81</v>
      </c>
      <c r="L453" s="188">
        <v>352030.81</v>
      </c>
      <c r="M453" s="70"/>
      <c r="N453" s="188">
        <v>389087.5</v>
      </c>
      <c r="O453" s="188">
        <v>389037.5</v>
      </c>
      <c r="P453" s="188">
        <v>389037.5</v>
      </c>
      <c r="Q453" s="128"/>
      <c r="R453" s="128"/>
      <c r="S453" s="188">
        <v>385697.5</v>
      </c>
      <c r="T453" s="188">
        <v>386590</v>
      </c>
      <c r="U453" s="188">
        <v>386590</v>
      </c>
      <c r="V453" s="61"/>
      <c r="W453" s="58"/>
      <c r="X453" s="188">
        <v>386309.42</v>
      </c>
      <c r="Y453" s="188">
        <v>386309.42</v>
      </c>
      <c r="Z453" s="128"/>
      <c r="AA453" s="128"/>
      <c r="AB453" s="128"/>
      <c r="AC453" s="188">
        <v>383233.42</v>
      </c>
      <c r="AD453" s="188">
        <v>383508.42</v>
      </c>
      <c r="AE453" s="61"/>
      <c r="AF453" s="65"/>
      <c r="AG453" s="58"/>
      <c r="AH453" s="188">
        <v>559733.14</v>
      </c>
      <c r="AI453" s="128"/>
      <c r="AJ453" s="128"/>
      <c r="AK453" s="128"/>
      <c r="AL453" s="128"/>
      <c r="AM453" s="188">
        <v>554757.64</v>
      </c>
      <c r="AN453" s="135"/>
      <c r="AO453" s="135"/>
      <c r="AP453" s="135"/>
    </row>
    <row r="454" spans="1:42" x14ac:dyDescent="0.25">
      <c r="A454" t="s">
        <v>93</v>
      </c>
      <c r="B454" t="s">
        <v>38</v>
      </c>
      <c r="C454" s="212" t="str">
        <f t="shared" si="7"/>
        <v>Okaloosa Circuit Criminal</v>
      </c>
      <c r="D454" s="188">
        <v>1224647.83</v>
      </c>
      <c r="E454" s="188">
        <v>1224557.83</v>
      </c>
      <c r="F454" s="188">
        <v>1224557.83</v>
      </c>
      <c r="G454" s="188">
        <v>1224406.83</v>
      </c>
      <c r="H454" s="128"/>
      <c r="I454" s="188">
        <v>24306.63</v>
      </c>
      <c r="J454" s="188">
        <v>39491.660000000003</v>
      </c>
      <c r="K454" s="188">
        <v>52752.3</v>
      </c>
      <c r="L454" s="188">
        <v>64462.71</v>
      </c>
      <c r="M454" s="70"/>
      <c r="N454" s="188">
        <v>2003077.68</v>
      </c>
      <c r="O454" s="188">
        <v>2003792.68</v>
      </c>
      <c r="P454" s="188">
        <v>2003087.68</v>
      </c>
      <c r="Q454" s="128"/>
      <c r="R454" s="128"/>
      <c r="S454" s="188">
        <v>34072.39</v>
      </c>
      <c r="T454" s="188">
        <v>53986.53</v>
      </c>
      <c r="U454" s="188">
        <v>68993.37</v>
      </c>
      <c r="V454" s="61"/>
      <c r="W454" s="58"/>
      <c r="X454" s="188">
        <v>707152.11</v>
      </c>
      <c r="Y454" s="188">
        <v>708162.11</v>
      </c>
      <c r="Z454" s="128"/>
      <c r="AA454" s="128"/>
      <c r="AB454" s="128"/>
      <c r="AC454" s="188">
        <v>17362.919999999998</v>
      </c>
      <c r="AD454" s="188">
        <v>33970.300000000003</v>
      </c>
      <c r="AE454" s="61"/>
      <c r="AF454" s="65"/>
      <c r="AG454" s="58"/>
      <c r="AH454" s="188">
        <v>1014236.02</v>
      </c>
      <c r="AI454" s="128"/>
      <c r="AJ454" s="128"/>
      <c r="AK454" s="128"/>
      <c r="AL454" s="128"/>
      <c r="AM454" s="188">
        <v>28135.77</v>
      </c>
      <c r="AN454" s="135"/>
      <c r="AO454" s="135"/>
      <c r="AP454" s="135"/>
    </row>
    <row r="455" spans="1:42" x14ac:dyDescent="0.25">
      <c r="A455" t="s">
        <v>93</v>
      </c>
      <c r="B455" t="s">
        <v>265</v>
      </c>
      <c r="C455" s="212" t="str">
        <f t="shared" si="7"/>
        <v>Okaloosa Circuit Criminal Drug Cases</v>
      </c>
      <c r="D455" s="188"/>
      <c r="E455" s="188">
        <v>318146</v>
      </c>
      <c r="F455" s="188">
        <v>318146</v>
      </c>
      <c r="G455" s="188">
        <v>318146</v>
      </c>
      <c r="H455" s="63"/>
      <c r="I455" s="188"/>
      <c r="J455" s="188">
        <v>0</v>
      </c>
      <c r="K455" s="188">
        <v>0</v>
      </c>
      <c r="L455" s="188">
        <v>0</v>
      </c>
      <c r="N455" s="188">
        <v>1058809</v>
      </c>
      <c r="O455" s="188">
        <v>1058859</v>
      </c>
      <c r="P455" s="188">
        <v>1058909</v>
      </c>
      <c r="Q455" s="63"/>
      <c r="R455" s="63"/>
      <c r="S455" s="188">
        <v>0</v>
      </c>
      <c r="T455" s="188"/>
      <c r="U455" s="188">
        <v>0</v>
      </c>
      <c r="X455" s="188">
        <v>319135</v>
      </c>
      <c r="Y455" s="188">
        <v>319135</v>
      </c>
      <c r="Z455" s="63"/>
      <c r="AB455" s="63"/>
      <c r="AC455" s="188">
        <v>100</v>
      </c>
      <c r="AD455" s="188">
        <v>100</v>
      </c>
      <c r="AH455" s="188">
        <v>160846.5</v>
      </c>
      <c r="AI455" s="63"/>
      <c r="AL455" s="63"/>
      <c r="AM455" s="188">
        <v>94.5</v>
      </c>
    </row>
    <row r="456" spans="1:42" x14ac:dyDescent="0.25">
      <c r="A456" t="s">
        <v>93</v>
      </c>
      <c r="B456" t="s">
        <v>44</v>
      </c>
      <c r="C456" s="212" t="str">
        <f t="shared" si="7"/>
        <v>Okaloosa Civil Traffic</v>
      </c>
      <c r="D456" s="188">
        <v>1018775.97</v>
      </c>
      <c r="E456" s="188">
        <v>1043602.49</v>
      </c>
      <c r="F456" s="188">
        <v>1047440.49</v>
      </c>
      <c r="G456" s="188">
        <v>1047804.99</v>
      </c>
      <c r="H456" s="128"/>
      <c r="I456" s="188">
        <v>621239.16</v>
      </c>
      <c r="J456" s="188">
        <v>810510.82</v>
      </c>
      <c r="K456" s="188">
        <v>844188.79</v>
      </c>
      <c r="L456" s="188">
        <v>858082.73</v>
      </c>
      <c r="M456" s="70"/>
      <c r="N456" s="188">
        <v>1076615.6799999999</v>
      </c>
      <c r="O456" s="188">
        <v>1091851.1000000001</v>
      </c>
      <c r="P456" s="188">
        <v>1098363.1000000001</v>
      </c>
      <c r="Q456" s="128"/>
      <c r="R456" s="128"/>
      <c r="S456" s="188">
        <v>601943.32999999996</v>
      </c>
      <c r="T456" s="188">
        <v>826549.38</v>
      </c>
      <c r="U456" s="188">
        <v>856036.95</v>
      </c>
      <c r="V456" s="61"/>
      <c r="W456" s="58"/>
      <c r="X456" s="188">
        <v>952302.75</v>
      </c>
      <c r="Y456" s="188">
        <v>968738.74</v>
      </c>
      <c r="Z456" s="128"/>
      <c r="AA456" s="128"/>
      <c r="AB456" s="128"/>
      <c r="AC456" s="188">
        <v>553675.98</v>
      </c>
      <c r="AD456" s="188">
        <v>733286.63</v>
      </c>
      <c r="AE456" s="61"/>
      <c r="AF456" s="65"/>
      <c r="AG456" s="58"/>
      <c r="AH456" s="188">
        <v>1011919.54</v>
      </c>
      <c r="AI456" s="128"/>
      <c r="AJ456" s="128"/>
      <c r="AK456" s="128"/>
      <c r="AL456" s="128"/>
      <c r="AM456" s="188">
        <v>628969.18000000005</v>
      </c>
      <c r="AN456" s="135"/>
      <c r="AO456" s="135"/>
      <c r="AP456" s="135"/>
    </row>
    <row r="457" spans="1:42" x14ac:dyDescent="0.25">
      <c r="A457" t="s">
        <v>93</v>
      </c>
      <c r="B457" t="s">
        <v>43</v>
      </c>
      <c r="C457" s="212" t="str">
        <f t="shared" si="7"/>
        <v>Okaloosa County Civil</v>
      </c>
      <c r="D457" s="188">
        <v>163858.62</v>
      </c>
      <c r="E457" s="188">
        <v>163858.62</v>
      </c>
      <c r="F457" s="188">
        <v>163858.62</v>
      </c>
      <c r="G457" s="188">
        <v>163773.62</v>
      </c>
      <c r="H457" s="128"/>
      <c r="I457" s="188">
        <v>160715.12</v>
      </c>
      <c r="J457" s="188">
        <v>160785.12</v>
      </c>
      <c r="K457" s="188">
        <v>160785.12</v>
      </c>
      <c r="L457" s="188">
        <v>160700.12</v>
      </c>
      <c r="M457" s="70"/>
      <c r="N457" s="188">
        <v>189178.77</v>
      </c>
      <c r="O457" s="188">
        <v>189178.77</v>
      </c>
      <c r="P457" s="188">
        <v>188383.77</v>
      </c>
      <c r="Q457" s="128"/>
      <c r="R457" s="128"/>
      <c r="S457" s="188">
        <v>186734.27</v>
      </c>
      <c r="T457" s="188">
        <v>186734.27</v>
      </c>
      <c r="U457" s="188">
        <v>186854.27</v>
      </c>
      <c r="V457" s="61"/>
      <c r="W457" s="58"/>
      <c r="X457" s="188">
        <v>216280.53</v>
      </c>
      <c r="Y457" s="188">
        <v>215857.03</v>
      </c>
      <c r="Z457" s="128"/>
      <c r="AA457" s="128"/>
      <c r="AB457" s="128"/>
      <c r="AC457" s="188">
        <v>215237.03</v>
      </c>
      <c r="AD457" s="188">
        <v>215237.03</v>
      </c>
      <c r="AE457" s="61"/>
      <c r="AF457" s="65"/>
      <c r="AG457" s="58"/>
      <c r="AH457" s="188">
        <v>172624.66</v>
      </c>
      <c r="AI457" s="128"/>
      <c r="AJ457" s="128"/>
      <c r="AK457" s="128"/>
      <c r="AL457" s="128"/>
      <c r="AM457" s="188">
        <v>171269.66</v>
      </c>
      <c r="AN457" s="135"/>
      <c r="AO457" s="135"/>
      <c r="AP457" s="135"/>
    </row>
    <row r="458" spans="1:42" x14ac:dyDescent="0.25">
      <c r="A458" t="s">
        <v>93</v>
      </c>
      <c r="B458" t="s">
        <v>39</v>
      </c>
      <c r="C458" s="212" t="str">
        <f t="shared" si="7"/>
        <v>Okaloosa County Criminal</v>
      </c>
      <c r="D458" s="188">
        <v>392728.68</v>
      </c>
      <c r="E458" s="188">
        <v>392528.68</v>
      </c>
      <c r="F458" s="188">
        <v>392628.68</v>
      </c>
      <c r="G458" s="188">
        <v>391988.68</v>
      </c>
      <c r="H458" s="128"/>
      <c r="I458" s="188">
        <v>75457.42</v>
      </c>
      <c r="J458" s="188">
        <v>120189.37</v>
      </c>
      <c r="K458" s="188">
        <v>143648.60999999999</v>
      </c>
      <c r="L458" s="188">
        <v>151955.69</v>
      </c>
      <c r="M458" s="70"/>
      <c r="N458" s="188">
        <v>362591.64</v>
      </c>
      <c r="O458" s="188">
        <v>362631.64</v>
      </c>
      <c r="P458" s="188">
        <v>361808.64000000001</v>
      </c>
      <c r="Q458" s="128"/>
      <c r="R458" s="128"/>
      <c r="S458" s="188">
        <v>85176.22</v>
      </c>
      <c r="T458" s="188">
        <v>132564.26999999999</v>
      </c>
      <c r="U458" s="188">
        <v>151426.47</v>
      </c>
      <c r="V458" s="61"/>
      <c r="W458" s="58"/>
      <c r="X458" s="188">
        <v>490237.76</v>
      </c>
      <c r="Y458" s="188">
        <v>487722.76</v>
      </c>
      <c r="Z458" s="128"/>
      <c r="AA458" s="128"/>
      <c r="AB458" s="128"/>
      <c r="AC458" s="188">
        <v>165666.13</v>
      </c>
      <c r="AD458" s="188">
        <v>208618.96</v>
      </c>
      <c r="AE458" s="61"/>
      <c r="AF458" s="65"/>
      <c r="AG458" s="58"/>
      <c r="AH458" s="188">
        <v>404013.47</v>
      </c>
      <c r="AI458" s="128"/>
      <c r="AJ458" s="128"/>
      <c r="AK458" s="128"/>
      <c r="AL458" s="128"/>
      <c r="AM458" s="188">
        <v>91986.37</v>
      </c>
      <c r="AN458" s="135"/>
      <c r="AO458" s="135"/>
      <c r="AP458" s="135"/>
    </row>
    <row r="459" spans="1:42" x14ac:dyDescent="0.25">
      <c r="A459" t="s">
        <v>93</v>
      </c>
      <c r="B459" t="s">
        <v>41</v>
      </c>
      <c r="C459" s="212" t="str">
        <f t="shared" si="7"/>
        <v>Okaloosa Criminal Traffic</v>
      </c>
      <c r="D459" s="188">
        <v>451690.83</v>
      </c>
      <c r="E459" s="188">
        <v>451665.83</v>
      </c>
      <c r="F459" s="188">
        <v>451665.83</v>
      </c>
      <c r="G459" s="188">
        <v>451665.83</v>
      </c>
      <c r="H459" s="128"/>
      <c r="I459" s="188">
        <v>121623.09</v>
      </c>
      <c r="J459" s="188">
        <v>205957.02</v>
      </c>
      <c r="K459" s="188">
        <v>254262.99</v>
      </c>
      <c r="L459" s="188">
        <v>274478.52</v>
      </c>
      <c r="M459" s="70"/>
      <c r="N459" s="188">
        <v>467523.57</v>
      </c>
      <c r="O459" s="188">
        <v>467488.57</v>
      </c>
      <c r="P459" s="188">
        <v>467893.57</v>
      </c>
      <c r="Q459" s="128"/>
      <c r="R459" s="128"/>
      <c r="S459" s="188">
        <v>137798.54999999999</v>
      </c>
      <c r="T459" s="188">
        <v>221862.49</v>
      </c>
      <c r="U459" s="188">
        <v>259181.91</v>
      </c>
      <c r="V459" s="61"/>
      <c r="W459" s="58"/>
      <c r="X459" s="188">
        <v>463008.59</v>
      </c>
      <c r="Y459" s="188">
        <v>463008.59</v>
      </c>
      <c r="Z459" s="128"/>
      <c r="AA459" s="128"/>
      <c r="AB459" s="128"/>
      <c r="AC459" s="188">
        <v>138554.70000000001</v>
      </c>
      <c r="AD459" s="188">
        <v>216554.96</v>
      </c>
      <c r="AE459" s="61"/>
      <c r="AF459" s="65"/>
      <c r="AG459" s="58"/>
      <c r="AH459" s="188">
        <v>494248.58</v>
      </c>
      <c r="AI459" s="128"/>
      <c r="AJ459" s="128"/>
      <c r="AK459" s="128"/>
      <c r="AL459" s="128"/>
      <c r="AM459" s="188">
        <v>152153.53</v>
      </c>
      <c r="AN459" s="135"/>
      <c r="AO459" s="135"/>
      <c r="AP459" s="135"/>
    </row>
    <row r="460" spans="1:42" x14ac:dyDescent="0.25">
      <c r="A460" t="s">
        <v>93</v>
      </c>
      <c r="B460" t="s">
        <v>46</v>
      </c>
      <c r="C460" s="212" t="str">
        <f t="shared" si="7"/>
        <v>Okaloosa Family</v>
      </c>
      <c r="D460" s="188">
        <v>165154</v>
      </c>
      <c r="E460" s="188">
        <v>165454</v>
      </c>
      <c r="F460" s="188">
        <v>165159</v>
      </c>
      <c r="G460" s="188">
        <v>165159</v>
      </c>
      <c r="H460" s="128"/>
      <c r="I460" s="188">
        <v>140150.5</v>
      </c>
      <c r="J460" s="188">
        <v>140569</v>
      </c>
      <c r="K460" s="188">
        <v>140731.5</v>
      </c>
      <c r="L460" s="188">
        <v>141026.5</v>
      </c>
      <c r="M460" s="70"/>
      <c r="N460" s="188">
        <v>192928</v>
      </c>
      <c r="O460" s="188">
        <v>192938</v>
      </c>
      <c r="P460" s="188">
        <v>192938</v>
      </c>
      <c r="Q460" s="128"/>
      <c r="R460" s="128"/>
      <c r="S460" s="188">
        <v>168046.5</v>
      </c>
      <c r="T460" s="188">
        <v>168361.5</v>
      </c>
      <c r="U460" s="188">
        <v>168361.5</v>
      </c>
      <c r="V460" s="61"/>
      <c r="W460" s="58"/>
      <c r="X460" s="188">
        <v>191493.5</v>
      </c>
      <c r="Y460" s="188">
        <v>191493.5</v>
      </c>
      <c r="Z460" s="128"/>
      <c r="AA460" s="128"/>
      <c r="AB460" s="128"/>
      <c r="AC460" s="188">
        <v>161720</v>
      </c>
      <c r="AD460" s="188">
        <v>162241.5</v>
      </c>
      <c r="AE460" s="61"/>
      <c r="AF460" s="65"/>
      <c r="AG460" s="58"/>
      <c r="AH460" s="188">
        <v>183316</v>
      </c>
      <c r="AI460" s="128"/>
      <c r="AJ460" s="128"/>
      <c r="AK460" s="128"/>
      <c r="AL460" s="128"/>
      <c r="AM460" s="188">
        <v>160008</v>
      </c>
      <c r="AN460" s="135"/>
      <c r="AO460" s="135"/>
      <c r="AP460" s="135"/>
    </row>
    <row r="461" spans="1:42" x14ac:dyDescent="0.25">
      <c r="A461" t="s">
        <v>93</v>
      </c>
      <c r="B461" t="s">
        <v>40</v>
      </c>
      <c r="C461" s="212" t="str">
        <f t="shared" si="7"/>
        <v>Okaloosa Juvenile Delinquency</v>
      </c>
      <c r="D461" s="188">
        <v>45938</v>
      </c>
      <c r="E461" s="188">
        <v>45938</v>
      </c>
      <c r="F461" s="188">
        <v>45938</v>
      </c>
      <c r="G461" s="188">
        <v>45938</v>
      </c>
      <c r="H461" s="128"/>
      <c r="I461" s="188">
        <v>705.5</v>
      </c>
      <c r="J461" s="188">
        <v>2172</v>
      </c>
      <c r="K461" s="188">
        <v>4286.3599999999997</v>
      </c>
      <c r="L461" s="188">
        <v>4771.3599999999997</v>
      </c>
      <c r="M461" s="70"/>
      <c r="N461" s="188">
        <v>29573</v>
      </c>
      <c r="O461" s="188">
        <v>29573</v>
      </c>
      <c r="P461" s="188">
        <v>29573</v>
      </c>
      <c r="Q461" s="128"/>
      <c r="R461" s="128"/>
      <c r="S461" s="188">
        <v>1723</v>
      </c>
      <c r="T461" s="188">
        <v>3713</v>
      </c>
      <c r="U461" s="188">
        <v>4118</v>
      </c>
      <c r="V461" s="61"/>
      <c r="W461" s="58"/>
      <c r="X461" s="188">
        <v>51533</v>
      </c>
      <c r="Y461" s="188">
        <v>51533</v>
      </c>
      <c r="Z461" s="128"/>
      <c r="AA461" s="128"/>
      <c r="AB461" s="128"/>
      <c r="AC461" s="188">
        <v>14924</v>
      </c>
      <c r="AD461" s="188">
        <v>16075</v>
      </c>
      <c r="AE461" s="61"/>
      <c r="AF461" s="65"/>
      <c r="AG461" s="58"/>
      <c r="AH461" s="188">
        <v>27525.5</v>
      </c>
      <c r="AI461" s="128"/>
      <c r="AJ461" s="128"/>
      <c r="AK461" s="128"/>
      <c r="AL461" s="128"/>
      <c r="AM461" s="188">
        <v>6631.5</v>
      </c>
      <c r="AN461" s="135"/>
      <c r="AO461" s="135"/>
      <c r="AP461" s="135"/>
    </row>
    <row r="462" spans="1:42" x14ac:dyDescent="0.25">
      <c r="A462" t="s">
        <v>93</v>
      </c>
      <c r="B462" t="s">
        <v>45</v>
      </c>
      <c r="C462" s="212" t="str">
        <f t="shared" si="7"/>
        <v>Okaloosa Probate</v>
      </c>
      <c r="D462" s="188">
        <v>54580</v>
      </c>
      <c r="E462" s="188">
        <v>54495</v>
      </c>
      <c r="F462" s="188">
        <v>54495</v>
      </c>
      <c r="G462" s="188">
        <v>54495</v>
      </c>
      <c r="H462" s="128"/>
      <c r="I462" s="188">
        <v>51787</v>
      </c>
      <c r="J462" s="188">
        <v>51702</v>
      </c>
      <c r="K462" s="188">
        <v>51702</v>
      </c>
      <c r="L462" s="188">
        <v>51702</v>
      </c>
      <c r="M462" s="70"/>
      <c r="N462" s="188">
        <v>64838.5</v>
      </c>
      <c r="O462" s="188">
        <v>64838.5</v>
      </c>
      <c r="P462" s="188">
        <v>64838.5</v>
      </c>
      <c r="Q462" s="128"/>
      <c r="R462" s="128"/>
      <c r="S462" s="188">
        <v>63192.5</v>
      </c>
      <c r="T462" s="188">
        <v>63192.5</v>
      </c>
      <c r="U462" s="188">
        <v>63192.5</v>
      </c>
      <c r="V462" s="61"/>
      <c r="W462" s="58"/>
      <c r="X462" s="188">
        <v>72638.42</v>
      </c>
      <c r="Y462" s="188">
        <v>72638.42</v>
      </c>
      <c r="Z462" s="128"/>
      <c r="AA462" s="128"/>
      <c r="AB462" s="128"/>
      <c r="AC462" s="188">
        <v>70860.42</v>
      </c>
      <c r="AD462" s="188">
        <v>71091.42</v>
      </c>
      <c r="AE462" s="61"/>
      <c r="AF462" s="65"/>
      <c r="AG462" s="58"/>
      <c r="AH462" s="188">
        <v>57081</v>
      </c>
      <c r="AI462" s="128"/>
      <c r="AJ462" s="128"/>
      <c r="AK462" s="128"/>
      <c r="AL462" s="128"/>
      <c r="AM462" s="188">
        <v>54729</v>
      </c>
      <c r="AN462" s="135"/>
      <c r="AO462" s="135"/>
      <c r="AP462" s="135"/>
    </row>
    <row r="463" spans="1:42" x14ac:dyDescent="0.25">
      <c r="A463" t="s">
        <v>94</v>
      </c>
      <c r="B463" t="s">
        <v>42</v>
      </c>
      <c r="C463" s="212" t="str">
        <f t="shared" si="7"/>
        <v>Okeechobee Circuit Civil</v>
      </c>
      <c r="D463" s="188">
        <v>117808.75</v>
      </c>
      <c r="E463" s="188">
        <v>117546.25</v>
      </c>
      <c r="F463" s="188">
        <v>117496.25</v>
      </c>
      <c r="G463" s="188">
        <v>117496.25</v>
      </c>
      <c r="H463" s="128"/>
      <c r="I463" s="188">
        <v>116257.25</v>
      </c>
      <c r="J463" s="188">
        <v>116185.25</v>
      </c>
      <c r="K463" s="188">
        <v>116217.75</v>
      </c>
      <c r="L463" s="188">
        <v>116626.25</v>
      </c>
      <c r="M463" s="70"/>
      <c r="N463" s="188">
        <v>93625.5</v>
      </c>
      <c r="O463" s="188">
        <v>93625.5</v>
      </c>
      <c r="P463" s="188">
        <v>93625.5</v>
      </c>
      <c r="Q463" s="128"/>
      <c r="R463" s="128"/>
      <c r="S463" s="188">
        <v>90000.5</v>
      </c>
      <c r="T463" s="188">
        <v>92705.5</v>
      </c>
      <c r="U463" s="188">
        <v>92705.5</v>
      </c>
      <c r="V463" s="61"/>
      <c r="W463" s="58"/>
      <c r="X463" s="188">
        <v>128011.5</v>
      </c>
      <c r="Y463" s="188">
        <v>128111.5</v>
      </c>
      <c r="Z463" s="128"/>
      <c r="AA463" s="128"/>
      <c r="AB463" s="128"/>
      <c r="AC463" s="188">
        <v>122269.5</v>
      </c>
      <c r="AD463" s="188">
        <v>123373</v>
      </c>
      <c r="AE463" s="61"/>
      <c r="AF463" s="65"/>
      <c r="AG463" s="58"/>
      <c r="AH463" s="188">
        <v>79916</v>
      </c>
      <c r="AI463" s="128"/>
      <c r="AJ463" s="128"/>
      <c r="AK463" s="128"/>
      <c r="AL463" s="128"/>
      <c r="AM463" s="188">
        <v>77330</v>
      </c>
      <c r="AN463" s="135"/>
      <c r="AO463" s="135"/>
      <c r="AP463" s="135"/>
    </row>
    <row r="464" spans="1:42" x14ac:dyDescent="0.25">
      <c r="A464" t="s">
        <v>94</v>
      </c>
      <c r="B464" t="s">
        <v>38</v>
      </c>
      <c r="C464" s="212" t="str">
        <f t="shared" si="7"/>
        <v>Okeechobee Circuit Criminal</v>
      </c>
      <c r="D464" s="188">
        <v>173127.4</v>
      </c>
      <c r="E464" s="188">
        <v>172637.4</v>
      </c>
      <c r="F464" s="188">
        <v>172637.4</v>
      </c>
      <c r="G464" s="188">
        <v>172342.39999999999</v>
      </c>
      <c r="H464" s="128"/>
      <c r="I464" s="188">
        <v>3568.18</v>
      </c>
      <c r="J464" s="188">
        <v>6427.62</v>
      </c>
      <c r="K464" s="188">
        <v>11009.81</v>
      </c>
      <c r="L464" s="188">
        <v>14351.91</v>
      </c>
      <c r="M464" s="70"/>
      <c r="N464" s="188">
        <v>300669.76</v>
      </c>
      <c r="O464" s="188">
        <v>300545.76</v>
      </c>
      <c r="P464" s="188">
        <v>300545.76</v>
      </c>
      <c r="Q464" s="128"/>
      <c r="R464" s="128"/>
      <c r="S464" s="188">
        <v>3822.15</v>
      </c>
      <c r="T464" s="188">
        <v>10298.459999999999</v>
      </c>
      <c r="U464" s="188">
        <v>15975.35</v>
      </c>
      <c r="V464" s="61"/>
      <c r="W464" s="58"/>
      <c r="X464" s="188">
        <v>206898.33</v>
      </c>
      <c r="Y464" s="188">
        <v>206897.33</v>
      </c>
      <c r="Z464" s="128"/>
      <c r="AA464" s="128"/>
      <c r="AB464" s="128"/>
      <c r="AC464" s="188">
        <v>6420.9</v>
      </c>
      <c r="AD464" s="188">
        <v>11252.18</v>
      </c>
      <c r="AE464" s="61"/>
      <c r="AF464" s="65"/>
      <c r="AG464" s="58"/>
      <c r="AH464" s="188">
        <v>434590.44</v>
      </c>
      <c r="AI464" s="128"/>
      <c r="AJ464" s="128"/>
      <c r="AK464" s="128"/>
      <c r="AL464" s="128"/>
      <c r="AM464" s="188">
        <v>8762.3799999999992</v>
      </c>
      <c r="AN464" s="135"/>
      <c r="AO464" s="135"/>
      <c r="AP464" s="135"/>
    </row>
    <row r="465" spans="1:42" x14ac:dyDescent="0.25">
      <c r="A465" t="s">
        <v>94</v>
      </c>
      <c r="B465" t="s">
        <v>265</v>
      </c>
      <c r="C465" s="212" t="str">
        <f t="shared" si="7"/>
        <v>Okeechobee Circuit Criminal Drug Cases</v>
      </c>
      <c r="D465" s="188">
        <v>0</v>
      </c>
      <c r="E465" s="188">
        <v>0</v>
      </c>
      <c r="F465" s="188">
        <v>0</v>
      </c>
      <c r="G465" s="188">
        <v>0</v>
      </c>
      <c r="H465" s="63"/>
      <c r="I465" s="188">
        <v>0</v>
      </c>
      <c r="J465" s="188">
        <v>0</v>
      </c>
      <c r="K465" s="188">
        <v>0</v>
      </c>
      <c r="L465" s="188">
        <v>0</v>
      </c>
      <c r="N465" s="188">
        <v>100000</v>
      </c>
      <c r="O465" s="188">
        <v>100000</v>
      </c>
      <c r="P465" s="188">
        <v>100000</v>
      </c>
      <c r="Q465" s="63"/>
      <c r="R465" s="63"/>
      <c r="S465" s="188">
        <v>0</v>
      </c>
      <c r="T465" s="188">
        <v>0</v>
      </c>
      <c r="U465" s="188">
        <v>0</v>
      </c>
      <c r="X465" s="188">
        <v>50000</v>
      </c>
      <c r="Y465" s="188">
        <v>50000</v>
      </c>
      <c r="Z465" s="63"/>
      <c r="AB465" s="63"/>
      <c r="AC465" s="188">
        <v>0</v>
      </c>
      <c r="AD465" s="188">
        <v>0</v>
      </c>
      <c r="AH465" s="188">
        <v>50000</v>
      </c>
      <c r="AI465" s="63"/>
      <c r="AL465" s="63"/>
      <c r="AM465" s="188">
        <v>0</v>
      </c>
    </row>
    <row r="466" spans="1:42" x14ac:dyDescent="0.25">
      <c r="A466" t="s">
        <v>94</v>
      </c>
      <c r="B466" t="s">
        <v>44</v>
      </c>
      <c r="C466" s="212" t="str">
        <f t="shared" si="7"/>
        <v>Okeechobee Civil Traffic</v>
      </c>
      <c r="D466" s="188">
        <v>200271.25</v>
      </c>
      <c r="E466" s="188">
        <v>187393.5</v>
      </c>
      <c r="F466" s="188">
        <v>187144.5</v>
      </c>
      <c r="G466" s="188">
        <v>186457.5</v>
      </c>
      <c r="H466" s="128"/>
      <c r="I466" s="188">
        <v>92262.11</v>
      </c>
      <c r="J466" s="188">
        <v>155435.35999999999</v>
      </c>
      <c r="K466" s="188">
        <v>162341.66</v>
      </c>
      <c r="L466" s="188">
        <v>165261.66</v>
      </c>
      <c r="M466" s="70"/>
      <c r="N466" s="188">
        <v>189769.05</v>
      </c>
      <c r="O466" s="188">
        <v>185859.3</v>
      </c>
      <c r="P466" s="188">
        <v>185249.3</v>
      </c>
      <c r="Q466" s="128"/>
      <c r="R466" s="128"/>
      <c r="S466" s="188">
        <v>112545.05</v>
      </c>
      <c r="T466" s="188">
        <v>153212.29999999999</v>
      </c>
      <c r="U466" s="188">
        <v>160715.29999999999</v>
      </c>
      <c r="V466" s="61"/>
      <c r="W466" s="58"/>
      <c r="X466" s="188">
        <v>213771.4</v>
      </c>
      <c r="Y466" s="188">
        <v>208422.9</v>
      </c>
      <c r="Z466" s="128"/>
      <c r="AA466" s="128"/>
      <c r="AB466" s="128"/>
      <c r="AC466" s="188">
        <v>110810.4</v>
      </c>
      <c r="AD466" s="188">
        <v>174704.4</v>
      </c>
      <c r="AE466" s="61"/>
      <c r="AF466" s="65"/>
      <c r="AG466" s="58"/>
      <c r="AH466" s="188">
        <v>195929.75</v>
      </c>
      <c r="AI466" s="128"/>
      <c r="AJ466" s="128"/>
      <c r="AK466" s="128"/>
      <c r="AL466" s="128"/>
      <c r="AM466" s="188">
        <v>91422.75</v>
      </c>
      <c r="AN466" s="135"/>
      <c r="AO466" s="135"/>
      <c r="AP466" s="135"/>
    </row>
    <row r="467" spans="1:42" x14ac:dyDescent="0.25">
      <c r="A467" t="s">
        <v>94</v>
      </c>
      <c r="B467" t="s">
        <v>43</v>
      </c>
      <c r="C467" s="212" t="str">
        <f t="shared" si="7"/>
        <v>Okeechobee County Civil</v>
      </c>
      <c r="D467" s="188">
        <v>22204</v>
      </c>
      <c r="E467" s="188">
        <v>21926</v>
      </c>
      <c r="F467" s="188">
        <v>21926</v>
      </c>
      <c r="G467" s="188">
        <v>21926</v>
      </c>
      <c r="H467" s="128"/>
      <c r="I467" s="188">
        <v>21894</v>
      </c>
      <c r="J467" s="188">
        <v>21626</v>
      </c>
      <c r="K467" s="188">
        <v>21696</v>
      </c>
      <c r="L467" s="188">
        <v>21796</v>
      </c>
      <c r="M467" s="70"/>
      <c r="N467" s="188">
        <v>31178.5</v>
      </c>
      <c r="O467" s="188">
        <v>31178.5</v>
      </c>
      <c r="P467" s="188">
        <v>31178.5</v>
      </c>
      <c r="Q467" s="128"/>
      <c r="R467" s="128"/>
      <c r="S467" s="188">
        <v>30848.5</v>
      </c>
      <c r="T467" s="188">
        <v>31178.5</v>
      </c>
      <c r="U467" s="188">
        <v>31178.5</v>
      </c>
      <c r="V467" s="61"/>
      <c r="W467" s="58"/>
      <c r="X467" s="188">
        <v>31554</v>
      </c>
      <c r="Y467" s="188">
        <v>31554</v>
      </c>
      <c r="Z467" s="128"/>
      <c r="AA467" s="128"/>
      <c r="AB467" s="128"/>
      <c r="AC467" s="188">
        <v>31504</v>
      </c>
      <c r="AD467" s="188">
        <v>31504</v>
      </c>
      <c r="AE467" s="61"/>
      <c r="AF467" s="65"/>
      <c r="AG467" s="58"/>
      <c r="AH467" s="188">
        <v>27468.5</v>
      </c>
      <c r="AI467" s="128"/>
      <c r="AJ467" s="128"/>
      <c r="AK467" s="128"/>
      <c r="AL467" s="128"/>
      <c r="AM467" s="188">
        <v>27049.5</v>
      </c>
      <c r="AN467" s="135"/>
      <c r="AO467" s="135"/>
      <c r="AP467" s="135"/>
    </row>
    <row r="468" spans="1:42" x14ac:dyDescent="0.25">
      <c r="A468" t="s">
        <v>94</v>
      </c>
      <c r="B468" t="s">
        <v>39</v>
      </c>
      <c r="C468" s="212" t="str">
        <f t="shared" si="7"/>
        <v>Okeechobee County Criminal</v>
      </c>
      <c r="D468" s="188">
        <v>47505</v>
      </c>
      <c r="E468" s="188">
        <v>47105</v>
      </c>
      <c r="F468" s="188">
        <v>46318</v>
      </c>
      <c r="G468" s="188">
        <v>47130</v>
      </c>
      <c r="H468" s="128"/>
      <c r="I468" s="188">
        <v>7192.5</v>
      </c>
      <c r="J468" s="188">
        <v>14864.5</v>
      </c>
      <c r="K468" s="188">
        <v>19371.7</v>
      </c>
      <c r="L468" s="188">
        <v>22344.7</v>
      </c>
      <c r="M468" s="70"/>
      <c r="N468" s="188">
        <v>61553.75</v>
      </c>
      <c r="O468" s="188">
        <v>61203.75</v>
      </c>
      <c r="P468" s="188">
        <v>60959.75</v>
      </c>
      <c r="Q468" s="128"/>
      <c r="R468" s="128"/>
      <c r="S468" s="188">
        <v>9742.2999999999993</v>
      </c>
      <c r="T468" s="188">
        <v>19736.080000000002</v>
      </c>
      <c r="U468" s="188">
        <v>27856.75</v>
      </c>
      <c r="V468" s="61"/>
      <c r="W468" s="58"/>
      <c r="X468" s="188">
        <v>52861</v>
      </c>
      <c r="Y468" s="188">
        <v>51811</v>
      </c>
      <c r="Z468" s="128"/>
      <c r="AA468" s="128"/>
      <c r="AB468" s="128"/>
      <c r="AC468" s="188">
        <v>9898.3700000000008</v>
      </c>
      <c r="AD468" s="188">
        <v>16041.87</v>
      </c>
      <c r="AE468" s="61"/>
      <c r="AF468" s="65"/>
      <c r="AG468" s="58"/>
      <c r="AH468" s="188">
        <v>67383.75</v>
      </c>
      <c r="AI468" s="128"/>
      <c r="AJ468" s="128"/>
      <c r="AK468" s="128"/>
      <c r="AL468" s="128"/>
      <c r="AM468" s="188">
        <v>8082.25</v>
      </c>
      <c r="AN468" s="135"/>
      <c r="AO468" s="135"/>
      <c r="AP468" s="135"/>
    </row>
    <row r="469" spans="1:42" x14ac:dyDescent="0.25">
      <c r="A469" t="s">
        <v>94</v>
      </c>
      <c r="B469" t="s">
        <v>41</v>
      </c>
      <c r="C469" s="212" t="str">
        <f t="shared" si="7"/>
        <v>Okeechobee Criminal Traffic</v>
      </c>
      <c r="D469" s="188">
        <v>66586</v>
      </c>
      <c r="E469" s="188">
        <v>64236</v>
      </c>
      <c r="F469" s="188">
        <v>64151.87</v>
      </c>
      <c r="G469" s="188">
        <v>64151.87</v>
      </c>
      <c r="H469" s="128"/>
      <c r="I469" s="188">
        <v>24918.25</v>
      </c>
      <c r="J469" s="188">
        <v>36473</v>
      </c>
      <c r="K469" s="188">
        <v>41127.25</v>
      </c>
      <c r="L469" s="188">
        <v>43611</v>
      </c>
      <c r="M469" s="70"/>
      <c r="N469" s="188">
        <v>109318.75</v>
      </c>
      <c r="O469" s="188">
        <v>108018.75</v>
      </c>
      <c r="P469" s="188">
        <v>106442.75</v>
      </c>
      <c r="Q469" s="128"/>
      <c r="R469" s="128"/>
      <c r="S469" s="188">
        <v>37665.25</v>
      </c>
      <c r="T469" s="188">
        <v>55357.25</v>
      </c>
      <c r="U469" s="188">
        <v>64148.75</v>
      </c>
      <c r="V469" s="61"/>
      <c r="W469" s="58"/>
      <c r="X469" s="188">
        <v>93385</v>
      </c>
      <c r="Y469" s="188">
        <v>92278</v>
      </c>
      <c r="Z469" s="128"/>
      <c r="AA469" s="128"/>
      <c r="AB469" s="128"/>
      <c r="AC469" s="188">
        <v>29784</v>
      </c>
      <c r="AD469" s="188">
        <v>49068.75</v>
      </c>
      <c r="AE469" s="61"/>
      <c r="AF469" s="65"/>
      <c r="AG469" s="58"/>
      <c r="AH469" s="188">
        <v>65071.5</v>
      </c>
      <c r="AI469" s="128"/>
      <c r="AJ469" s="128"/>
      <c r="AK469" s="128"/>
      <c r="AL469" s="128"/>
      <c r="AM469" s="188">
        <v>16669.75</v>
      </c>
      <c r="AN469" s="135"/>
      <c r="AO469" s="135"/>
      <c r="AP469" s="135"/>
    </row>
    <row r="470" spans="1:42" x14ac:dyDescent="0.25">
      <c r="A470" t="s">
        <v>94</v>
      </c>
      <c r="B470" t="s">
        <v>46</v>
      </c>
      <c r="C470" s="212" t="str">
        <f t="shared" si="7"/>
        <v>Okeechobee Family</v>
      </c>
      <c r="D470" s="188">
        <v>17656.5</v>
      </c>
      <c r="E470" s="188">
        <v>17706.5</v>
      </c>
      <c r="F470" s="188">
        <v>17756.5</v>
      </c>
      <c r="G470" s="188">
        <v>17756.5</v>
      </c>
      <c r="H470" s="128"/>
      <c r="I470" s="188">
        <v>17068.5</v>
      </c>
      <c r="J470" s="188">
        <v>17078.5</v>
      </c>
      <c r="K470" s="188">
        <v>17178.5</v>
      </c>
      <c r="L470" s="188">
        <v>17178.5</v>
      </c>
      <c r="M470" s="70"/>
      <c r="N470" s="188">
        <v>29613.5</v>
      </c>
      <c r="O470" s="188">
        <v>29673.5</v>
      </c>
      <c r="P470" s="188">
        <v>29673.5</v>
      </c>
      <c r="Q470" s="128"/>
      <c r="R470" s="128"/>
      <c r="S470" s="188">
        <v>28818.5</v>
      </c>
      <c r="T470" s="188">
        <v>29178.5</v>
      </c>
      <c r="U470" s="188">
        <v>29178.5</v>
      </c>
      <c r="V470" s="61"/>
      <c r="W470" s="58"/>
      <c r="X470" s="188">
        <v>20916.5</v>
      </c>
      <c r="Y470" s="188">
        <v>20213.5</v>
      </c>
      <c r="Z470" s="128"/>
      <c r="AA470" s="128"/>
      <c r="AB470" s="128"/>
      <c r="AC470" s="188">
        <v>19818.5</v>
      </c>
      <c r="AD470" s="188">
        <v>20113.5</v>
      </c>
      <c r="AE470" s="61"/>
      <c r="AF470" s="65"/>
      <c r="AG470" s="58"/>
      <c r="AH470" s="188">
        <v>23101.5</v>
      </c>
      <c r="AI470" s="128"/>
      <c r="AJ470" s="128"/>
      <c r="AK470" s="128"/>
      <c r="AL470" s="128"/>
      <c r="AM470" s="188">
        <v>21541.5</v>
      </c>
      <c r="AN470" s="135"/>
      <c r="AO470" s="135"/>
      <c r="AP470" s="135"/>
    </row>
    <row r="471" spans="1:42" x14ac:dyDescent="0.25">
      <c r="A471" t="s">
        <v>94</v>
      </c>
      <c r="B471" t="s">
        <v>40</v>
      </c>
      <c r="C471" s="212" t="str">
        <f t="shared" si="7"/>
        <v>Okeechobee Juvenile Delinquency</v>
      </c>
      <c r="D471" s="188">
        <v>3167</v>
      </c>
      <c r="E471" s="188">
        <v>3067</v>
      </c>
      <c r="F471" s="188">
        <v>3067</v>
      </c>
      <c r="G471" s="188">
        <v>3067</v>
      </c>
      <c r="H471" s="128"/>
      <c r="I471" s="188">
        <v>7</v>
      </c>
      <c r="J471" s="188">
        <v>577</v>
      </c>
      <c r="K471" s="188">
        <v>677</v>
      </c>
      <c r="L471" s="188">
        <v>877</v>
      </c>
      <c r="M471" s="70"/>
      <c r="N471" s="188">
        <v>2996</v>
      </c>
      <c r="O471" s="188">
        <v>2996</v>
      </c>
      <c r="P471" s="188">
        <v>2996</v>
      </c>
      <c r="Q471" s="128"/>
      <c r="R471" s="128"/>
      <c r="S471" s="188">
        <v>376</v>
      </c>
      <c r="T471" s="188">
        <v>496</v>
      </c>
      <c r="U471" s="188">
        <v>496</v>
      </c>
      <c r="V471" s="61"/>
      <c r="W471" s="58"/>
      <c r="X471" s="188">
        <v>660</v>
      </c>
      <c r="Y471" s="188">
        <v>660</v>
      </c>
      <c r="Z471" s="128"/>
      <c r="AA471" s="128"/>
      <c r="AB471" s="128"/>
      <c r="AC471" s="188">
        <v>0</v>
      </c>
      <c r="AD471" s="188">
        <v>0</v>
      </c>
      <c r="AE471" s="61"/>
      <c r="AF471" s="65"/>
      <c r="AG471" s="58"/>
      <c r="AH471" s="188">
        <v>2970</v>
      </c>
      <c r="AI471" s="128"/>
      <c r="AJ471" s="128"/>
      <c r="AK471" s="128"/>
      <c r="AL471" s="128"/>
      <c r="AM471" s="188">
        <v>40</v>
      </c>
      <c r="AN471" s="135"/>
      <c r="AO471" s="135"/>
      <c r="AP471" s="135"/>
    </row>
    <row r="472" spans="1:42" x14ac:dyDescent="0.25">
      <c r="A472" t="s">
        <v>94</v>
      </c>
      <c r="B472" t="s">
        <v>45</v>
      </c>
      <c r="C472" s="212" t="str">
        <f t="shared" si="7"/>
        <v>Okeechobee Probate</v>
      </c>
      <c r="D472" s="188">
        <v>8398</v>
      </c>
      <c r="E472" s="188">
        <v>8398</v>
      </c>
      <c r="F472" s="188">
        <v>8398</v>
      </c>
      <c r="G472" s="188">
        <v>8398</v>
      </c>
      <c r="H472" s="128"/>
      <c r="I472" s="188">
        <v>8398</v>
      </c>
      <c r="J472" s="188">
        <v>8398</v>
      </c>
      <c r="K472" s="188">
        <v>8398</v>
      </c>
      <c r="L472" s="188">
        <v>8398</v>
      </c>
      <c r="M472" s="70"/>
      <c r="N472" s="188">
        <v>14537.5</v>
      </c>
      <c r="O472" s="188">
        <v>14452.5</v>
      </c>
      <c r="P472" s="188">
        <v>14452.5</v>
      </c>
      <c r="Q472" s="128"/>
      <c r="R472" s="128"/>
      <c r="S472" s="188">
        <v>14392.5</v>
      </c>
      <c r="T472" s="188">
        <v>14392.5</v>
      </c>
      <c r="U472" s="188">
        <v>14392.5</v>
      </c>
      <c r="V472" s="61"/>
      <c r="W472" s="58"/>
      <c r="X472" s="188">
        <v>12933</v>
      </c>
      <c r="Y472" s="188">
        <v>12933</v>
      </c>
      <c r="Z472" s="128"/>
      <c r="AA472" s="128"/>
      <c r="AB472" s="128"/>
      <c r="AC472" s="188">
        <v>12933</v>
      </c>
      <c r="AD472" s="188">
        <v>12933</v>
      </c>
      <c r="AE472" s="61"/>
      <c r="AF472" s="65"/>
      <c r="AG472" s="58"/>
      <c r="AH472" s="188">
        <v>9900</v>
      </c>
      <c r="AI472" s="128"/>
      <c r="AJ472" s="128"/>
      <c r="AK472" s="128"/>
      <c r="AL472" s="128"/>
      <c r="AM472" s="188">
        <v>9900</v>
      </c>
      <c r="AN472" s="135"/>
      <c r="AO472" s="135"/>
      <c r="AP472" s="135"/>
    </row>
    <row r="473" spans="1:42" x14ac:dyDescent="0.25">
      <c r="A473" t="s">
        <v>95</v>
      </c>
      <c r="B473" t="s">
        <v>42</v>
      </c>
      <c r="C473" s="212" t="str">
        <f t="shared" si="7"/>
        <v>Orange Circuit Civil</v>
      </c>
      <c r="D473" s="188">
        <v>2977940</v>
      </c>
      <c r="E473" s="188">
        <v>2960553</v>
      </c>
      <c r="F473" s="188">
        <v>2958018</v>
      </c>
      <c r="G473" s="188">
        <v>2957724</v>
      </c>
      <c r="H473" s="128"/>
      <c r="I473" s="188">
        <v>2955852</v>
      </c>
      <c r="J473" s="188">
        <v>2942205</v>
      </c>
      <c r="K473" s="188">
        <v>2939762</v>
      </c>
      <c r="L473" s="188">
        <v>2939848</v>
      </c>
      <c r="M473" s="70"/>
      <c r="N473" s="188">
        <v>2719214</v>
      </c>
      <c r="O473" s="188">
        <v>2703618</v>
      </c>
      <c r="P473" s="188">
        <v>2702443</v>
      </c>
      <c r="Q473" s="128"/>
      <c r="R473" s="128"/>
      <c r="S473" s="188">
        <v>2703703</v>
      </c>
      <c r="T473" s="188">
        <v>2691687</v>
      </c>
      <c r="U473" s="188">
        <v>2691002</v>
      </c>
      <c r="V473" s="61"/>
      <c r="W473" s="58"/>
      <c r="X473" s="188">
        <v>2936603</v>
      </c>
      <c r="Y473" s="188">
        <v>2926609</v>
      </c>
      <c r="Z473" s="128"/>
      <c r="AA473" s="128"/>
      <c r="AB473" s="128"/>
      <c r="AC473" s="188">
        <v>2924716</v>
      </c>
      <c r="AD473" s="188">
        <v>2916297</v>
      </c>
      <c r="AE473" s="61"/>
      <c r="AF473" s="65"/>
      <c r="AG473" s="58"/>
      <c r="AH473" s="188">
        <v>3339584</v>
      </c>
      <c r="AI473" s="128"/>
      <c r="AJ473" s="128"/>
      <c r="AK473" s="128"/>
      <c r="AL473" s="128"/>
      <c r="AM473" s="188">
        <v>3329446</v>
      </c>
      <c r="AN473" s="135"/>
      <c r="AO473" s="135"/>
      <c r="AP473" s="135"/>
    </row>
    <row r="474" spans="1:42" x14ac:dyDescent="0.25">
      <c r="A474" t="s">
        <v>95</v>
      </c>
      <c r="B474" t="s">
        <v>38</v>
      </c>
      <c r="C474" s="212" t="str">
        <f t="shared" si="7"/>
        <v>Orange Circuit Criminal</v>
      </c>
      <c r="D474" s="188">
        <v>4215463</v>
      </c>
      <c r="E474" s="188">
        <v>4199239</v>
      </c>
      <c r="F474" s="188">
        <v>4185849</v>
      </c>
      <c r="G474" s="188">
        <v>4184796</v>
      </c>
      <c r="H474" s="128"/>
      <c r="I474" s="188">
        <v>119882</v>
      </c>
      <c r="J474" s="188">
        <v>220367</v>
      </c>
      <c r="K474" s="188">
        <v>294214</v>
      </c>
      <c r="L474" s="188">
        <v>346492</v>
      </c>
      <c r="M474" s="70"/>
      <c r="N474" s="188">
        <v>3005650</v>
      </c>
      <c r="O474" s="188">
        <v>2984694</v>
      </c>
      <c r="P474" s="188">
        <v>2979089</v>
      </c>
      <c r="Q474" s="128"/>
      <c r="R474" s="128"/>
      <c r="S474" s="188">
        <v>128921</v>
      </c>
      <c r="T474" s="188">
        <v>216917</v>
      </c>
      <c r="U474" s="188">
        <v>279372</v>
      </c>
      <c r="V474" s="61"/>
      <c r="W474" s="58"/>
      <c r="X474" s="188">
        <v>4336424</v>
      </c>
      <c r="Y474" s="188">
        <v>4310208</v>
      </c>
      <c r="Z474" s="128"/>
      <c r="AA474" s="128"/>
      <c r="AB474" s="128"/>
      <c r="AC474" s="188">
        <v>121200</v>
      </c>
      <c r="AD474" s="188">
        <v>213149</v>
      </c>
      <c r="AE474" s="61"/>
      <c r="AF474" s="65"/>
      <c r="AG474" s="58"/>
      <c r="AH474" s="188">
        <v>3054917</v>
      </c>
      <c r="AI474" s="128"/>
      <c r="AJ474" s="128"/>
      <c r="AK474" s="128"/>
      <c r="AL474" s="128"/>
      <c r="AM474" s="188">
        <v>169738</v>
      </c>
      <c r="AN474" s="135"/>
      <c r="AO474" s="135"/>
      <c r="AP474" s="135"/>
    </row>
    <row r="475" spans="1:42" x14ac:dyDescent="0.25">
      <c r="A475" t="s">
        <v>95</v>
      </c>
      <c r="B475" t="s">
        <v>265</v>
      </c>
      <c r="C475" s="212" t="str">
        <f t="shared" si="7"/>
        <v>Orange Circuit Criminal Drug Cases</v>
      </c>
      <c r="D475" s="188">
        <v>2436058</v>
      </c>
      <c r="E475" s="188">
        <v>2659716.9900000002</v>
      </c>
      <c r="F475" s="188">
        <v>2659716.9900000002</v>
      </c>
      <c r="G475" s="188">
        <v>2659716.9900000002</v>
      </c>
      <c r="H475" s="63"/>
      <c r="I475" s="188">
        <v>275</v>
      </c>
      <c r="J475" s="188">
        <v>912</v>
      </c>
      <c r="K475" s="188">
        <v>1410</v>
      </c>
      <c r="L475" s="188">
        <v>1485</v>
      </c>
      <c r="N475" s="188">
        <v>1284826.2</v>
      </c>
      <c r="O475" s="188">
        <v>1284826.2</v>
      </c>
      <c r="P475" s="188">
        <v>1284826.2</v>
      </c>
      <c r="Q475" s="63"/>
      <c r="R475" s="63"/>
      <c r="S475" s="188">
        <v>768</v>
      </c>
      <c r="T475" s="188">
        <v>906.99</v>
      </c>
      <c r="U475" s="188">
        <v>971.99</v>
      </c>
      <c r="X475" s="188">
        <v>2815337.89</v>
      </c>
      <c r="Y475" s="188">
        <v>2815337.89</v>
      </c>
      <c r="Z475" s="63"/>
      <c r="AB475" s="63"/>
      <c r="AC475" s="188">
        <v>793</v>
      </c>
      <c r="AD475" s="188">
        <v>793</v>
      </c>
      <c r="AH475" s="188">
        <v>875128.58</v>
      </c>
      <c r="AI475" s="63"/>
      <c r="AL475" s="63"/>
      <c r="AM475" s="188">
        <v>200</v>
      </c>
    </row>
    <row r="476" spans="1:42" x14ac:dyDescent="0.25">
      <c r="A476" t="s">
        <v>95</v>
      </c>
      <c r="B476" t="s">
        <v>44</v>
      </c>
      <c r="C476" s="212" t="str">
        <f t="shared" si="7"/>
        <v>Orange Civil Traffic</v>
      </c>
      <c r="D476" s="188">
        <v>11354556</v>
      </c>
      <c r="E476" s="188">
        <v>10170614</v>
      </c>
      <c r="F476" s="188">
        <v>10126012</v>
      </c>
      <c r="G476" s="188">
        <v>10106518</v>
      </c>
      <c r="H476" s="128"/>
      <c r="I476" s="188">
        <v>4738889</v>
      </c>
      <c r="J476" s="188">
        <v>7797448</v>
      </c>
      <c r="K476" s="188">
        <v>8213381</v>
      </c>
      <c r="L476" s="188">
        <v>8404479</v>
      </c>
      <c r="M476" s="70"/>
      <c r="N476" s="188">
        <v>11604449</v>
      </c>
      <c r="O476" s="188">
        <v>10283454</v>
      </c>
      <c r="P476" s="188">
        <v>10232080</v>
      </c>
      <c r="Q476" s="128"/>
      <c r="R476" s="128"/>
      <c r="S476" s="188">
        <v>5141140</v>
      </c>
      <c r="T476" s="188">
        <v>7818635</v>
      </c>
      <c r="U476" s="188">
        <v>8231787</v>
      </c>
      <c r="V476" s="61"/>
      <c r="W476" s="58"/>
      <c r="X476" s="188">
        <v>12782123</v>
      </c>
      <c r="Y476" s="188">
        <v>11394645</v>
      </c>
      <c r="Z476" s="128"/>
      <c r="AA476" s="128"/>
      <c r="AB476" s="128"/>
      <c r="AC476" s="188">
        <v>4976075</v>
      </c>
      <c r="AD476" s="188">
        <v>7828395</v>
      </c>
      <c r="AE476" s="61"/>
      <c r="AF476" s="65"/>
      <c r="AG476" s="58"/>
      <c r="AH476" s="188">
        <v>10847074</v>
      </c>
      <c r="AI476" s="128"/>
      <c r="AJ476" s="128"/>
      <c r="AK476" s="128"/>
      <c r="AL476" s="128"/>
      <c r="AM476" s="188">
        <v>5120215</v>
      </c>
      <c r="AN476" s="135"/>
      <c r="AO476" s="135"/>
      <c r="AP476" s="135"/>
    </row>
    <row r="477" spans="1:42" x14ac:dyDescent="0.25">
      <c r="A477" t="s">
        <v>95</v>
      </c>
      <c r="B477" t="s">
        <v>43</v>
      </c>
      <c r="C477" s="212" t="str">
        <f t="shared" si="7"/>
        <v>Orange County Civil</v>
      </c>
      <c r="D477" s="188">
        <v>1542120</v>
      </c>
      <c r="E477" s="188">
        <v>1541394</v>
      </c>
      <c r="F477" s="188">
        <v>1541394</v>
      </c>
      <c r="G477" s="188">
        <v>1541394</v>
      </c>
      <c r="H477" s="128"/>
      <c r="I477" s="188">
        <v>1537983</v>
      </c>
      <c r="J477" s="188">
        <v>1538658</v>
      </c>
      <c r="K477" s="188">
        <v>1538718</v>
      </c>
      <c r="L477" s="188">
        <v>1538718</v>
      </c>
      <c r="M477" s="70"/>
      <c r="N477" s="188">
        <v>1591307</v>
      </c>
      <c r="O477" s="188">
        <v>1589753</v>
      </c>
      <c r="P477" s="188">
        <v>1589753</v>
      </c>
      <c r="Q477" s="128"/>
      <c r="R477" s="128"/>
      <c r="S477" s="188">
        <v>1586735</v>
      </c>
      <c r="T477" s="188">
        <v>1586227</v>
      </c>
      <c r="U477" s="188">
        <v>1586227</v>
      </c>
      <c r="V477" s="61"/>
      <c r="W477" s="58"/>
      <c r="X477" s="188">
        <v>1827227</v>
      </c>
      <c r="Y477" s="188">
        <v>1826102</v>
      </c>
      <c r="Z477" s="128"/>
      <c r="AA477" s="128"/>
      <c r="AB477" s="128"/>
      <c r="AC477" s="188">
        <v>1819525</v>
      </c>
      <c r="AD477" s="188">
        <v>1819902</v>
      </c>
      <c r="AE477" s="61"/>
      <c r="AF477" s="65"/>
      <c r="AG477" s="58"/>
      <c r="AH477" s="188">
        <v>1691676</v>
      </c>
      <c r="AI477" s="128"/>
      <c r="AJ477" s="128"/>
      <c r="AK477" s="128"/>
      <c r="AL477" s="128"/>
      <c r="AM477" s="188">
        <v>1685657</v>
      </c>
      <c r="AN477" s="135"/>
      <c r="AO477" s="135"/>
      <c r="AP477" s="135"/>
    </row>
    <row r="478" spans="1:42" x14ac:dyDescent="0.25">
      <c r="A478" t="s">
        <v>95</v>
      </c>
      <c r="B478" t="s">
        <v>39</v>
      </c>
      <c r="C478" s="212" t="str">
        <f t="shared" si="7"/>
        <v>Orange County Criminal</v>
      </c>
      <c r="D478" s="188">
        <v>1561672</v>
      </c>
      <c r="E478" s="188">
        <v>1553885</v>
      </c>
      <c r="F478" s="188">
        <v>1553056</v>
      </c>
      <c r="G478" s="188">
        <v>1551781</v>
      </c>
      <c r="H478" s="128"/>
      <c r="I478" s="188">
        <v>193885</v>
      </c>
      <c r="J478" s="188">
        <v>330285</v>
      </c>
      <c r="K478" s="188">
        <v>408300</v>
      </c>
      <c r="L478" s="188">
        <v>454644</v>
      </c>
      <c r="M478" s="70"/>
      <c r="N478" s="188">
        <v>1414361</v>
      </c>
      <c r="O478" s="188">
        <v>1408535</v>
      </c>
      <c r="P478" s="188">
        <v>1406147</v>
      </c>
      <c r="Q478" s="128"/>
      <c r="R478" s="128"/>
      <c r="S478" s="188">
        <v>224517</v>
      </c>
      <c r="T478" s="188">
        <v>323609</v>
      </c>
      <c r="U478" s="188">
        <v>392527</v>
      </c>
      <c r="V478" s="61"/>
      <c r="W478" s="58"/>
      <c r="X478" s="188">
        <v>1522916</v>
      </c>
      <c r="Y478" s="188">
        <v>1515048</v>
      </c>
      <c r="Z478" s="128"/>
      <c r="AA478" s="128"/>
      <c r="AB478" s="128"/>
      <c r="AC478" s="188">
        <v>210039</v>
      </c>
      <c r="AD478" s="188">
        <v>310324</v>
      </c>
      <c r="AE478" s="61"/>
      <c r="AF478" s="65"/>
      <c r="AG478" s="58"/>
      <c r="AH478" s="188">
        <v>1714841</v>
      </c>
      <c r="AI478" s="128"/>
      <c r="AJ478" s="128"/>
      <c r="AK478" s="128"/>
      <c r="AL478" s="128"/>
      <c r="AM478" s="188">
        <v>204078</v>
      </c>
      <c r="AN478" s="135"/>
      <c r="AO478" s="135"/>
      <c r="AP478" s="135"/>
    </row>
    <row r="479" spans="1:42" x14ac:dyDescent="0.25">
      <c r="A479" t="s">
        <v>95</v>
      </c>
      <c r="B479" t="s">
        <v>41</v>
      </c>
      <c r="C479" s="212" t="str">
        <f t="shared" si="7"/>
        <v>Orange Criminal Traffic</v>
      </c>
      <c r="D479" s="188">
        <v>1773143</v>
      </c>
      <c r="E479" s="188">
        <v>1766500</v>
      </c>
      <c r="F479" s="188">
        <v>1764820</v>
      </c>
      <c r="G479" s="188">
        <v>1763633</v>
      </c>
      <c r="H479" s="128"/>
      <c r="I479" s="188">
        <v>343619</v>
      </c>
      <c r="J479" s="188">
        <v>614913</v>
      </c>
      <c r="K479" s="188">
        <v>752544</v>
      </c>
      <c r="L479" s="188">
        <v>841989</v>
      </c>
      <c r="M479" s="70"/>
      <c r="N479" s="188">
        <v>1826799</v>
      </c>
      <c r="O479" s="188">
        <v>1810632</v>
      </c>
      <c r="P479" s="188">
        <v>1808717</v>
      </c>
      <c r="Q479" s="128"/>
      <c r="R479" s="128"/>
      <c r="S479" s="188">
        <v>396941</v>
      </c>
      <c r="T479" s="188">
        <v>650705</v>
      </c>
      <c r="U479" s="188">
        <v>788981</v>
      </c>
      <c r="V479" s="61"/>
      <c r="W479" s="58"/>
      <c r="X479" s="188">
        <v>1809907</v>
      </c>
      <c r="Y479" s="188">
        <v>1802214</v>
      </c>
      <c r="Z479" s="128"/>
      <c r="AA479" s="128"/>
      <c r="AB479" s="128"/>
      <c r="AC479" s="188">
        <v>418908</v>
      </c>
      <c r="AD479" s="188">
        <v>633313</v>
      </c>
      <c r="AE479" s="61"/>
      <c r="AF479" s="65"/>
      <c r="AG479" s="58"/>
      <c r="AH479" s="188">
        <v>1818898</v>
      </c>
      <c r="AI479" s="128"/>
      <c r="AJ479" s="128"/>
      <c r="AK479" s="128"/>
      <c r="AL479" s="128"/>
      <c r="AM479" s="188">
        <v>364747</v>
      </c>
      <c r="AN479" s="135"/>
      <c r="AO479" s="135"/>
      <c r="AP479" s="135"/>
    </row>
    <row r="480" spans="1:42" x14ac:dyDescent="0.25">
      <c r="A480" t="s">
        <v>95</v>
      </c>
      <c r="B480" t="s">
        <v>46</v>
      </c>
      <c r="C480" s="212" t="str">
        <f t="shared" si="7"/>
        <v>Orange Family</v>
      </c>
      <c r="D480" s="188">
        <v>615763</v>
      </c>
      <c r="E480" s="188">
        <v>606409</v>
      </c>
      <c r="F480" s="188">
        <v>603395</v>
      </c>
      <c r="G480" s="188">
        <v>602670</v>
      </c>
      <c r="H480" s="128"/>
      <c r="I480" s="188">
        <v>567582</v>
      </c>
      <c r="J480" s="188">
        <v>570034</v>
      </c>
      <c r="K480" s="188">
        <v>570064</v>
      </c>
      <c r="L480" s="188">
        <v>569952</v>
      </c>
      <c r="M480" s="70"/>
      <c r="N480" s="188">
        <v>726506</v>
      </c>
      <c r="O480" s="188">
        <v>716277</v>
      </c>
      <c r="P480" s="188">
        <v>715162</v>
      </c>
      <c r="Q480" s="128"/>
      <c r="R480" s="128"/>
      <c r="S480" s="188">
        <v>684805</v>
      </c>
      <c r="T480" s="188">
        <v>688302</v>
      </c>
      <c r="U480" s="188">
        <v>688412</v>
      </c>
      <c r="V480" s="61"/>
      <c r="W480" s="58"/>
      <c r="X480" s="188">
        <v>736627</v>
      </c>
      <c r="Y480" s="188">
        <v>731476</v>
      </c>
      <c r="Z480" s="128"/>
      <c r="AA480" s="128"/>
      <c r="AB480" s="128"/>
      <c r="AC480" s="188">
        <v>696370</v>
      </c>
      <c r="AD480" s="188">
        <v>701184</v>
      </c>
      <c r="AE480" s="61"/>
      <c r="AF480" s="65"/>
      <c r="AG480" s="58"/>
      <c r="AH480" s="188">
        <v>700639</v>
      </c>
      <c r="AI480" s="128"/>
      <c r="AJ480" s="128"/>
      <c r="AK480" s="128"/>
      <c r="AL480" s="128"/>
      <c r="AM480" s="188">
        <v>662541</v>
      </c>
      <c r="AN480" s="135"/>
      <c r="AO480" s="135"/>
      <c r="AP480" s="135"/>
    </row>
    <row r="481" spans="1:42" x14ac:dyDescent="0.25">
      <c r="A481" t="s">
        <v>95</v>
      </c>
      <c r="B481" t="s">
        <v>40</v>
      </c>
      <c r="C481" s="212" t="str">
        <f t="shared" si="7"/>
        <v>Orange Juvenile Delinquency</v>
      </c>
      <c r="D481" s="188">
        <v>176284</v>
      </c>
      <c r="E481" s="188">
        <v>166436</v>
      </c>
      <c r="F481" s="188">
        <v>156824</v>
      </c>
      <c r="G481" s="188">
        <v>151288</v>
      </c>
      <c r="H481" s="128"/>
      <c r="I481" s="188">
        <v>5516</v>
      </c>
      <c r="J481" s="188">
        <v>9243</v>
      </c>
      <c r="K481" s="188">
        <v>12123</v>
      </c>
      <c r="L481" s="188">
        <v>12777</v>
      </c>
      <c r="M481" s="70"/>
      <c r="N481" s="188">
        <v>175711</v>
      </c>
      <c r="O481" s="188">
        <v>168711</v>
      </c>
      <c r="P481" s="188">
        <v>162310</v>
      </c>
      <c r="Q481" s="128"/>
      <c r="R481" s="128"/>
      <c r="S481" s="188">
        <v>5957</v>
      </c>
      <c r="T481" s="188">
        <v>8200</v>
      </c>
      <c r="U481" s="188">
        <v>10144</v>
      </c>
      <c r="V481" s="61"/>
      <c r="W481" s="58"/>
      <c r="X481" s="188">
        <v>223227</v>
      </c>
      <c r="Y481" s="188">
        <v>216422</v>
      </c>
      <c r="Z481" s="128"/>
      <c r="AA481" s="128"/>
      <c r="AB481" s="128"/>
      <c r="AC481" s="188">
        <v>6158</v>
      </c>
      <c r="AD481" s="188">
        <v>9944</v>
      </c>
      <c r="AE481" s="61"/>
      <c r="AF481" s="65"/>
      <c r="AG481" s="58"/>
      <c r="AH481" s="188">
        <v>140652</v>
      </c>
      <c r="AI481" s="128"/>
      <c r="AJ481" s="128"/>
      <c r="AK481" s="128"/>
      <c r="AL481" s="128"/>
      <c r="AM481" s="188">
        <v>6134</v>
      </c>
      <c r="AN481" s="135"/>
      <c r="AO481" s="135"/>
      <c r="AP481" s="135"/>
    </row>
    <row r="482" spans="1:42" x14ac:dyDescent="0.25">
      <c r="A482" t="s">
        <v>95</v>
      </c>
      <c r="B482" t="s">
        <v>45</v>
      </c>
      <c r="C482" s="212" t="str">
        <f t="shared" si="7"/>
        <v>Orange Probate</v>
      </c>
      <c r="D482" s="188">
        <v>229433</v>
      </c>
      <c r="E482" s="188">
        <v>228456</v>
      </c>
      <c r="F482" s="188">
        <v>228456</v>
      </c>
      <c r="G482" s="188">
        <v>228456</v>
      </c>
      <c r="H482" s="128"/>
      <c r="I482" s="188">
        <v>226941</v>
      </c>
      <c r="J482" s="188">
        <v>226426</v>
      </c>
      <c r="K482" s="188">
        <v>226426</v>
      </c>
      <c r="L482" s="188">
        <v>226426</v>
      </c>
      <c r="M482" s="70"/>
      <c r="N482" s="188">
        <v>224745</v>
      </c>
      <c r="O482" s="188">
        <v>224745</v>
      </c>
      <c r="P482" s="188">
        <v>224745</v>
      </c>
      <c r="Q482" s="128"/>
      <c r="R482" s="128"/>
      <c r="S482" s="188">
        <v>221602</v>
      </c>
      <c r="T482" s="188">
        <v>221602</v>
      </c>
      <c r="U482" s="188">
        <v>221602</v>
      </c>
      <c r="V482" s="61"/>
      <c r="W482" s="58"/>
      <c r="X482" s="188">
        <v>272176</v>
      </c>
      <c r="Y482" s="188">
        <v>272176</v>
      </c>
      <c r="Z482" s="128"/>
      <c r="AA482" s="128"/>
      <c r="AB482" s="128"/>
      <c r="AC482" s="188">
        <v>268632</v>
      </c>
      <c r="AD482" s="188">
        <v>268684</v>
      </c>
      <c r="AE482" s="61"/>
      <c r="AF482" s="65"/>
      <c r="AG482" s="58"/>
      <c r="AH482" s="188">
        <v>239740</v>
      </c>
      <c r="AI482" s="128"/>
      <c r="AJ482" s="128"/>
      <c r="AK482" s="128"/>
      <c r="AL482" s="128"/>
      <c r="AM482" s="188">
        <v>234743</v>
      </c>
      <c r="AN482" s="135"/>
      <c r="AO482" s="135"/>
      <c r="AP482" s="135"/>
    </row>
    <row r="483" spans="1:42" x14ac:dyDescent="0.25">
      <c r="A483" t="s">
        <v>96</v>
      </c>
      <c r="B483" t="s">
        <v>42</v>
      </c>
      <c r="C483" s="212" t="str">
        <f t="shared" si="7"/>
        <v>Osceola Circuit Civil</v>
      </c>
      <c r="D483" s="188">
        <v>785369.99</v>
      </c>
      <c r="E483" s="188">
        <v>784179.99</v>
      </c>
      <c r="F483" s="188">
        <v>783779.99</v>
      </c>
      <c r="G483" s="188">
        <v>781964.99</v>
      </c>
      <c r="H483" s="128"/>
      <c r="I483" s="188">
        <v>770187.64</v>
      </c>
      <c r="J483" s="188">
        <v>776060.49</v>
      </c>
      <c r="K483" s="188">
        <v>775662.99</v>
      </c>
      <c r="L483" s="188">
        <v>773867.99</v>
      </c>
      <c r="M483" s="70"/>
      <c r="N483" s="188">
        <v>797474.25</v>
      </c>
      <c r="O483" s="188">
        <v>795474.55</v>
      </c>
      <c r="P483" s="188">
        <v>794569.55</v>
      </c>
      <c r="Q483" s="128"/>
      <c r="R483" s="128"/>
      <c r="S483" s="188">
        <v>759904.16</v>
      </c>
      <c r="T483" s="188">
        <v>770744.16</v>
      </c>
      <c r="U483" s="188">
        <v>779225.55</v>
      </c>
      <c r="V483" s="61"/>
      <c r="W483" s="58"/>
      <c r="X483" s="188">
        <v>810256.93</v>
      </c>
      <c r="Y483" s="188">
        <v>808927.18</v>
      </c>
      <c r="Z483" s="128"/>
      <c r="AA483" s="128"/>
      <c r="AB483" s="128"/>
      <c r="AC483" s="188">
        <v>803715.87</v>
      </c>
      <c r="AD483" s="188">
        <v>805506.78</v>
      </c>
      <c r="AE483" s="61"/>
      <c r="AF483" s="65"/>
      <c r="AG483" s="58"/>
      <c r="AH483" s="188">
        <v>1014857.87</v>
      </c>
      <c r="AI483" s="128"/>
      <c r="AJ483" s="128"/>
      <c r="AK483" s="128"/>
      <c r="AL483" s="128"/>
      <c r="AM483" s="188">
        <v>989464.17</v>
      </c>
      <c r="AN483" s="135"/>
      <c r="AO483" s="135"/>
      <c r="AP483" s="135"/>
    </row>
    <row r="484" spans="1:42" x14ac:dyDescent="0.25">
      <c r="A484" t="s">
        <v>96</v>
      </c>
      <c r="B484" t="s">
        <v>38</v>
      </c>
      <c r="C484" s="212" t="str">
        <f t="shared" si="7"/>
        <v>Osceola Circuit Criminal</v>
      </c>
      <c r="D484" s="188">
        <v>4130434.21</v>
      </c>
      <c r="E484" s="188">
        <v>4124908.21</v>
      </c>
      <c r="F484" s="188">
        <v>4122962.71</v>
      </c>
      <c r="G484" s="188">
        <v>4122477.71</v>
      </c>
      <c r="H484" s="128"/>
      <c r="I484" s="188">
        <v>123953.92</v>
      </c>
      <c r="J484" s="188">
        <v>151265.76</v>
      </c>
      <c r="K484" s="188">
        <v>168786.67</v>
      </c>
      <c r="L484" s="188">
        <v>189150.52</v>
      </c>
      <c r="M484" s="70"/>
      <c r="N484" s="188">
        <v>2900181.25</v>
      </c>
      <c r="O484" s="188">
        <v>2895851.5</v>
      </c>
      <c r="P484" s="188">
        <v>2892540</v>
      </c>
      <c r="Q484" s="128"/>
      <c r="R484" s="128"/>
      <c r="S484" s="188">
        <v>85917.14</v>
      </c>
      <c r="T484" s="188">
        <v>116390.87</v>
      </c>
      <c r="U484" s="188">
        <v>142455.67000000001</v>
      </c>
      <c r="V484" s="61"/>
      <c r="W484" s="58"/>
      <c r="X484" s="188">
        <v>3598778.84</v>
      </c>
      <c r="Y484" s="188">
        <v>3589018.23</v>
      </c>
      <c r="Z484" s="128"/>
      <c r="AA484" s="128"/>
      <c r="AB484" s="128"/>
      <c r="AC484" s="188">
        <v>72135.97</v>
      </c>
      <c r="AD484" s="188">
        <v>95254.98</v>
      </c>
      <c r="AE484" s="61"/>
      <c r="AF484" s="65"/>
      <c r="AG484" s="58"/>
      <c r="AH484" s="188">
        <v>2832703.21</v>
      </c>
      <c r="AI484" s="128"/>
      <c r="AJ484" s="128"/>
      <c r="AK484" s="128"/>
      <c r="AL484" s="128"/>
      <c r="AM484" s="188">
        <v>100055.98</v>
      </c>
      <c r="AN484" s="135"/>
      <c r="AO484" s="135"/>
      <c r="AP484" s="135"/>
    </row>
    <row r="485" spans="1:42" x14ac:dyDescent="0.25">
      <c r="A485" t="s">
        <v>96</v>
      </c>
      <c r="B485" t="s">
        <v>265</v>
      </c>
      <c r="C485" s="212" t="str">
        <f t="shared" si="7"/>
        <v>Osceola Circuit Criminal Drug Cases</v>
      </c>
      <c r="D485" s="188">
        <v>2474671.5699999998</v>
      </c>
      <c r="E485" s="188">
        <v>2474621.5699999998</v>
      </c>
      <c r="F485" s="188">
        <v>2474371.5699999998</v>
      </c>
      <c r="G485" s="188">
        <v>3120330.57</v>
      </c>
      <c r="H485" s="63"/>
      <c r="I485" s="188">
        <v>90.36</v>
      </c>
      <c r="J485" s="188">
        <v>323.64999999999998</v>
      </c>
      <c r="K485" s="188">
        <v>473.07</v>
      </c>
      <c r="L485" s="188">
        <v>763.26</v>
      </c>
      <c r="N485" s="188">
        <v>1613963</v>
      </c>
      <c r="O485" s="188">
        <v>1613863</v>
      </c>
      <c r="P485" s="188">
        <v>1720261</v>
      </c>
      <c r="Q485" s="63"/>
      <c r="R485" s="63"/>
      <c r="S485" s="188">
        <v>406.93</v>
      </c>
      <c r="T485" s="188">
        <v>598.16</v>
      </c>
      <c r="U485" s="188">
        <v>789.39</v>
      </c>
      <c r="X485" s="188">
        <v>2428349.7000000002</v>
      </c>
      <c r="Y485" s="188">
        <v>2430457.7599999998</v>
      </c>
      <c r="Z485" s="63"/>
      <c r="AB485" s="63"/>
      <c r="AC485" s="188">
        <v>3209.94</v>
      </c>
      <c r="AD485" s="188">
        <v>150</v>
      </c>
      <c r="AH485" s="188">
        <v>1353808.87</v>
      </c>
      <c r="AI485" s="63"/>
      <c r="AL485" s="63"/>
      <c r="AM485" s="188">
        <v>3334.44</v>
      </c>
    </row>
    <row r="486" spans="1:42" x14ac:dyDescent="0.25">
      <c r="A486" t="s">
        <v>96</v>
      </c>
      <c r="B486" t="s">
        <v>44</v>
      </c>
      <c r="C486" s="212" t="str">
        <f t="shared" si="7"/>
        <v>Osceola Civil Traffic</v>
      </c>
      <c r="D486" s="188">
        <v>3263825.23</v>
      </c>
      <c r="E486" s="188">
        <v>3345149.66</v>
      </c>
      <c r="F486" s="188">
        <v>3233974.91</v>
      </c>
      <c r="G486" s="188">
        <v>3223530.91</v>
      </c>
      <c r="H486" s="128"/>
      <c r="I486" s="188">
        <v>1280965.08</v>
      </c>
      <c r="J486" s="188">
        <v>2185210.63</v>
      </c>
      <c r="K486" s="188">
        <v>2640332.81</v>
      </c>
      <c r="L486" s="188">
        <v>2842235.3</v>
      </c>
      <c r="M486" s="70"/>
      <c r="N486" s="188">
        <v>3287961.8</v>
      </c>
      <c r="O486" s="188">
        <v>3129381.65</v>
      </c>
      <c r="P486" s="188">
        <v>3075187.14</v>
      </c>
      <c r="Q486" s="128"/>
      <c r="R486" s="128"/>
      <c r="S486" s="188">
        <v>1230853.56</v>
      </c>
      <c r="T486" s="188">
        <v>2055397.33</v>
      </c>
      <c r="U486" s="188">
        <v>2473709.39</v>
      </c>
      <c r="V486" s="61"/>
      <c r="W486" s="58"/>
      <c r="X486" s="188">
        <v>3340234.91</v>
      </c>
      <c r="Y486" s="188">
        <v>3504141.82</v>
      </c>
      <c r="Z486" s="128"/>
      <c r="AA486" s="128"/>
      <c r="AB486" s="128"/>
      <c r="AC486" s="188">
        <v>1375976.67</v>
      </c>
      <c r="AD486" s="188">
        <v>2337392.4500000002</v>
      </c>
      <c r="AE486" s="61"/>
      <c r="AF486" s="65"/>
      <c r="AG486" s="58"/>
      <c r="AH486" s="188">
        <v>3413001.55</v>
      </c>
      <c r="AI486" s="128"/>
      <c r="AJ486" s="128"/>
      <c r="AK486" s="128"/>
      <c r="AL486" s="128"/>
      <c r="AM486" s="188">
        <v>1274528.7</v>
      </c>
      <c r="AN486" s="135"/>
      <c r="AO486" s="135"/>
      <c r="AP486" s="135"/>
    </row>
    <row r="487" spans="1:42" x14ac:dyDescent="0.25">
      <c r="A487" t="s">
        <v>96</v>
      </c>
      <c r="B487" t="s">
        <v>43</v>
      </c>
      <c r="C487" s="212" t="str">
        <f t="shared" si="7"/>
        <v>Osceola County Civil</v>
      </c>
      <c r="D487" s="188">
        <v>302477.75</v>
      </c>
      <c r="E487" s="188">
        <v>302177.75</v>
      </c>
      <c r="F487" s="188">
        <v>302141.75</v>
      </c>
      <c r="G487" s="188">
        <v>302141.75</v>
      </c>
      <c r="H487" s="128"/>
      <c r="I487" s="188">
        <v>288135.52</v>
      </c>
      <c r="J487" s="188">
        <v>299735.96999999997</v>
      </c>
      <c r="K487" s="188">
        <v>299739.8</v>
      </c>
      <c r="L487" s="188">
        <v>299739.8</v>
      </c>
      <c r="M487" s="70"/>
      <c r="N487" s="188">
        <v>306561.58</v>
      </c>
      <c r="O487" s="188">
        <v>306561.58</v>
      </c>
      <c r="P487" s="188">
        <v>306561.65999999997</v>
      </c>
      <c r="Q487" s="128"/>
      <c r="R487" s="128"/>
      <c r="S487" s="188">
        <v>298895.43</v>
      </c>
      <c r="T487" s="188">
        <v>305509.40999999997</v>
      </c>
      <c r="U487" s="188">
        <v>305509.40999999997</v>
      </c>
      <c r="V487" s="61"/>
      <c r="W487" s="58"/>
      <c r="X487" s="188">
        <v>340361.87</v>
      </c>
      <c r="Y487" s="188">
        <v>340060.14</v>
      </c>
      <c r="Z487" s="128"/>
      <c r="AA487" s="128"/>
      <c r="AB487" s="128"/>
      <c r="AC487" s="188">
        <v>335038.43</v>
      </c>
      <c r="AD487" s="188">
        <v>337905.14</v>
      </c>
      <c r="AE487" s="61"/>
      <c r="AF487" s="65"/>
      <c r="AG487" s="58"/>
      <c r="AH487" s="188">
        <v>322223.03999999998</v>
      </c>
      <c r="AI487" s="128"/>
      <c r="AJ487" s="128"/>
      <c r="AK487" s="128"/>
      <c r="AL487" s="128"/>
      <c r="AM487" s="188">
        <v>313095.57</v>
      </c>
      <c r="AN487" s="135"/>
      <c r="AO487" s="135"/>
      <c r="AP487" s="135"/>
    </row>
    <row r="488" spans="1:42" x14ac:dyDescent="0.25">
      <c r="A488" t="s">
        <v>96</v>
      </c>
      <c r="B488" t="s">
        <v>39</v>
      </c>
      <c r="C488" s="212" t="str">
        <f t="shared" si="7"/>
        <v>Osceola County Criminal</v>
      </c>
      <c r="D488" s="188">
        <v>419023.54</v>
      </c>
      <c r="E488" s="188">
        <v>414707.94</v>
      </c>
      <c r="F488" s="188">
        <v>413656.44</v>
      </c>
      <c r="G488" s="188">
        <v>411861.94</v>
      </c>
      <c r="H488" s="128"/>
      <c r="I488" s="188">
        <v>113112.69</v>
      </c>
      <c r="J488" s="188">
        <v>162676.28</v>
      </c>
      <c r="K488" s="188">
        <v>191881.57</v>
      </c>
      <c r="L488" s="188">
        <v>207553.99</v>
      </c>
      <c r="M488" s="70"/>
      <c r="N488" s="188">
        <v>414892.09</v>
      </c>
      <c r="O488" s="188">
        <v>409289.59</v>
      </c>
      <c r="P488" s="188">
        <v>408590.73</v>
      </c>
      <c r="Q488" s="128"/>
      <c r="R488" s="128"/>
      <c r="S488" s="188">
        <v>121251.69</v>
      </c>
      <c r="T488" s="188">
        <v>171480.65</v>
      </c>
      <c r="U488" s="188">
        <v>203194.32</v>
      </c>
      <c r="V488" s="61"/>
      <c r="W488" s="58"/>
      <c r="X488" s="188">
        <v>384199.65</v>
      </c>
      <c r="Y488" s="188">
        <v>378142.15</v>
      </c>
      <c r="Z488" s="128"/>
      <c r="AA488" s="128"/>
      <c r="AB488" s="128"/>
      <c r="AC488" s="188">
        <v>106176.01</v>
      </c>
      <c r="AD488" s="188">
        <v>153553.51</v>
      </c>
      <c r="AE488" s="61"/>
      <c r="AF488" s="65"/>
      <c r="AG488" s="58"/>
      <c r="AH488" s="188">
        <v>463446.86</v>
      </c>
      <c r="AI488" s="128"/>
      <c r="AJ488" s="128"/>
      <c r="AK488" s="128"/>
      <c r="AL488" s="128"/>
      <c r="AM488" s="188">
        <v>115149.4</v>
      </c>
      <c r="AN488" s="135"/>
      <c r="AO488" s="135"/>
      <c r="AP488" s="135"/>
    </row>
    <row r="489" spans="1:42" x14ac:dyDescent="0.25">
      <c r="A489" t="s">
        <v>96</v>
      </c>
      <c r="B489" t="s">
        <v>41</v>
      </c>
      <c r="C489" s="212" t="str">
        <f t="shared" si="7"/>
        <v>Osceola Criminal Traffic</v>
      </c>
      <c r="D489" s="188">
        <v>452298.58</v>
      </c>
      <c r="E489" s="188">
        <v>453618.26</v>
      </c>
      <c r="F489" s="188">
        <v>452821.26</v>
      </c>
      <c r="G489" s="188">
        <v>452175.41</v>
      </c>
      <c r="H489" s="128"/>
      <c r="I489" s="188">
        <v>145928.38</v>
      </c>
      <c r="J489" s="188">
        <v>225173.44</v>
      </c>
      <c r="K489" s="188">
        <v>265904.42</v>
      </c>
      <c r="L489" s="188">
        <v>288810.65999999997</v>
      </c>
      <c r="M489" s="70"/>
      <c r="N489" s="188">
        <v>471473.91999999998</v>
      </c>
      <c r="O489" s="188">
        <v>469552.26</v>
      </c>
      <c r="P489" s="188">
        <v>469068.91</v>
      </c>
      <c r="Q489" s="128"/>
      <c r="R489" s="128"/>
      <c r="S489" s="188">
        <v>148427.29</v>
      </c>
      <c r="T489" s="188">
        <v>234696.94</v>
      </c>
      <c r="U489" s="188">
        <v>278062.28999999998</v>
      </c>
      <c r="V489" s="61"/>
      <c r="W489" s="58"/>
      <c r="X489" s="188">
        <v>480953.75</v>
      </c>
      <c r="Y489" s="188">
        <v>479969.59</v>
      </c>
      <c r="Z489" s="128"/>
      <c r="AA489" s="128"/>
      <c r="AB489" s="128"/>
      <c r="AC489" s="188">
        <v>157628.82999999999</v>
      </c>
      <c r="AD489" s="188">
        <v>234622.33</v>
      </c>
      <c r="AE489" s="61"/>
      <c r="AF489" s="65"/>
      <c r="AG489" s="58"/>
      <c r="AH489" s="188">
        <v>523137.77</v>
      </c>
      <c r="AI489" s="128"/>
      <c r="AJ489" s="128"/>
      <c r="AK489" s="128"/>
      <c r="AL489" s="128"/>
      <c r="AM489" s="188">
        <v>155329.63</v>
      </c>
      <c r="AN489" s="135"/>
      <c r="AO489" s="135"/>
      <c r="AP489" s="135"/>
    </row>
    <row r="490" spans="1:42" x14ac:dyDescent="0.25">
      <c r="A490" t="s">
        <v>96</v>
      </c>
      <c r="B490" t="s">
        <v>46</v>
      </c>
      <c r="C490" s="212" t="str">
        <f t="shared" si="7"/>
        <v>Osceola Family</v>
      </c>
      <c r="D490" s="188">
        <v>167005.22</v>
      </c>
      <c r="E490" s="188">
        <v>167034.22</v>
      </c>
      <c r="F490" s="188">
        <v>167034.22</v>
      </c>
      <c r="G490" s="188">
        <v>167023.72</v>
      </c>
      <c r="H490" s="128"/>
      <c r="I490" s="188">
        <v>157256.72</v>
      </c>
      <c r="J490" s="188">
        <v>159408.97</v>
      </c>
      <c r="K490" s="188">
        <v>160003.47</v>
      </c>
      <c r="L490" s="188">
        <v>160076.47</v>
      </c>
      <c r="M490" s="70"/>
      <c r="N490" s="188">
        <v>188704.05</v>
      </c>
      <c r="O490" s="188">
        <v>188524.05</v>
      </c>
      <c r="P490" s="188">
        <v>187716.55</v>
      </c>
      <c r="Q490" s="128"/>
      <c r="R490" s="128"/>
      <c r="S490" s="188">
        <v>173953</v>
      </c>
      <c r="T490" s="188">
        <v>176290</v>
      </c>
      <c r="U490" s="188">
        <v>176388.5</v>
      </c>
      <c r="V490" s="61"/>
      <c r="W490" s="58"/>
      <c r="X490" s="188">
        <v>197772.15</v>
      </c>
      <c r="Y490" s="188">
        <v>197019.15</v>
      </c>
      <c r="Z490" s="128"/>
      <c r="AA490" s="128"/>
      <c r="AB490" s="128"/>
      <c r="AC490" s="188">
        <v>184959.65</v>
      </c>
      <c r="AD490" s="188">
        <v>186761.15</v>
      </c>
      <c r="AE490" s="61"/>
      <c r="AF490" s="65"/>
      <c r="AG490" s="58"/>
      <c r="AH490" s="188">
        <v>240240.7</v>
      </c>
      <c r="AI490" s="128"/>
      <c r="AJ490" s="128"/>
      <c r="AK490" s="128"/>
      <c r="AL490" s="128"/>
      <c r="AM490" s="188">
        <v>173825.8</v>
      </c>
      <c r="AN490" s="135"/>
      <c r="AO490" s="135"/>
      <c r="AP490" s="135"/>
    </row>
    <row r="491" spans="1:42" x14ac:dyDescent="0.25">
      <c r="A491" t="s">
        <v>96</v>
      </c>
      <c r="B491" t="s">
        <v>40</v>
      </c>
      <c r="C491" s="212" t="str">
        <f t="shared" si="7"/>
        <v>Osceola Juvenile Delinquency</v>
      </c>
      <c r="D491" s="188">
        <v>31627.5</v>
      </c>
      <c r="E491" s="188">
        <v>28739.5</v>
      </c>
      <c r="F491" s="188">
        <v>25815.5</v>
      </c>
      <c r="G491" s="188">
        <v>25038.5</v>
      </c>
      <c r="H491" s="128"/>
      <c r="I491" s="188">
        <v>867.5</v>
      </c>
      <c r="J491" s="188">
        <v>1505.5</v>
      </c>
      <c r="K491" s="188">
        <v>1525.5</v>
      </c>
      <c r="L491" s="188">
        <v>1828.5</v>
      </c>
      <c r="M491" s="70"/>
      <c r="N491" s="188">
        <v>24276</v>
      </c>
      <c r="O491" s="188">
        <v>23483.5</v>
      </c>
      <c r="P491" s="188">
        <v>22776</v>
      </c>
      <c r="Q491" s="128"/>
      <c r="R491" s="128"/>
      <c r="S491" s="188">
        <v>983</v>
      </c>
      <c r="T491" s="188">
        <v>2023</v>
      </c>
      <c r="U491" s="188">
        <v>2742</v>
      </c>
      <c r="V491" s="61"/>
      <c r="W491" s="58"/>
      <c r="X491" s="188">
        <v>24649.5</v>
      </c>
      <c r="Y491" s="188">
        <v>22903.5</v>
      </c>
      <c r="Z491" s="128"/>
      <c r="AA491" s="128"/>
      <c r="AB491" s="128"/>
      <c r="AC491" s="188">
        <v>1390.5</v>
      </c>
      <c r="AD491" s="188">
        <v>1835.5</v>
      </c>
      <c r="AE491" s="61"/>
      <c r="AF491" s="65"/>
      <c r="AG491" s="58"/>
      <c r="AH491" s="188">
        <v>37719</v>
      </c>
      <c r="AI491" s="128"/>
      <c r="AJ491" s="128"/>
      <c r="AK491" s="128"/>
      <c r="AL491" s="128"/>
      <c r="AM491" s="188">
        <v>730.5</v>
      </c>
      <c r="AN491" s="135"/>
      <c r="AO491" s="135"/>
      <c r="AP491" s="135"/>
    </row>
    <row r="492" spans="1:42" x14ac:dyDescent="0.25">
      <c r="A492" t="s">
        <v>96</v>
      </c>
      <c r="B492" t="s">
        <v>45</v>
      </c>
      <c r="C492" s="212" t="str">
        <f t="shared" si="7"/>
        <v>Osceola Probate</v>
      </c>
      <c r="D492" s="188">
        <v>66389.25</v>
      </c>
      <c r="E492" s="188">
        <v>62129.25</v>
      </c>
      <c r="F492" s="188">
        <v>62044.25</v>
      </c>
      <c r="G492" s="188">
        <v>61237.25</v>
      </c>
      <c r="H492" s="128"/>
      <c r="I492" s="188">
        <v>55506.25</v>
      </c>
      <c r="J492" s="188">
        <v>56567.25</v>
      </c>
      <c r="K492" s="188">
        <v>56567.25</v>
      </c>
      <c r="L492" s="188">
        <v>55760.25</v>
      </c>
      <c r="M492" s="70"/>
      <c r="N492" s="188">
        <v>72432.600000000006</v>
      </c>
      <c r="O492" s="188">
        <v>72201.600000000006</v>
      </c>
      <c r="P492" s="188">
        <v>72031.600000000006</v>
      </c>
      <c r="Q492" s="128"/>
      <c r="R492" s="128"/>
      <c r="S492" s="188">
        <v>71321.600000000006</v>
      </c>
      <c r="T492" s="188">
        <v>71531.600000000006</v>
      </c>
      <c r="U492" s="188">
        <v>71361.600000000006</v>
      </c>
      <c r="V492" s="61"/>
      <c r="W492" s="58"/>
      <c r="X492" s="188">
        <v>70655.199999999997</v>
      </c>
      <c r="Y492" s="188">
        <v>70655.199999999997</v>
      </c>
      <c r="Z492" s="128"/>
      <c r="AA492" s="128"/>
      <c r="AB492" s="128"/>
      <c r="AC492" s="188">
        <v>68257.2</v>
      </c>
      <c r="AD492" s="188">
        <v>69609.2</v>
      </c>
      <c r="AE492" s="61"/>
      <c r="AF492" s="65"/>
      <c r="AG492" s="58"/>
      <c r="AH492" s="188">
        <v>71017.039999999994</v>
      </c>
      <c r="AI492" s="128"/>
      <c r="AJ492" s="128"/>
      <c r="AK492" s="128"/>
      <c r="AL492" s="128"/>
      <c r="AM492" s="188">
        <v>56176.04</v>
      </c>
      <c r="AN492" s="135"/>
      <c r="AO492" s="135"/>
      <c r="AP492" s="135"/>
    </row>
    <row r="493" spans="1:42" x14ac:dyDescent="0.25">
      <c r="A493" t="s">
        <v>97</v>
      </c>
      <c r="B493" t="s">
        <v>42</v>
      </c>
      <c r="C493" s="212" t="str">
        <f t="shared" si="7"/>
        <v>Palm Beach Circuit Civil</v>
      </c>
      <c r="D493" s="188">
        <v>5112993.49</v>
      </c>
      <c r="E493" s="188">
        <v>5111003.33</v>
      </c>
      <c r="F493" s="188">
        <v>5100717.71</v>
      </c>
      <c r="G493" s="188">
        <v>5100220.21</v>
      </c>
      <c r="H493" s="128"/>
      <c r="I493" s="188">
        <v>5006650.3899999997</v>
      </c>
      <c r="J493" s="188">
        <v>5029525.21</v>
      </c>
      <c r="K493" s="188">
        <v>5024264.53</v>
      </c>
      <c r="L493" s="188">
        <v>5025232.03</v>
      </c>
      <c r="M493" s="70"/>
      <c r="N493" s="188">
        <v>4860253.29</v>
      </c>
      <c r="O493" s="188">
        <v>4844776.1100000003</v>
      </c>
      <c r="P493" s="188">
        <v>4844470.29</v>
      </c>
      <c r="Q493" s="128"/>
      <c r="R493" s="128"/>
      <c r="S493" s="188">
        <v>4752361.43</v>
      </c>
      <c r="T493" s="188">
        <v>4757290.07</v>
      </c>
      <c r="U493" s="188">
        <v>4761253.43</v>
      </c>
      <c r="V493" s="61"/>
      <c r="W493" s="58"/>
      <c r="X493" s="188">
        <v>5019463.7</v>
      </c>
      <c r="Y493" s="188">
        <v>5016230.5199999996</v>
      </c>
      <c r="Z493" s="128"/>
      <c r="AA493" s="128"/>
      <c r="AB493" s="128"/>
      <c r="AC493" s="188">
        <v>4461464.32</v>
      </c>
      <c r="AD493" s="188">
        <v>4470437.7300000004</v>
      </c>
      <c r="AE493" s="61"/>
      <c r="AF493" s="65"/>
      <c r="AG493" s="58"/>
      <c r="AH493" s="188">
        <v>5517648.5</v>
      </c>
      <c r="AI493" s="128"/>
      <c r="AJ493" s="128"/>
      <c r="AK493" s="128"/>
      <c r="AL493" s="128"/>
      <c r="AM493" s="188">
        <v>5389032.2199999997</v>
      </c>
      <c r="AN493" s="135"/>
      <c r="AO493" s="135"/>
      <c r="AP493" s="135"/>
    </row>
    <row r="494" spans="1:42" x14ac:dyDescent="0.25">
      <c r="A494" t="s">
        <v>97</v>
      </c>
      <c r="B494" t="s">
        <v>38</v>
      </c>
      <c r="C494" s="212" t="str">
        <f t="shared" si="7"/>
        <v>Palm Beach Circuit Criminal</v>
      </c>
      <c r="D494" s="188">
        <v>1703795.33</v>
      </c>
      <c r="E494" s="188">
        <v>1648608.76</v>
      </c>
      <c r="F494" s="188">
        <v>1646033.24</v>
      </c>
      <c r="G494" s="188">
        <v>1641592.97</v>
      </c>
      <c r="H494" s="128"/>
      <c r="I494" s="188">
        <v>72740.960000000006</v>
      </c>
      <c r="J494" s="188">
        <v>106079.67</v>
      </c>
      <c r="K494" s="188">
        <v>129423.41</v>
      </c>
      <c r="L494" s="188">
        <v>154119.19</v>
      </c>
      <c r="M494" s="70"/>
      <c r="N494" s="188">
        <v>1710478.03</v>
      </c>
      <c r="O494" s="188">
        <v>1697708.95</v>
      </c>
      <c r="P494" s="188">
        <v>1692124.02</v>
      </c>
      <c r="Q494" s="128"/>
      <c r="R494" s="128"/>
      <c r="S494" s="188">
        <v>60590.6</v>
      </c>
      <c r="T494" s="188">
        <v>97652.11</v>
      </c>
      <c r="U494" s="188">
        <v>130149.16</v>
      </c>
      <c r="V494" s="61"/>
      <c r="W494" s="58"/>
      <c r="X494" s="188">
        <v>1936477.78</v>
      </c>
      <c r="Y494" s="188">
        <v>1916671.48</v>
      </c>
      <c r="Z494" s="128"/>
      <c r="AA494" s="128"/>
      <c r="AB494" s="128"/>
      <c r="AC494" s="188">
        <v>83323.98</v>
      </c>
      <c r="AD494" s="188">
        <v>115351.92</v>
      </c>
      <c r="AE494" s="61"/>
      <c r="AF494" s="65"/>
      <c r="AG494" s="58"/>
      <c r="AH494" s="188">
        <v>1215192.1399999999</v>
      </c>
      <c r="AI494" s="128"/>
      <c r="AJ494" s="128"/>
      <c r="AK494" s="128"/>
      <c r="AL494" s="128"/>
      <c r="AM494" s="188">
        <v>63408.41</v>
      </c>
      <c r="AN494" s="135"/>
      <c r="AO494" s="135"/>
      <c r="AP494" s="135"/>
    </row>
    <row r="495" spans="1:42" x14ac:dyDescent="0.25">
      <c r="A495" t="s">
        <v>97</v>
      </c>
      <c r="B495" t="s">
        <v>265</v>
      </c>
      <c r="C495" s="212" t="str">
        <f t="shared" si="7"/>
        <v>Palm Beach Circuit Criminal Drug Cases</v>
      </c>
      <c r="D495" s="188">
        <v>212050</v>
      </c>
      <c r="E495" s="188">
        <v>212050</v>
      </c>
      <c r="F495" s="188">
        <v>212050</v>
      </c>
      <c r="G495" s="188">
        <v>212050</v>
      </c>
      <c r="H495" s="63"/>
      <c r="I495" s="188">
        <v>0</v>
      </c>
      <c r="J495" s="188">
        <v>0</v>
      </c>
      <c r="K495" s="188">
        <v>0</v>
      </c>
      <c r="L495" s="188">
        <v>0</v>
      </c>
      <c r="N495" s="188">
        <v>581283.05000000005</v>
      </c>
      <c r="O495" s="188">
        <v>581283</v>
      </c>
      <c r="P495" s="188">
        <v>581283</v>
      </c>
      <c r="Q495" s="63"/>
      <c r="R495" s="63"/>
      <c r="S495" s="188">
        <v>0</v>
      </c>
      <c r="T495" s="188">
        <v>0</v>
      </c>
      <c r="U495" s="188">
        <v>0</v>
      </c>
      <c r="X495" s="188">
        <v>789610</v>
      </c>
      <c r="Y495" s="188">
        <v>789640</v>
      </c>
      <c r="Z495" s="63"/>
      <c r="AB495" s="63"/>
      <c r="AC495" s="188">
        <v>0</v>
      </c>
      <c r="AD495" s="188">
        <v>0</v>
      </c>
      <c r="AH495" s="188">
        <v>1634113.15</v>
      </c>
      <c r="AI495" s="63"/>
      <c r="AL495" s="63"/>
      <c r="AM495" s="188">
        <v>0</v>
      </c>
    </row>
    <row r="496" spans="1:42" x14ac:dyDescent="0.25">
      <c r="A496" t="s">
        <v>97</v>
      </c>
      <c r="B496" t="s">
        <v>44</v>
      </c>
      <c r="C496" s="212" t="str">
        <f t="shared" si="7"/>
        <v>Palm Beach Civil Traffic</v>
      </c>
      <c r="D496" s="188">
        <v>8377112.0700000003</v>
      </c>
      <c r="E496" s="188">
        <v>7419785.1600000001</v>
      </c>
      <c r="F496" s="188">
        <v>7351642.5999999996</v>
      </c>
      <c r="G496" s="188">
        <v>7330746.0999999996</v>
      </c>
      <c r="H496" s="128"/>
      <c r="I496" s="188">
        <v>3632003.63</v>
      </c>
      <c r="J496" s="188">
        <v>6068243.2599999998</v>
      </c>
      <c r="K496" s="188">
        <v>6387547.2300000004</v>
      </c>
      <c r="L496" s="188">
        <v>6505397.3899999997</v>
      </c>
      <c r="M496" s="70"/>
      <c r="N496" s="188">
        <v>8545208.0899999999</v>
      </c>
      <c r="O496" s="188">
        <v>7569477.5599999996</v>
      </c>
      <c r="P496" s="188">
        <v>7516751.0599999996</v>
      </c>
      <c r="Q496" s="128"/>
      <c r="R496" s="128"/>
      <c r="S496" s="188">
        <v>3998438.38</v>
      </c>
      <c r="T496" s="188">
        <v>6318859.4199999999</v>
      </c>
      <c r="U496" s="188">
        <v>6596513.5700000003</v>
      </c>
      <c r="V496" s="61"/>
      <c r="W496" s="58"/>
      <c r="X496" s="188">
        <v>8297252.4699999997</v>
      </c>
      <c r="Y496" s="188">
        <v>7399628.04</v>
      </c>
      <c r="Z496" s="128"/>
      <c r="AA496" s="128"/>
      <c r="AB496" s="128"/>
      <c r="AC496" s="188">
        <v>3882540.42</v>
      </c>
      <c r="AD496" s="188">
        <v>6192205.0300000003</v>
      </c>
      <c r="AE496" s="61"/>
      <c r="AF496" s="65"/>
      <c r="AG496" s="58"/>
      <c r="AH496" s="188">
        <v>9566453.7799999993</v>
      </c>
      <c r="AI496" s="128"/>
      <c r="AJ496" s="128"/>
      <c r="AK496" s="128"/>
      <c r="AL496" s="128"/>
      <c r="AM496" s="188">
        <v>4078149.79</v>
      </c>
      <c r="AN496" s="135"/>
      <c r="AO496" s="135"/>
      <c r="AP496" s="135"/>
    </row>
    <row r="497" spans="1:42" x14ac:dyDescent="0.25">
      <c r="A497" t="s">
        <v>97</v>
      </c>
      <c r="B497" t="s">
        <v>43</v>
      </c>
      <c r="C497" s="212" t="str">
        <f t="shared" si="7"/>
        <v>Palm Beach County Civil</v>
      </c>
      <c r="D497" s="188">
        <v>1558349.69</v>
      </c>
      <c r="E497" s="188">
        <v>1558039.69</v>
      </c>
      <c r="F497" s="188">
        <v>1557264.69</v>
      </c>
      <c r="G497" s="188">
        <v>1557264.69</v>
      </c>
      <c r="H497" s="128"/>
      <c r="I497" s="188">
        <v>1550855.09</v>
      </c>
      <c r="J497" s="188">
        <v>1552908.19</v>
      </c>
      <c r="K497" s="188">
        <v>1552708.69</v>
      </c>
      <c r="L497" s="188">
        <v>1552708.69</v>
      </c>
      <c r="M497" s="70"/>
      <c r="N497" s="188">
        <v>1539522.5</v>
      </c>
      <c r="O497" s="188">
        <v>1536310.6</v>
      </c>
      <c r="P497" s="188">
        <v>1536310.6</v>
      </c>
      <c r="Q497" s="128"/>
      <c r="R497" s="128"/>
      <c r="S497" s="188">
        <v>1531997.9</v>
      </c>
      <c r="T497" s="188">
        <v>1533039.7</v>
      </c>
      <c r="U497" s="188">
        <v>1533650.2</v>
      </c>
      <c r="V497" s="61"/>
      <c r="W497" s="58"/>
      <c r="X497" s="188">
        <v>1605943.96</v>
      </c>
      <c r="Y497" s="188">
        <v>1605193.96</v>
      </c>
      <c r="Z497" s="128"/>
      <c r="AA497" s="128"/>
      <c r="AB497" s="128"/>
      <c r="AC497" s="188">
        <v>1598726.61</v>
      </c>
      <c r="AD497" s="188">
        <v>1601122.61</v>
      </c>
      <c r="AE497" s="61"/>
      <c r="AF497" s="65"/>
      <c r="AG497" s="58"/>
      <c r="AH497" s="188">
        <v>1703189.01</v>
      </c>
      <c r="AI497" s="128"/>
      <c r="AJ497" s="128"/>
      <c r="AK497" s="128"/>
      <c r="AL497" s="128"/>
      <c r="AM497" s="188">
        <v>1694535.57</v>
      </c>
      <c r="AN497" s="135"/>
      <c r="AO497" s="135"/>
      <c r="AP497" s="135"/>
    </row>
    <row r="498" spans="1:42" x14ac:dyDescent="0.25">
      <c r="A498" t="s">
        <v>97</v>
      </c>
      <c r="B498" t="s">
        <v>39</v>
      </c>
      <c r="C498" s="212" t="str">
        <f t="shared" si="7"/>
        <v>Palm Beach County Criminal</v>
      </c>
      <c r="D498" s="188">
        <v>970068.84</v>
      </c>
      <c r="E498" s="188">
        <v>955204.75</v>
      </c>
      <c r="F498" s="188">
        <v>936918.22</v>
      </c>
      <c r="G498" s="188">
        <v>935161.52</v>
      </c>
      <c r="H498" s="128"/>
      <c r="I498" s="188">
        <v>180951.21</v>
      </c>
      <c r="J498" s="188">
        <v>244715.54</v>
      </c>
      <c r="K498" s="188">
        <v>276736.68</v>
      </c>
      <c r="L498" s="188">
        <v>300111.94</v>
      </c>
      <c r="M498" s="70"/>
      <c r="N498" s="188">
        <v>1099692.22</v>
      </c>
      <c r="O498" s="188">
        <v>1076659.47</v>
      </c>
      <c r="P498" s="188">
        <v>1066788.46</v>
      </c>
      <c r="Q498" s="128"/>
      <c r="R498" s="128"/>
      <c r="S498" s="188">
        <v>195953.55</v>
      </c>
      <c r="T498" s="188">
        <v>256408.63</v>
      </c>
      <c r="U498" s="188">
        <v>300396.92</v>
      </c>
      <c r="V498" s="61"/>
      <c r="W498" s="58"/>
      <c r="X498" s="188">
        <v>1084990.21</v>
      </c>
      <c r="Y498" s="188">
        <v>1075205.25</v>
      </c>
      <c r="Z498" s="128"/>
      <c r="AA498" s="128"/>
      <c r="AB498" s="128"/>
      <c r="AC498" s="188">
        <v>180224.3</v>
      </c>
      <c r="AD498" s="188">
        <v>246156.71</v>
      </c>
      <c r="AE498" s="61"/>
      <c r="AF498" s="65"/>
      <c r="AG498" s="58"/>
      <c r="AH498" s="188">
        <v>1078274.6599999999</v>
      </c>
      <c r="AI498" s="128"/>
      <c r="AJ498" s="128"/>
      <c r="AK498" s="128"/>
      <c r="AL498" s="128"/>
      <c r="AM498" s="188">
        <v>183873.05</v>
      </c>
      <c r="AN498" s="135"/>
      <c r="AO498" s="135"/>
      <c r="AP498" s="135"/>
    </row>
    <row r="499" spans="1:42" x14ac:dyDescent="0.25">
      <c r="A499" t="s">
        <v>97</v>
      </c>
      <c r="B499" t="s">
        <v>41</v>
      </c>
      <c r="C499" s="212" t="str">
        <f t="shared" si="7"/>
        <v>Palm Beach Criminal Traffic</v>
      </c>
      <c r="D499" s="188">
        <v>1887385.6000000001</v>
      </c>
      <c r="E499" s="188">
        <v>1858159.91</v>
      </c>
      <c r="F499" s="188">
        <v>1825896.64</v>
      </c>
      <c r="G499" s="188">
        <v>1797374.4</v>
      </c>
      <c r="H499" s="128"/>
      <c r="I499" s="188">
        <v>449934.3</v>
      </c>
      <c r="J499" s="188">
        <v>721794.94</v>
      </c>
      <c r="K499" s="188">
        <v>849909.03</v>
      </c>
      <c r="L499" s="188">
        <v>943667.72</v>
      </c>
      <c r="M499" s="70"/>
      <c r="N499" s="188">
        <v>2094214.82</v>
      </c>
      <c r="O499" s="188">
        <v>2064316.1</v>
      </c>
      <c r="P499" s="188">
        <v>2030753.34</v>
      </c>
      <c r="Q499" s="128"/>
      <c r="R499" s="128"/>
      <c r="S499" s="188">
        <v>529947.53</v>
      </c>
      <c r="T499" s="188">
        <v>782724.61</v>
      </c>
      <c r="U499" s="188">
        <v>919963.78</v>
      </c>
      <c r="V499" s="61"/>
      <c r="W499" s="58"/>
      <c r="X499" s="188">
        <v>1985073.75</v>
      </c>
      <c r="Y499" s="188">
        <v>1954027.04</v>
      </c>
      <c r="Z499" s="128"/>
      <c r="AA499" s="128"/>
      <c r="AB499" s="128"/>
      <c r="AC499" s="188">
        <v>523856.22</v>
      </c>
      <c r="AD499" s="188">
        <v>725436.99</v>
      </c>
      <c r="AE499" s="61"/>
      <c r="AF499" s="65"/>
      <c r="AG499" s="58"/>
      <c r="AH499" s="188">
        <v>1994938.7</v>
      </c>
      <c r="AI499" s="128"/>
      <c r="AJ499" s="128"/>
      <c r="AK499" s="128"/>
      <c r="AL499" s="128"/>
      <c r="AM499" s="188">
        <v>449283.41</v>
      </c>
      <c r="AN499" s="135"/>
      <c r="AO499" s="135"/>
      <c r="AP499" s="135"/>
    </row>
    <row r="500" spans="1:42" x14ac:dyDescent="0.25">
      <c r="A500" t="s">
        <v>97</v>
      </c>
      <c r="B500" t="s">
        <v>46</v>
      </c>
      <c r="C500" s="212" t="str">
        <f t="shared" si="7"/>
        <v>Palm Beach Family</v>
      </c>
      <c r="D500" s="188">
        <v>697619.4</v>
      </c>
      <c r="E500" s="188">
        <v>697068.4</v>
      </c>
      <c r="F500" s="188">
        <v>696617.4</v>
      </c>
      <c r="G500" s="188">
        <v>696617.4</v>
      </c>
      <c r="H500" s="128"/>
      <c r="I500" s="188">
        <v>674561.66</v>
      </c>
      <c r="J500" s="188">
        <v>675959.5</v>
      </c>
      <c r="K500" s="188">
        <v>676434.5</v>
      </c>
      <c r="L500" s="188">
        <v>676598.5</v>
      </c>
      <c r="M500" s="70"/>
      <c r="N500" s="188">
        <v>800757.55</v>
      </c>
      <c r="O500" s="188">
        <v>799172.55</v>
      </c>
      <c r="P500" s="188">
        <v>798462.55</v>
      </c>
      <c r="Q500" s="128"/>
      <c r="R500" s="128"/>
      <c r="S500" s="188">
        <v>777884.04</v>
      </c>
      <c r="T500" s="188">
        <v>779579.19</v>
      </c>
      <c r="U500" s="188">
        <v>780081.52</v>
      </c>
      <c r="V500" s="61"/>
      <c r="W500" s="58"/>
      <c r="X500" s="188">
        <v>809075.41</v>
      </c>
      <c r="Y500" s="188">
        <v>805927.69</v>
      </c>
      <c r="Z500" s="128"/>
      <c r="AA500" s="128"/>
      <c r="AB500" s="128"/>
      <c r="AC500" s="188">
        <v>781802.61</v>
      </c>
      <c r="AD500" s="188">
        <v>782308.07</v>
      </c>
      <c r="AE500" s="61"/>
      <c r="AF500" s="65"/>
      <c r="AG500" s="58"/>
      <c r="AH500" s="188">
        <v>739328.4</v>
      </c>
      <c r="AI500" s="128"/>
      <c r="AJ500" s="128"/>
      <c r="AK500" s="128"/>
      <c r="AL500" s="128"/>
      <c r="AM500" s="188">
        <v>716479.73</v>
      </c>
      <c r="AN500" s="135"/>
      <c r="AO500" s="135"/>
      <c r="AP500" s="135"/>
    </row>
    <row r="501" spans="1:42" x14ac:dyDescent="0.25">
      <c r="A501" t="s">
        <v>97</v>
      </c>
      <c r="B501" t="s">
        <v>40</v>
      </c>
      <c r="C501" s="212" t="str">
        <f t="shared" si="7"/>
        <v>Palm Beach Juvenile Delinquency</v>
      </c>
      <c r="D501" s="188">
        <v>49141</v>
      </c>
      <c r="E501" s="188">
        <v>48391</v>
      </c>
      <c r="F501" s="188">
        <v>47741</v>
      </c>
      <c r="G501" s="188">
        <v>47491</v>
      </c>
      <c r="H501" s="128"/>
      <c r="I501" s="188">
        <v>1544</v>
      </c>
      <c r="J501" s="188">
        <v>2813.75</v>
      </c>
      <c r="K501" s="188">
        <v>3380.25</v>
      </c>
      <c r="L501" s="188">
        <v>3615.25</v>
      </c>
      <c r="M501" s="70"/>
      <c r="N501" s="188">
        <v>51929</v>
      </c>
      <c r="O501" s="188">
        <v>51529</v>
      </c>
      <c r="P501" s="188">
        <v>51129</v>
      </c>
      <c r="Q501" s="128"/>
      <c r="R501" s="128"/>
      <c r="S501" s="188">
        <v>2514</v>
      </c>
      <c r="T501" s="188">
        <v>3684</v>
      </c>
      <c r="U501" s="188">
        <v>4571.67</v>
      </c>
      <c r="V501" s="61"/>
      <c r="W501" s="58"/>
      <c r="X501" s="188">
        <v>57226</v>
      </c>
      <c r="Y501" s="188">
        <v>56276</v>
      </c>
      <c r="Z501" s="128"/>
      <c r="AA501" s="128"/>
      <c r="AB501" s="128"/>
      <c r="AC501" s="188">
        <v>2617.5</v>
      </c>
      <c r="AD501" s="188">
        <v>3995.83</v>
      </c>
      <c r="AE501" s="61"/>
      <c r="AF501" s="65"/>
      <c r="AG501" s="58"/>
      <c r="AH501" s="188">
        <v>52951.5</v>
      </c>
      <c r="AI501" s="128"/>
      <c r="AJ501" s="128"/>
      <c r="AK501" s="128"/>
      <c r="AL501" s="128"/>
      <c r="AM501" s="188">
        <v>2361.5</v>
      </c>
      <c r="AN501" s="135"/>
      <c r="AO501" s="135"/>
      <c r="AP501" s="135"/>
    </row>
    <row r="502" spans="1:42" x14ac:dyDescent="0.25">
      <c r="A502" t="s">
        <v>97</v>
      </c>
      <c r="B502" t="s">
        <v>45</v>
      </c>
      <c r="C502" s="212" t="str">
        <f t="shared" si="7"/>
        <v>Palm Beach Probate</v>
      </c>
      <c r="D502" s="188">
        <v>565823.96</v>
      </c>
      <c r="E502" s="188">
        <v>565803.96</v>
      </c>
      <c r="F502" s="188">
        <v>562924.96</v>
      </c>
      <c r="G502" s="188">
        <v>560140.96</v>
      </c>
      <c r="H502" s="128"/>
      <c r="I502" s="188">
        <v>557887.02</v>
      </c>
      <c r="J502" s="188">
        <v>558529.02</v>
      </c>
      <c r="K502" s="188">
        <v>556383.02</v>
      </c>
      <c r="L502" s="188">
        <v>556408.02</v>
      </c>
      <c r="M502" s="70"/>
      <c r="N502" s="188">
        <v>624895.04</v>
      </c>
      <c r="O502" s="188">
        <v>617948.04</v>
      </c>
      <c r="P502" s="188">
        <v>617020.04</v>
      </c>
      <c r="Q502" s="128"/>
      <c r="R502" s="128"/>
      <c r="S502" s="188">
        <v>616202.68000000005</v>
      </c>
      <c r="T502" s="188">
        <v>612942.18000000005</v>
      </c>
      <c r="U502" s="188">
        <v>612942.18000000005</v>
      </c>
      <c r="V502" s="61"/>
      <c r="W502" s="58"/>
      <c r="X502" s="188">
        <v>597001.79</v>
      </c>
      <c r="Y502" s="188">
        <v>596653.79</v>
      </c>
      <c r="Z502" s="128"/>
      <c r="AA502" s="128"/>
      <c r="AB502" s="128"/>
      <c r="AC502" s="188">
        <v>590776.91</v>
      </c>
      <c r="AD502" s="188">
        <v>591461.91</v>
      </c>
      <c r="AE502" s="61"/>
      <c r="AF502" s="65"/>
      <c r="AG502" s="58"/>
      <c r="AH502" s="188">
        <v>575761.94999999995</v>
      </c>
      <c r="AI502" s="128"/>
      <c r="AJ502" s="128"/>
      <c r="AK502" s="128"/>
      <c r="AL502" s="128"/>
      <c r="AM502" s="188">
        <v>567621.19999999995</v>
      </c>
      <c r="AN502" s="135"/>
      <c r="AO502" s="135"/>
      <c r="AP502" s="135"/>
    </row>
    <row r="503" spans="1:42" x14ac:dyDescent="0.25">
      <c r="A503" t="s">
        <v>98</v>
      </c>
      <c r="B503" t="s">
        <v>42</v>
      </c>
      <c r="C503" s="212" t="str">
        <f t="shared" si="7"/>
        <v>Pasco Circuit Civil</v>
      </c>
      <c r="D503" s="188">
        <v>1038092.17</v>
      </c>
      <c r="E503" s="188">
        <v>1053297.17</v>
      </c>
      <c r="F503" s="188">
        <v>1053592.17</v>
      </c>
      <c r="G503" s="188">
        <v>1053042.17</v>
      </c>
      <c r="H503" s="128"/>
      <c r="I503" s="188">
        <v>1015883.54</v>
      </c>
      <c r="J503" s="188">
        <v>1042929.37</v>
      </c>
      <c r="K503" s="188">
        <v>1043430.37</v>
      </c>
      <c r="L503" s="188">
        <v>1043663.37</v>
      </c>
      <c r="M503" s="70"/>
      <c r="N503" s="188">
        <v>1016409.73</v>
      </c>
      <c r="O503" s="188">
        <v>1029351.73</v>
      </c>
      <c r="P503" s="188">
        <v>1029796.73</v>
      </c>
      <c r="Q503" s="128"/>
      <c r="R503" s="128"/>
      <c r="S503" s="188">
        <v>991963.83</v>
      </c>
      <c r="T503" s="188">
        <v>1021776.77</v>
      </c>
      <c r="U503" s="188">
        <v>1023346.77</v>
      </c>
      <c r="V503" s="61"/>
      <c r="W503" s="58"/>
      <c r="X503" s="188">
        <v>1126729.5900000001</v>
      </c>
      <c r="Y503" s="188">
        <v>1124553.67</v>
      </c>
      <c r="Z503" s="128"/>
      <c r="AA503" s="128"/>
      <c r="AB503" s="128"/>
      <c r="AC503" s="188">
        <v>1097842.57</v>
      </c>
      <c r="AD503" s="188">
        <v>1112857.0900000001</v>
      </c>
      <c r="AE503" s="61"/>
      <c r="AF503" s="65"/>
      <c r="AG503" s="58"/>
      <c r="AH503" s="188">
        <v>1318039.97</v>
      </c>
      <c r="AI503" s="128"/>
      <c r="AJ503" s="128"/>
      <c r="AK503" s="128"/>
      <c r="AL503" s="128"/>
      <c r="AM503" s="188">
        <v>1270653.3799999999</v>
      </c>
      <c r="AN503" s="135"/>
      <c r="AO503" s="135"/>
      <c r="AP503" s="135"/>
    </row>
    <row r="504" spans="1:42" x14ac:dyDescent="0.25">
      <c r="A504" t="s">
        <v>98</v>
      </c>
      <c r="B504" t="s">
        <v>38</v>
      </c>
      <c r="C504" s="212" t="str">
        <f t="shared" si="7"/>
        <v>Pasco Circuit Criminal</v>
      </c>
      <c r="D504" s="188">
        <v>1808310.3</v>
      </c>
      <c r="E504" s="188">
        <v>1748845.78</v>
      </c>
      <c r="F504" s="188">
        <v>1744331.77</v>
      </c>
      <c r="G504" s="188">
        <v>1737189.74</v>
      </c>
      <c r="H504" s="128"/>
      <c r="I504" s="188">
        <v>66977.460000000006</v>
      </c>
      <c r="J504" s="188">
        <v>99662.99</v>
      </c>
      <c r="K504" s="188">
        <v>129539.5</v>
      </c>
      <c r="L504" s="188">
        <v>146982.29</v>
      </c>
      <c r="M504" s="70"/>
      <c r="N504" s="188">
        <v>2458805.1</v>
      </c>
      <c r="O504" s="188">
        <v>2441581.2599999998</v>
      </c>
      <c r="P504" s="188">
        <v>2441581.2599999998</v>
      </c>
      <c r="Q504" s="128"/>
      <c r="R504" s="128"/>
      <c r="S504" s="188">
        <v>74038.570000000007</v>
      </c>
      <c r="T504" s="188">
        <v>92969.56</v>
      </c>
      <c r="U504" s="188">
        <v>132874.25</v>
      </c>
      <c r="V504" s="61"/>
      <c r="W504" s="58"/>
      <c r="X504" s="188">
        <v>1374481.45</v>
      </c>
      <c r="Y504" s="188">
        <v>1318153.53</v>
      </c>
      <c r="Z504" s="128"/>
      <c r="AA504" s="128"/>
      <c r="AB504" s="128"/>
      <c r="AC504" s="188">
        <v>102355.96</v>
      </c>
      <c r="AD504" s="188">
        <v>98416.11</v>
      </c>
      <c r="AE504" s="61"/>
      <c r="AF504" s="65"/>
      <c r="AG504" s="58"/>
      <c r="AH504" s="188">
        <v>1951829.61</v>
      </c>
      <c r="AI504" s="128"/>
      <c r="AJ504" s="128"/>
      <c r="AK504" s="128"/>
      <c r="AL504" s="128"/>
      <c r="AM504" s="188">
        <v>61884.1</v>
      </c>
      <c r="AN504" s="135"/>
      <c r="AO504" s="135"/>
      <c r="AP504" s="135"/>
    </row>
    <row r="505" spans="1:42" x14ac:dyDescent="0.25">
      <c r="A505" t="s">
        <v>98</v>
      </c>
      <c r="B505" t="s">
        <v>265</v>
      </c>
      <c r="C505" s="212" t="str">
        <f t="shared" si="7"/>
        <v>Pasco Circuit Criminal Drug Cases</v>
      </c>
      <c r="D505" s="188">
        <v>354375</v>
      </c>
      <c r="E505" s="188">
        <v>354375</v>
      </c>
      <c r="F505" s="188">
        <v>354375</v>
      </c>
      <c r="G505" s="188">
        <v>354375</v>
      </c>
      <c r="H505" s="63"/>
      <c r="I505" s="188">
        <v>0</v>
      </c>
      <c r="J505" s="188">
        <v>0</v>
      </c>
      <c r="K505" s="188">
        <v>0</v>
      </c>
      <c r="L505" s="188">
        <v>125.72</v>
      </c>
      <c r="N505" s="188">
        <v>409030.57</v>
      </c>
      <c r="O505" s="188">
        <v>409030.57</v>
      </c>
      <c r="P505" s="188">
        <v>409030.57</v>
      </c>
      <c r="Q505" s="63"/>
      <c r="R505" s="63"/>
      <c r="S505" s="188">
        <v>0</v>
      </c>
      <c r="T505" s="188">
        <v>0</v>
      </c>
      <c r="U505" s="188">
        <v>0</v>
      </c>
      <c r="X505" s="188">
        <v>269953</v>
      </c>
      <c r="Y505" s="188">
        <v>269953</v>
      </c>
      <c r="Z505" s="63"/>
      <c r="AB505" s="63"/>
      <c r="AC505" s="188">
        <v>5</v>
      </c>
      <c r="AD505" s="188">
        <v>5</v>
      </c>
      <c r="AH505" s="188">
        <v>2786575</v>
      </c>
      <c r="AI505" s="63"/>
      <c r="AL505" s="63"/>
      <c r="AM505" s="188">
        <v>0</v>
      </c>
    </row>
    <row r="506" spans="1:42" x14ac:dyDescent="0.25">
      <c r="A506" t="s">
        <v>98</v>
      </c>
      <c r="B506" t="s">
        <v>44</v>
      </c>
      <c r="C506" s="212" t="str">
        <f t="shared" si="7"/>
        <v>Pasco Civil Traffic</v>
      </c>
      <c r="D506" s="188">
        <v>1452144</v>
      </c>
      <c r="E506" s="188">
        <v>1452144</v>
      </c>
      <c r="F506" s="188">
        <v>1452144</v>
      </c>
      <c r="G506" s="188">
        <v>1452144</v>
      </c>
      <c r="H506" s="128"/>
      <c r="I506" s="188">
        <v>732949.45</v>
      </c>
      <c r="J506" s="188">
        <v>1270916.43</v>
      </c>
      <c r="K506" s="188">
        <v>1366809.25</v>
      </c>
      <c r="L506" s="188">
        <v>1395404.45</v>
      </c>
      <c r="M506" s="70"/>
      <c r="N506" s="188">
        <v>1321196</v>
      </c>
      <c r="O506" s="188">
        <v>1321196</v>
      </c>
      <c r="P506" s="188">
        <v>1321196</v>
      </c>
      <c r="Q506" s="128"/>
      <c r="R506" s="128"/>
      <c r="S506" s="188">
        <v>584761.35</v>
      </c>
      <c r="T506" s="188">
        <v>1150926.26</v>
      </c>
      <c r="U506" s="188">
        <v>1247781.5</v>
      </c>
      <c r="V506" s="61"/>
      <c r="W506" s="58"/>
      <c r="X506" s="188">
        <v>1535480.5</v>
      </c>
      <c r="Y506" s="188">
        <v>1535480.5</v>
      </c>
      <c r="Z506" s="128"/>
      <c r="AA506" s="128"/>
      <c r="AB506" s="128"/>
      <c r="AC506" s="188">
        <v>692425.1</v>
      </c>
      <c r="AD506" s="188">
        <v>1266426.3500000001</v>
      </c>
      <c r="AE506" s="61"/>
      <c r="AF506" s="65"/>
      <c r="AG506" s="58"/>
      <c r="AH506" s="188">
        <v>1925410</v>
      </c>
      <c r="AI506" s="128"/>
      <c r="AJ506" s="128"/>
      <c r="AK506" s="128"/>
      <c r="AL506" s="128"/>
      <c r="AM506" s="188">
        <v>957783.2</v>
      </c>
      <c r="AN506" s="135"/>
      <c r="AO506" s="135"/>
      <c r="AP506" s="135"/>
    </row>
    <row r="507" spans="1:42" x14ac:dyDescent="0.25">
      <c r="A507" t="s">
        <v>98</v>
      </c>
      <c r="B507" t="s">
        <v>43</v>
      </c>
      <c r="C507" s="212" t="str">
        <f t="shared" si="7"/>
        <v>Pasco County Civil</v>
      </c>
      <c r="D507" s="188">
        <v>457987.6</v>
      </c>
      <c r="E507" s="188">
        <v>457000.6</v>
      </c>
      <c r="F507" s="188">
        <v>457050.6</v>
      </c>
      <c r="G507" s="188">
        <v>457050.6</v>
      </c>
      <c r="H507" s="128"/>
      <c r="I507" s="188">
        <v>451193.57</v>
      </c>
      <c r="J507" s="188">
        <v>455444.59</v>
      </c>
      <c r="K507" s="188">
        <v>455445.52</v>
      </c>
      <c r="L507" s="188">
        <v>455445.52</v>
      </c>
      <c r="M507" s="70"/>
      <c r="N507" s="188">
        <v>513818.47</v>
      </c>
      <c r="O507" s="188">
        <v>514175.67</v>
      </c>
      <c r="P507" s="188">
        <v>513875.67</v>
      </c>
      <c r="Q507" s="128"/>
      <c r="R507" s="128"/>
      <c r="S507" s="188">
        <v>508920.69</v>
      </c>
      <c r="T507" s="188">
        <v>511063.14</v>
      </c>
      <c r="U507" s="188">
        <v>511063.14</v>
      </c>
      <c r="V507" s="61"/>
      <c r="W507" s="58"/>
      <c r="X507" s="188">
        <v>515768.54</v>
      </c>
      <c r="Y507" s="188">
        <v>515145.54</v>
      </c>
      <c r="Z507" s="128"/>
      <c r="AA507" s="128"/>
      <c r="AB507" s="128"/>
      <c r="AC507" s="188">
        <v>506896.93</v>
      </c>
      <c r="AD507" s="188">
        <v>512659.42</v>
      </c>
      <c r="AE507" s="61"/>
      <c r="AF507" s="65"/>
      <c r="AG507" s="58"/>
      <c r="AH507" s="188">
        <v>486290.86</v>
      </c>
      <c r="AI507" s="128"/>
      <c r="AJ507" s="128"/>
      <c r="AK507" s="128"/>
      <c r="AL507" s="128"/>
      <c r="AM507" s="188">
        <v>474848.25</v>
      </c>
      <c r="AN507" s="135"/>
      <c r="AO507" s="135"/>
      <c r="AP507" s="135"/>
    </row>
    <row r="508" spans="1:42" x14ac:dyDescent="0.25">
      <c r="A508" t="s">
        <v>98</v>
      </c>
      <c r="B508" t="s">
        <v>39</v>
      </c>
      <c r="C508" s="212" t="str">
        <f t="shared" si="7"/>
        <v>Pasco County Criminal</v>
      </c>
      <c r="D508" s="188">
        <v>597449.96</v>
      </c>
      <c r="E508" s="188">
        <v>592890.96</v>
      </c>
      <c r="F508" s="188">
        <v>590014.96</v>
      </c>
      <c r="G508" s="188">
        <v>586334.96</v>
      </c>
      <c r="H508" s="128"/>
      <c r="I508" s="188">
        <v>131626.87</v>
      </c>
      <c r="J508" s="188">
        <v>180988.59</v>
      </c>
      <c r="K508" s="188">
        <v>208503.26</v>
      </c>
      <c r="L508" s="188">
        <v>227642.6</v>
      </c>
      <c r="M508" s="70"/>
      <c r="N508" s="188">
        <v>621471.55000000005</v>
      </c>
      <c r="O508" s="188">
        <v>614595.55000000005</v>
      </c>
      <c r="P508" s="188">
        <v>610066.55000000005</v>
      </c>
      <c r="Q508" s="128"/>
      <c r="R508" s="128"/>
      <c r="S508" s="188">
        <v>158060.28</v>
      </c>
      <c r="T508" s="188">
        <v>216503.73</v>
      </c>
      <c r="U508" s="188">
        <v>239277.65</v>
      </c>
      <c r="V508" s="61"/>
      <c r="W508" s="58"/>
      <c r="X508" s="188">
        <v>701091.63</v>
      </c>
      <c r="Y508" s="188">
        <v>694454.64</v>
      </c>
      <c r="Z508" s="128"/>
      <c r="AA508" s="128"/>
      <c r="AB508" s="128"/>
      <c r="AC508" s="188">
        <v>150214.62</v>
      </c>
      <c r="AD508" s="188">
        <v>207772.37</v>
      </c>
      <c r="AE508" s="61"/>
      <c r="AF508" s="65"/>
      <c r="AG508" s="58"/>
      <c r="AH508" s="188">
        <v>575550.34</v>
      </c>
      <c r="AI508" s="128"/>
      <c r="AJ508" s="128"/>
      <c r="AK508" s="128"/>
      <c r="AL508" s="128"/>
      <c r="AM508" s="188">
        <v>136831.59</v>
      </c>
      <c r="AN508" s="135"/>
      <c r="AO508" s="135"/>
      <c r="AP508" s="135"/>
    </row>
    <row r="509" spans="1:42" x14ac:dyDescent="0.25">
      <c r="A509" t="s">
        <v>98</v>
      </c>
      <c r="B509" t="s">
        <v>41</v>
      </c>
      <c r="C509" s="212" t="str">
        <f t="shared" si="7"/>
        <v>Pasco Criminal Traffic</v>
      </c>
      <c r="D509" s="188">
        <v>571294.13</v>
      </c>
      <c r="E509" s="188">
        <v>567976.13</v>
      </c>
      <c r="F509" s="188">
        <v>562978.13</v>
      </c>
      <c r="G509" s="188">
        <v>561347.13</v>
      </c>
      <c r="H509" s="128"/>
      <c r="I509" s="188">
        <v>160857.71</v>
      </c>
      <c r="J509" s="188">
        <v>247928.21</v>
      </c>
      <c r="K509" s="188">
        <v>282850.21000000002</v>
      </c>
      <c r="L509" s="188">
        <v>322596.71000000002</v>
      </c>
      <c r="M509" s="70"/>
      <c r="N509" s="188">
        <v>633423.63</v>
      </c>
      <c r="O509" s="188">
        <v>619130.13</v>
      </c>
      <c r="P509" s="188">
        <v>611248.63</v>
      </c>
      <c r="Q509" s="128"/>
      <c r="R509" s="128"/>
      <c r="S509" s="188">
        <v>233783.73</v>
      </c>
      <c r="T509" s="188">
        <v>292332.23</v>
      </c>
      <c r="U509" s="188">
        <v>329027.03000000003</v>
      </c>
      <c r="V509" s="61"/>
      <c r="W509" s="58"/>
      <c r="X509" s="188">
        <v>656222.09</v>
      </c>
      <c r="Y509" s="188">
        <v>641178.09</v>
      </c>
      <c r="Z509" s="128"/>
      <c r="AA509" s="128"/>
      <c r="AB509" s="128"/>
      <c r="AC509" s="188">
        <v>198050.71</v>
      </c>
      <c r="AD509" s="188">
        <v>267467.71000000002</v>
      </c>
      <c r="AE509" s="61"/>
      <c r="AF509" s="65"/>
      <c r="AG509" s="58"/>
      <c r="AH509" s="188">
        <v>655657.23</v>
      </c>
      <c r="AI509" s="128"/>
      <c r="AJ509" s="128"/>
      <c r="AK509" s="128"/>
      <c r="AL509" s="128"/>
      <c r="AM509" s="188">
        <v>160755.17000000001</v>
      </c>
      <c r="AN509" s="135"/>
      <c r="AO509" s="135"/>
      <c r="AP509" s="135"/>
    </row>
    <row r="510" spans="1:42" x14ac:dyDescent="0.25">
      <c r="A510" t="s">
        <v>98</v>
      </c>
      <c r="B510" t="s">
        <v>46</v>
      </c>
      <c r="C510" s="212" t="str">
        <f t="shared" si="7"/>
        <v>Pasco Family</v>
      </c>
      <c r="D510" s="188">
        <v>227727.26</v>
      </c>
      <c r="E510" s="188">
        <v>218244.66</v>
      </c>
      <c r="F510" s="188">
        <v>218244.66</v>
      </c>
      <c r="G510" s="188">
        <v>218244.66</v>
      </c>
      <c r="H510" s="128"/>
      <c r="I510" s="188">
        <v>201609.68</v>
      </c>
      <c r="J510" s="188">
        <v>204002.92</v>
      </c>
      <c r="K510" s="188">
        <v>205145.92</v>
      </c>
      <c r="L510" s="188">
        <v>205395.92</v>
      </c>
      <c r="M510" s="70"/>
      <c r="N510" s="188">
        <v>266902.5</v>
      </c>
      <c r="O510" s="188">
        <v>261509.8</v>
      </c>
      <c r="P510" s="188">
        <v>260764.79999999999</v>
      </c>
      <c r="Q510" s="128"/>
      <c r="R510" s="128"/>
      <c r="S510" s="188">
        <v>226636.22</v>
      </c>
      <c r="T510" s="188">
        <v>233331.45</v>
      </c>
      <c r="U510" s="188">
        <v>234116</v>
      </c>
      <c r="V510" s="61"/>
      <c r="W510" s="58"/>
      <c r="X510" s="188">
        <v>281283.63</v>
      </c>
      <c r="Y510" s="188">
        <v>275561.63</v>
      </c>
      <c r="Z510" s="128"/>
      <c r="AA510" s="128"/>
      <c r="AB510" s="128"/>
      <c r="AC510" s="188">
        <v>248262.65</v>
      </c>
      <c r="AD510" s="188">
        <v>253604.95</v>
      </c>
      <c r="AE510" s="61"/>
      <c r="AF510" s="65"/>
      <c r="AG510" s="58"/>
      <c r="AH510" s="188">
        <v>270312.37</v>
      </c>
      <c r="AI510" s="128"/>
      <c r="AJ510" s="128"/>
      <c r="AK510" s="128"/>
      <c r="AL510" s="128"/>
      <c r="AM510" s="188">
        <v>235902.46</v>
      </c>
      <c r="AN510" s="135"/>
      <c r="AO510" s="135"/>
      <c r="AP510" s="135"/>
    </row>
    <row r="511" spans="1:42" x14ac:dyDescent="0.25">
      <c r="A511" t="s">
        <v>98</v>
      </c>
      <c r="B511" t="s">
        <v>40</v>
      </c>
      <c r="C511" s="212" t="str">
        <f t="shared" si="7"/>
        <v>Pasco Juvenile Delinquency</v>
      </c>
      <c r="D511" s="188">
        <v>45443</v>
      </c>
      <c r="E511" s="188">
        <v>45002</v>
      </c>
      <c r="F511" s="188">
        <v>44827</v>
      </c>
      <c r="G511" s="188">
        <v>43709</v>
      </c>
      <c r="H511" s="128"/>
      <c r="I511" s="188">
        <v>3385</v>
      </c>
      <c r="J511" s="188">
        <v>5825</v>
      </c>
      <c r="K511" s="188">
        <v>6267.5</v>
      </c>
      <c r="L511" s="188">
        <v>6437.5</v>
      </c>
      <c r="M511" s="70"/>
      <c r="N511" s="188">
        <v>53650</v>
      </c>
      <c r="O511" s="188">
        <v>52335</v>
      </c>
      <c r="P511" s="188">
        <v>52335</v>
      </c>
      <c r="Q511" s="128"/>
      <c r="R511" s="128"/>
      <c r="S511" s="188">
        <v>4325</v>
      </c>
      <c r="T511" s="188">
        <v>7674.57</v>
      </c>
      <c r="U511" s="188">
        <v>9352.57</v>
      </c>
      <c r="V511" s="61"/>
      <c r="W511" s="58"/>
      <c r="X511" s="188">
        <v>38547</v>
      </c>
      <c r="Y511" s="188">
        <v>37909</v>
      </c>
      <c r="Z511" s="128"/>
      <c r="AA511" s="128"/>
      <c r="AB511" s="128"/>
      <c r="AC511" s="188">
        <v>5610.76</v>
      </c>
      <c r="AD511" s="188">
        <v>7664.9</v>
      </c>
      <c r="AE511" s="61"/>
      <c r="AF511" s="65"/>
      <c r="AG511" s="58"/>
      <c r="AH511" s="188">
        <v>39364</v>
      </c>
      <c r="AI511" s="128"/>
      <c r="AJ511" s="128"/>
      <c r="AK511" s="128"/>
      <c r="AL511" s="128"/>
      <c r="AM511" s="188">
        <v>4141</v>
      </c>
      <c r="AN511" s="135"/>
      <c r="AO511" s="135"/>
      <c r="AP511" s="135"/>
    </row>
    <row r="512" spans="1:42" x14ac:dyDescent="0.25">
      <c r="A512" t="s">
        <v>98</v>
      </c>
      <c r="B512" t="s">
        <v>45</v>
      </c>
      <c r="C512" s="212" t="str">
        <f t="shared" si="7"/>
        <v>Pasco Probate</v>
      </c>
      <c r="D512" s="188">
        <v>128953.13</v>
      </c>
      <c r="E512" s="188">
        <v>129081.13</v>
      </c>
      <c r="F512" s="188">
        <v>129081.13</v>
      </c>
      <c r="G512" s="188">
        <v>129081.13</v>
      </c>
      <c r="H512" s="128"/>
      <c r="I512" s="188">
        <v>128020.63</v>
      </c>
      <c r="J512" s="188">
        <v>128914.63</v>
      </c>
      <c r="K512" s="188">
        <v>128914.63</v>
      </c>
      <c r="L512" s="188">
        <v>128914.63</v>
      </c>
      <c r="M512" s="70"/>
      <c r="N512" s="188">
        <v>170383.16</v>
      </c>
      <c r="O512" s="188">
        <v>170148.16</v>
      </c>
      <c r="P512" s="188">
        <v>170148.16</v>
      </c>
      <c r="Q512" s="128"/>
      <c r="R512" s="128"/>
      <c r="S512" s="188">
        <v>166863.16</v>
      </c>
      <c r="T512" s="188">
        <v>168919.16</v>
      </c>
      <c r="U512" s="188">
        <v>168919.16</v>
      </c>
      <c r="V512" s="61"/>
      <c r="W512" s="58"/>
      <c r="X512" s="188">
        <v>173856.09</v>
      </c>
      <c r="Y512" s="188">
        <v>171738.09</v>
      </c>
      <c r="Z512" s="128"/>
      <c r="AA512" s="128"/>
      <c r="AB512" s="128"/>
      <c r="AC512" s="188">
        <v>169605.62</v>
      </c>
      <c r="AD512" s="188">
        <v>170757.62</v>
      </c>
      <c r="AE512" s="61"/>
      <c r="AF512" s="65"/>
      <c r="AG512" s="58"/>
      <c r="AH512" s="188">
        <v>155639.4</v>
      </c>
      <c r="AI512" s="128"/>
      <c r="AJ512" s="128"/>
      <c r="AK512" s="128"/>
      <c r="AL512" s="128"/>
      <c r="AM512" s="188">
        <v>153325.44</v>
      </c>
      <c r="AN512" s="135"/>
      <c r="AO512" s="135"/>
      <c r="AP512" s="135"/>
    </row>
    <row r="513" spans="1:42" x14ac:dyDescent="0.25">
      <c r="A513" t="s">
        <v>99</v>
      </c>
      <c r="B513" t="s">
        <v>42</v>
      </c>
      <c r="C513" s="212" t="str">
        <f t="shared" si="7"/>
        <v>Pinellas Circuit Civil</v>
      </c>
      <c r="D513" s="188">
        <v>1882762</v>
      </c>
      <c r="E513" s="188">
        <v>1880885</v>
      </c>
      <c r="F513" s="188">
        <v>1917041</v>
      </c>
      <c r="G513" s="188">
        <v>1941594</v>
      </c>
      <c r="H513" s="128"/>
      <c r="I513" s="188">
        <v>1864316</v>
      </c>
      <c r="J513" s="188">
        <v>1872090</v>
      </c>
      <c r="K513" s="188">
        <v>1906176</v>
      </c>
      <c r="L513" s="188">
        <v>1931347</v>
      </c>
      <c r="M513" s="70"/>
      <c r="N513" s="188">
        <v>1699716</v>
      </c>
      <c r="O513" s="188">
        <v>1809544</v>
      </c>
      <c r="P513" s="188">
        <v>1840041</v>
      </c>
      <c r="Q513" s="128"/>
      <c r="R513" s="128"/>
      <c r="S513" s="188">
        <v>1679245</v>
      </c>
      <c r="T513" s="188">
        <v>1791312</v>
      </c>
      <c r="U513" s="188">
        <v>1825911</v>
      </c>
      <c r="V513" s="61"/>
      <c r="W513" s="58"/>
      <c r="X513" s="188">
        <v>2203071</v>
      </c>
      <c r="Y513" s="188">
        <v>2242381</v>
      </c>
      <c r="Z513" s="128"/>
      <c r="AA513" s="128"/>
      <c r="AB513" s="128"/>
      <c r="AC513" s="188">
        <v>2152524</v>
      </c>
      <c r="AD513" s="188">
        <v>2222229</v>
      </c>
      <c r="AE513" s="61"/>
      <c r="AF513" s="65"/>
      <c r="AG513" s="58"/>
      <c r="AH513" s="188">
        <v>1945483</v>
      </c>
      <c r="AI513" s="128"/>
      <c r="AJ513" s="128"/>
      <c r="AK513" s="128"/>
      <c r="AL513" s="128"/>
      <c r="AM513" s="188">
        <v>1913186</v>
      </c>
      <c r="AN513" s="135"/>
      <c r="AO513" s="135"/>
      <c r="AP513" s="135"/>
    </row>
    <row r="514" spans="1:42" x14ac:dyDescent="0.25">
      <c r="A514" t="s">
        <v>99</v>
      </c>
      <c r="B514" t="s">
        <v>38</v>
      </c>
      <c r="C514" s="212" t="str">
        <f t="shared" si="7"/>
        <v>Pinellas Circuit Criminal</v>
      </c>
      <c r="D514" s="188">
        <v>2992877</v>
      </c>
      <c r="E514" s="188">
        <v>2588513</v>
      </c>
      <c r="F514" s="188">
        <v>2566359</v>
      </c>
      <c r="G514" s="188">
        <v>2469379</v>
      </c>
      <c r="H514" s="128"/>
      <c r="I514" s="188">
        <v>113343</v>
      </c>
      <c r="J514" s="188">
        <v>248951</v>
      </c>
      <c r="K514" s="188">
        <v>271261</v>
      </c>
      <c r="L514" s="188">
        <v>290591</v>
      </c>
      <c r="M514" s="70"/>
      <c r="N514" s="188">
        <v>2716614</v>
      </c>
      <c r="O514" s="188">
        <v>2819953</v>
      </c>
      <c r="P514" s="188">
        <v>2617495</v>
      </c>
      <c r="Q514" s="128"/>
      <c r="R514" s="128"/>
      <c r="S514" s="188">
        <v>116674</v>
      </c>
      <c r="T514" s="188">
        <v>224235</v>
      </c>
      <c r="U514" s="188">
        <v>239054</v>
      </c>
      <c r="V514" s="61"/>
      <c r="W514" s="58"/>
      <c r="X514" s="188">
        <v>2537073</v>
      </c>
      <c r="Y514" s="188">
        <v>2295326</v>
      </c>
      <c r="Z514" s="128"/>
      <c r="AA514" s="128"/>
      <c r="AB514" s="128"/>
      <c r="AC514" s="188">
        <v>181766</v>
      </c>
      <c r="AD514" s="188">
        <v>292566</v>
      </c>
      <c r="AE514" s="61"/>
      <c r="AF514" s="65"/>
      <c r="AG514" s="58"/>
      <c r="AH514" s="188">
        <v>2758151</v>
      </c>
      <c r="AI514" s="128"/>
      <c r="AJ514" s="128"/>
      <c r="AK514" s="128"/>
      <c r="AL514" s="128"/>
      <c r="AM514" s="188">
        <v>155300</v>
      </c>
      <c r="AN514" s="135"/>
      <c r="AO514" s="135"/>
      <c r="AP514" s="135"/>
    </row>
    <row r="515" spans="1:42" x14ac:dyDescent="0.25">
      <c r="A515" t="s">
        <v>99</v>
      </c>
      <c r="B515" t="s">
        <v>265</v>
      </c>
      <c r="C515" s="212" t="str">
        <f t="shared" ref="C515:C578" si="8">A515&amp;" "&amp;B515</f>
        <v>Pinellas Circuit Criminal Drug Cases</v>
      </c>
      <c r="D515" s="188">
        <v>740064</v>
      </c>
      <c r="E515" s="188">
        <v>845064</v>
      </c>
      <c r="F515" s="188">
        <v>845064</v>
      </c>
      <c r="G515" s="188">
        <v>845064</v>
      </c>
      <c r="H515" s="63"/>
      <c r="I515" s="188">
        <v>0</v>
      </c>
      <c r="J515" s="188">
        <v>0</v>
      </c>
      <c r="K515" s="188">
        <v>0</v>
      </c>
      <c r="L515" s="188">
        <v>0</v>
      </c>
      <c r="N515" s="188">
        <v>899428</v>
      </c>
      <c r="O515" s="188">
        <v>1217878.1499999999</v>
      </c>
      <c r="P515" s="188">
        <v>1270942.1499999999</v>
      </c>
      <c r="Q515" s="63"/>
      <c r="R515" s="63"/>
      <c r="S515" s="188">
        <v>0</v>
      </c>
      <c r="T515" s="188">
        <v>100.15</v>
      </c>
      <c r="U515" s="188">
        <v>100.15</v>
      </c>
      <c r="X515" s="188">
        <v>529964</v>
      </c>
      <c r="Y515" s="188">
        <v>529964.6</v>
      </c>
      <c r="Z515" s="63"/>
      <c r="AB515" s="63"/>
      <c r="AC515" s="188">
        <v>0</v>
      </c>
      <c r="AD515" s="188">
        <v>0</v>
      </c>
      <c r="AH515" s="188">
        <v>1324475</v>
      </c>
      <c r="AI515" s="63"/>
      <c r="AL515" s="63"/>
      <c r="AM515" s="188">
        <v>0</v>
      </c>
    </row>
    <row r="516" spans="1:42" x14ac:dyDescent="0.25">
      <c r="A516" t="s">
        <v>99</v>
      </c>
      <c r="B516" t="s">
        <v>44</v>
      </c>
      <c r="C516" s="212" t="str">
        <f t="shared" si="8"/>
        <v>Pinellas Civil Traffic</v>
      </c>
      <c r="D516" s="188">
        <v>4807009</v>
      </c>
      <c r="E516" s="188">
        <v>4075484</v>
      </c>
      <c r="F516" s="188">
        <v>3948691</v>
      </c>
      <c r="G516" s="188">
        <v>3848195</v>
      </c>
      <c r="H516" s="128"/>
      <c r="I516" s="188">
        <v>1997430</v>
      </c>
      <c r="J516" s="188">
        <v>2712606</v>
      </c>
      <c r="K516" s="188">
        <v>2855062</v>
      </c>
      <c r="L516" s="188">
        <v>2858922</v>
      </c>
      <c r="M516" s="70"/>
      <c r="N516" s="188">
        <v>5736207</v>
      </c>
      <c r="O516" s="188">
        <v>4878080</v>
      </c>
      <c r="P516" s="188">
        <v>4711830</v>
      </c>
      <c r="Q516" s="128"/>
      <c r="R516" s="128"/>
      <c r="S516" s="188">
        <v>2830270</v>
      </c>
      <c r="T516" s="188">
        <v>3617195</v>
      </c>
      <c r="U516" s="188">
        <v>3736941</v>
      </c>
      <c r="V516" s="61"/>
      <c r="W516" s="58"/>
      <c r="X516" s="188">
        <v>5136875</v>
      </c>
      <c r="Y516" s="188">
        <v>4330376</v>
      </c>
      <c r="Z516" s="128"/>
      <c r="AA516" s="128"/>
      <c r="AB516" s="128"/>
      <c r="AC516" s="188">
        <v>2440645</v>
      </c>
      <c r="AD516" s="188">
        <v>3175706</v>
      </c>
      <c r="AE516" s="61"/>
      <c r="AF516" s="65"/>
      <c r="AG516" s="58"/>
      <c r="AH516" s="188">
        <v>3786534</v>
      </c>
      <c r="AI516" s="128"/>
      <c r="AJ516" s="128"/>
      <c r="AK516" s="128"/>
      <c r="AL516" s="128"/>
      <c r="AM516" s="188">
        <v>1573357</v>
      </c>
      <c r="AN516" s="135"/>
      <c r="AO516" s="135"/>
      <c r="AP516" s="135"/>
    </row>
    <row r="517" spans="1:42" x14ac:dyDescent="0.25">
      <c r="A517" t="s">
        <v>99</v>
      </c>
      <c r="B517" t="s">
        <v>43</v>
      </c>
      <c r="C517" s="212" t="str">
        <f t="shared" si="8"/>
        <v>Pinellas County Civil</v>
      </c>
      <c r="D517" s="188">
        <v>1237246</v>
      </c>
      <c r="E517" s="188">
        <v>1236605</v>
      </c>
      <c r="F517" s="188">
        <v>1150136</v>
      </c>
      <c r="G517" s="188">
        <v>1153525</v>
      </c>
      <c r="H517" s="128"/>
      <c r="I517" s="188">
        <v>1224555</v>
      </c>
      <c r="J517" s="188">
        <v>1224467</v>
      </c>
      <c r="K517" s="188">
        <v>1138137</v>
      </c>
      <c r="L517" s="188">
        <v>1141527</v>
      </c>
      <c r="M517" s="70"/>
      <c r="N517" s="188">
        <v>1194581</v>
      </c>
      <c r="O517" s="188">
        <v>1194135</v>
      </c>
      <c r="P517" s="188">
        <v>1195837</v>
      </c>
      <c r="Q517" s="128"/>
      <c r="R517" s="128"/>
      <c r="S517" s="188">
        <v>1180888</v>
      </c>
      <c r="T517" s="188">
        <v>1181145</v>
      </c>
      <c r="U517" s="188">
        <v>1182912</v>
      </c>
      <c r="V517" s="61"/>
      <c r="W517" s="58"/>
      <c r="X517" s="188">
        <v>1190813</v>
      </c>
      <c r="Y517" s="188">
        <v>1191844</v>
      </c>
      <c r="Z517" s="128"/>
      <c r="AA517" s="128"/>
      <c r="AB517" s="128"/>
      <c r="AC517" s="188">
        <v>1178021</v>
      </c>
      <c r="AD517" s="188">
        <v>1178689</v>
      </c>
      <c r="AE517" s="61"/>
      <c r="AF517" s="65"/>
      <c r="AG517" s="58"/>
      <c r="AH517" s="188">
        <v>1262876</v>
      </c>
      <c r="AI517" s="128"/>
      <c r="AJ517" s="128"/>
      <c r="AK517" s="128"/>
      <c r="AL517" s="128"/>
      <c r="AM517" s="188">
        <v>1246387</v>
      </c>
      <c r="AN517" s="135"/>
      <c r="AO517" s="135"/>
      <c r="AP517" s="135"/>
    </row>
    <row r="518" spans="1:42" x14ac:dyDescent="0.25">
      <c r="A518" t="s">
        <v>99</v>
      </c>
      <c r="B518" t="s">
        <v>39</v>
      </c>
      <c r="C518" s="212" t="str">
        <f t="shared" si="8"/>
        <v>Pinellas County Criminal</v>
      </c>
      <c r="D518" s="188">
        <v>1758739</v>
      </c>
      <c r="E518" s="188">
        <v>1592022</v>
      </c>
      <c r="F518" s="188">
        <v>1569326</v>
      </c>
      <c r="G518" s="188">
        <v>1392194</v>
      </c>
      <c r="H518" s="128"/>
      <c r="I518" s="188">
        <v>175212</v>
      </c>
      <c r="J518" s="188">
        <v>342688</v>
      </c>
      <c r="K518" s="188">
        <v>405745</v>
      </c>
      <c r="L518" s="188">
        <v>400083</v>
      </c>
      <c r="M518" s="70"/>
      <c r="N518" s="188">
        <v>1696956</v>
      </c>
      <c r="O518" s="188">
        <v>1621454</v>
      </c>
      <c r="P518" s="188">
        <v>1426028</v>
      </c>
      <c r="Q518" s="128"/>
      <c r="R518" s="128"/>
      <c r="S518" s="188">
        <v>257384</v>
      </c>
      <c r="T518" s="188">
        <v>391374</v>
      </c>
      <c r="U518" s="188">
        <v>400344</v>
      </c>
      <c r="V518" s="61"/>
      <c r="W518" s="58"/>
      <c r="X518" s="188">
        <v>1942489</v>
      </c>
      <c r="Y518" s="188">
        <v>1665954</v>
      </c>
      <c r="Z518" s="128"/>
      <c r="AA518" s="128"/>
      <c r="AB518" s="128"/>
      <c r="AC518" s="188">
        <v>303295</v>
      </c>
      <c r="AD518" s="188">
        <v>383984</v>
      </c>
      <c r="AE518" s="61"/>
      <c r="AF518" s="65"/>
      <c r="AG518" s="58"/>
      <c r="AH518" s="188">
        <v>1374558</v>
      </c>
      <c r="AI518" s="128"/>
      <c r="AJ518" s="128"/>
      <c r="AK518" s="128"/>
      <c r="AL518" s="128"/>
      <c r="AM518" s="188">
        <v>162299</v>
      </c>
      <c r="AN518" s="135"/>
      <c r="AO518" s="135"/>
      <c r="AP518" s="135"/>
    </row>
    <row r="519" spans="1:42" x14ac:dyDescent="0.25">
      <c r="A519" t="s">
        <v>99</v>
      </c>
      <c r="B519" t="s">
        <v>41</v>
      </c>
      <c r="C519" s="212" t="str">
        <f t="shared" si="8"/>
        <v>Pinellas Criminal Traffic</v>
      </c>
      <c r="D519" s="188">
        <v>1785744</v>
      </c>
      <c r="E519" s="188">
        <v>1871179</v>
      </c>
      <c r="F519" s="188">
        <v>1849887</v>
      </c>
      <c r="G519" s="188">
        <v>1675131</v>
      </c>
      <c r="H519" s="128"/>
      <c r="I519" s="188">
        <v>459852</v>
      </c>
      <c r="J519" s="188">
        <v>836581</v>
      </c>
      <c r="K519" s="188">
        <v>980745</v>
      </c>
      <c r="L519" s="188">
        <v>1006002</v>
      </c>
      <c r="M519" s="70"/>
      <c r="N519" s="188">
        <v>1950886</v>
      </c>
      <c r="O519" s="188">
        <v>1916624</v>
      </c>
      <c r="P519" s="188">
        <v>1756150</v>
      </c>
      <c r="Q519" s="128"/>
      <c r="R519" s="128"/>
      <c r="S519" s="188">
        <v>509799</v>
      </c>
      <c r="T519" s="188">
        <v>973114</v>
      </c>
      <c r="U519" s="188">
        <v>1038662</v>
      </c>
      <c r="V519" s="61"/>
      <c r="W519" s="58"/>
      <c r="X519" s="188">
        <v>2223921</v>
      </c>
      <c r="Y519" s="188">
        <v>2023860</v>
      </c>
      <c r="Z519" s="128"/>
      <c r="AA519" s="128"/>
      <c r="AB519" s="128"/>
      <c r="AC519" s="188">
        <v>748478</v>
      </c>
      <c r="AD519" s="188">
        <v>958145</v>
      </c>
      <c r="AE519" s="61"/>
      <c r="AF519" s="65"/>
      <c r="AG519" s="58"/>
      <c r="AH519" s="188">
        <v>1404589</v>
      </c>
      <c r="AI519" s="128"/>
      <c r="AJ519" s="128"/>
      <c r="AK519" s="128"/>
      <c r="AL519" s="128"/>
      <c r="AM519" s="188">
        <v>356556</v>
      </c>
      <c r="AN519" s="135"/>
      <c r="AO519" s="135"/>
      <c r="AP519" s="135"/>
    </row>
    <row r="520" spans="1:42" x14ac:dyDescent="0.25">
      <c r="A520" t="s">
        <v>99</v>
      </c>
      <c r="B520" t="s">
        <v>46</v>
      </c>
      <c r="C520" s="212" t="str">
        <f t="shared" si="8"/>
        <v>Pinellas Family</v>
      </c>
      <c r="D520" s="188">
        <v>581802</v>
      </c>
      <c r="E520" s="188">
        <v>581789</v>
      </c>
      <c r="F520" s="188">
        <v>581271</v>
      </c>
      <c r="G520" s="188">
        <v>581202</v>
      </c>
      <c r="H520" s="128"/>
      <c r="I520" s="188">
        <v>470255</v>
      </c>
      <c r="J520" s="188">
        <v>470629</v>
      </c>
      <c r="K520" s="188">
        <v>470771</v>
      </c>
      <c r="L520" s="188">
        <v>470831</v>
      </c>
      <c r="M520" s="70"/>
      <c r="N520" s="188">
        <v>655705</v>
      </c>
      <c r="O520" s="188">
        <v>655803</v>
      </c>
      <c r="P520" s="188">
        <v>654935</v>
      </c>
      <c r="Q520" s="128"/>
      <c r="R520" s="128"/>
      <c r="S520" s="188">
        <v>530509</v>
      </c>
      <c r="T520" s="188">
        <v>532031</v>
      </c>
      <c r="U520" s="188">
        <v>532072</v>
      </c>
      <c r="V520" s="61"/>
      <c r="W520" s="58"/>
      <c r="X520" s="188">
        <v>644698</v>
      </c>
      <c r="Y520" s="188">
        <v>653883</v>
      </c>
      <c r="Z520" s="128"/>
      <c r="AA520" s="128"/>
      <c r="AB520" s="128"/>
      <c r="AC520" s="188">
        <v>517209</v>
      </c>
      <c r="AD520" s="188">
        <v>518804</v>
      </c>
      <c r="AE520" s="61"/>
      <c r="AF520" s="65"/>
      <c r="AG520" s="58"/>
      <c r="AH520" s="188">
        <v>635399</v>
      </c>
      <c r="AI520" s="128"/>
      <c r="AJ520" s="128"/>
      <c r="AK520" s="128"/>
      <c r="AL520" s="128"/>
      <c r="AM520" s="188">
        <v>512677</v>
      </c>
      <c r="AN520" s="135"/>
      <c r="AO520" s="135"/>
      <c r="AP520" s="135"/>
    </row>
    <row r="521" spans="1:42" x14ac:dyDescent="0.25">
      <c r="A521" t="s">
        <v>99</v>
      </c>
      <c r="B521" t="s">
        <v>40</v>
      </c>
      <c r="C521" s="212" t="str">
        <f t="shared" si="8"/>
        <v>Pinellas Juvenile Delinquency</v>
      </c>
      <c r="D521" s="188">
        <v>109316</v>
      </c>
      <c r="E521" s="188">
        <v>108425</v>
      </c>
      <c r="F521" s="188">
        <v>108329</v>
      </c>
      <c r="G521" s="188">
        <v>102985</v>
      </c>
      <c r="H521" s="128"/>
      <c r="I521" s="188">
        <v>3882</v>
      </c>
      <c r="J521" s="188">
        <v>5227</v>
      </c>
      <c r="K521" s="188">
        <v>5807</v>
      </c>
      <c r="L521" s="188">
        <v>6226</v>
      </c>
      <c r="M521" s="70"/>
      <c r="N521" s="188">
        <v>129823</v>
      </c>
      <c r="O521" s="188">
        <v>128559</v>
      </c>
      <c r="P521" s="188">
        <v>119976</v>
      </c>
      <c r="Q521" s="128"/>
      <c r="R521" s="128"/>
      <c r="S521" s="188">
        <v>5301</v>
      </c>
      <c r="T521" s="188">
        <v>6664</v>
      </c>
      <c r="U521" s="188">
        <v>7095</v>
      </c>
      <c r="V521" s="61"/>
      <c r="W521" s="58"/>
      <c r="X521" s="188">
        <v>117713</v>
      </c>
      <c r="Y521" s="188">
        <v>112523</v>
      </c>
      <c r="Z521" s="128"/>
      <c r="AA521" s="128"/>
      <c r="AB521" s="128"/>
      <c r="AC521" s="188">
        <v>3443</v>
      </c>
      <c r="AD521" s="188">
        <v>4033</v>
      </c>
      <c r="AE521" s="61"/>
      <c r="AF521" s="65"/>
      <c r="AG521" s="58"/>
      <c r="AH521" s="188">
        <v>112905</v>
      </c>
      <c r="AI521" s="128"/>
      <c r="AJ521" s="128"/>
      <c r="AK521" s="128"/>
      <c r="AL521" s="128"/>
      <c r="AM521" s="188">
        <v>5914</v>
      </c>
      <c r="AN521" s="135"/>
      <c r="AO521" s="135"/>
      <c r="AP521" s="135"/>
    </row>
    <row r="522" spans="1:42" x14ac:dyDescent="0.25">
      <c r="A522" t="s">
        <v>99</v>
      </c>
      <c r="B522" t="s">
        <v>45</v>
      </c>
      <c r="C522" s="212" t="str">
        <f t="shared" si="8"/>
        <v>Pinellas Probate</v>
      </c>
      <c r="D522" s="188">
        <v>401533</v>
      </c>
      <c r="E522" s="188">
        <v>396337</v>
      </c>
      <c r="F522" s="188">
        <v>395942</v>
      </c>
      <c r="G522" s="188">
        <v>395172</v>
      </c>
      <c r="H522" s="128"/>
      <c r="I522" s="188">
        <v>387408</v>
      </c>
      <c r="J522" s="188">
        <v>390647</v>
      </c>
      <c r="K522" s="188">
        <v>390953</v>
      </c>
      <c r="L522" s="188">
        <v>390258</v>
      </c>
      <c r="M522" s="70"/>
      <c r="N522" s="188">
        <v>440590</v>
      </c>
      <c r="O522" s="188">
        <v>435737</v>
      </c>
      <c r="P522" s="188">
        <v>433493</v>
      </c>
      <c r="Q522" s="128"/>
      <c r="R522" s="128"/>
      <c r="S522" s="188">
        <v>406573</v>
      </c>
      <c r="T522" s="188">
        <v>426243</v>
      </c>
      <c r="U522" s="188">
        <v>425615</v>
      </c>
      <c r="V522" s="61"/>
      <c r="W522" s="58"/>
      <c r="X522" s="188">
        <v>450901</v>
      </c>
      <c r="Y522" s="188">
        <v>449920</v>
      </c>
      <c r="Z522" s="128"/>
      <c r="AA522" s="128"/>
      <c r="AB522" s="128"/>
      <c r="AC522" s="188">
        <v>432206</v>
      </c>
      <c r="AD522" s="188">
        <v>438948</v>
      </c>
      <c r="AE522" s="61"/>
      <c r="AF522" s="65"/>
      <c r="AG522" s="58"/>
      <c r="AH522" s="188">
        <v>424449</v>
      </c>
      <c r="AI522" s="128"/>
      <c r="AJ522" s="128"/>
      <c r="AK522" s="128"/>
      <c r="AL522" s="128"/>
      <c r="AM522" s="188">
        <v>408032</v>
      </c>
      <c r="AN522" s="135"/>
      <c r="AO522" s="135"/>
      <c r="AP522" s="135"/>
    </row>
    <row r="523" spans="1:42" x14ac:dyDescent="0.25">
      <c r="A523" t="s">
        <v>100</v>
      </c>
      <c r="B523" t="s">
        <v>42</v>
      </c>
      <c r="C523" s="212" t="str">
        <f t="shared" si="8"/>
        <v>Polk Circuit Civil</v>
      </c>
      <c r="D523" s="188">
        <v>994205.7</v>
      </c>
      <c r="E523" s="188">
        <v>994105.7</v>
      </c>
      <c r="F523" s="188">
        <v>994105.7</v>
      </c>
      <c r="G523" s="188">
        <v>994105.7</v>
      </c>
      <c r="H523" s="128"/>
      <c r="I523" s="188">
        <v>984406.7</v>
      </c>
      <c r="J523" s="188">
        <v>986901.7</v>
      </c>
      <c r="K523" s="188">
        <v>986951.7</v>
      </c>
      <c r="L523" s="188">
        <v>987001.7</v>
      </c>
      <c r="M523" s="70"/>
      <c r="N523" s="188">
        <v>1207813.52</v>
      </c>
      <c r="O523" s="188">
        <v>1207713.52</v>
      </c>
      <c r="P523" s="188">
        <v>1207663.52</v>
      </c>
      <c r="Q523" s="128"/>
      <c r="R523" s="128"/>
      <c r="S523" s="188">
        <v>1201202.1399999999</v>
      </c>
      <c r="T523" s="188">
        <v>1202452.1399999999</v>
      </c>
      <c r="U523" s="188">
        <v>1202452.1399999999</v>
      </c>
      <c r="V523" s="61"/>
      <c r="W523" s="58"/>
      <c r="X523" s="188">
        <v>1099110.95</v>
      </c>
      <c r="Y523" s="188">
        <v>1099110.95</v>
      </c>
      <c r="Z523" s="128"/>
      <c r="AA523" s="128"/>
      <c r="AB523" s="128"/>
      <c r="AC523" s="188">
        <v>1090175.95</v>
      </c>
      <c r="AD523" s="188">
        <v>1091910.95</v>
      </c>
      <c r="AE523" s="61"/>
      <c r="AF523" s="65"/>
      <c r="AG523" s="58"/>
      <c r="AH523" s="188">
        <v>1320785.72</v>
      </c>
      <c r="AI523" s="128"/>
      <c r="AJ523" s="128"/>
      <c r="AK523" s="128"/>
      <c r="AL523" s="128"/>
      <c r="AM523" s="188">
        <v>1313775.72</v>
      </c>
      <c r="AN523" s="135"/>
      <c r="AO523" s="135"/>
      <c r="AP523" s="135"/>
    </row>
    <row r="524" spans="1:42" x14ac:dyDescent="0.25">
      <c r="A524" t="s">
        <v>100</v>
      </c>
      <c r="B524" t="s">
        <v>38</v>
      </c>
      <c r="C524" s="212" t="str">
        <f t="shared" si="8"/>
        <v>Polk Circuit Criminal</v>
      </c>
      <c r="D524" s="188">
        <v>2540865.39</v>
      </c>
      <c r="E524" s="188">
        <v>2531667.88</v>
      </c>
      <c r="F524" s="188">
        <v>2526088.2000000002</v>
      </c>
      <c r="G524" s="188">
        <v>2141456.31</v>
      </c>
      <c r="H524" s="128"/>
      <c r="I524" s="188">
        <v>39364.629999999997</v>
      </c>
      <c r="J524" s="188">
        <v>92292.33</v>
      </c>
      <c r="K524" s="188">
        <v>131850.01999999999</v>
      </c>
      <c r="L524" s="188">
        <v>118757.75999999999</v>
      </c>
      <c r="M524" s="70"/>
      <c r="N524" s="188">
        <v>2933955.06</v>
      </c>
      <c r="O524" s="188">
        <v>2933229.88</v>
      </c>
      <c r="P524" s="188">
        <v>2501074.02</v>
      </c>
      <c r="Q524" s="128"/>
      <c r="R524" s="128"/>
      <c r="S524" s="188">
        <v>86162.6</v>
      </c>
      <c r="T524" s="188">
        <v>160835.93</v>
      </c>
      <c r="U524" s="188">
        <v>158310.32999999999</v>
      </c>
      <c r="V524" s="61"/>
      <c r="W524" s="58"/>
      <c r="X524" s="188">
        <v>3454013.71</v>
      </c>
      <c r="Y524" s="188">
        <v>3050014.67</v>
      </c>
      <c r="Z524" s="128"/>
      <c r="AA524" s="128"/>
      <c r="AB524" s="128"/>
      <c r="AC524" s="188">
        <v>66128.62</v>
      </c>
      <c r="AD524" s="188">
        <v>108741.48</v>
      </c>
      <c r="AE524" s="61"/>
      <c r="AF524" s="65"/>
      <c r="AG524" s="58"/>
      <c r="AH524" s="188">
        <v>2309798.44</v>
      </c>
      <c r="AI524" s="128"/>
      <c r="AJ524" s="128"/>
      <c r="AK524" s="128"/>
      <c r="AL524" s="128"/>
      <c r="AM524" s="188">
        <v>61282.6</v>
      </c>
      <c r="AN524" s="135"/>
      <c r="AO524" s="135"/>
      <c r="AP524" s="135"/>
    </row>
    <row r="525" spans="1:42" x14ac:dyDescent="0.25">
      <c r="A525" t="s">
        <v>100</v>
      </c>
      <c r="B525" t="s">
        <v>265</v>
      </c>
      <c r="C525" s="212" t="str">
        <f t="shared" si="8"/>
        <v>Polk Circuit Criminal Drug Cases</v>
      </c>
      <c r="D525" s="188"/>
      <c r="E525" s="188"/>
      <c r="F525" s="188"/>
      <c r="G525" s="188"/>
      <c r="H525" s="63"/>
      <c r="I525" s="188"/>
      <c r="J525" s="188"/>
      <c r="K525" s="188"/>
      <c r="L525" s="188"/>
      <c r="N525" s="188"/>
      <c r="Q525" s="63"/>
      <c r="R525" s="63"/>
      <c r="S525" s="188"/>
      <c r="X525" s="188"/>
      <c r="Y525" s="188"/>
      <c r="Z525" s="63"/>
      <c r="AB525" s="63"/>
      <c r="AC525" s="188"/>
      <c r="AD525" s="188"/>
      <c r="AH525" s="188"/>
      <c r="AI525" s="63"/>
      <c r="AL525" s="63"/>
      <c r="AM525" s="188"/>
    </row>
    <row r="526" spans="1:42" x14ac:dyDescent="0.25">
      <c r="A526" t="s">
        <v>100</v>
      </c>
      <c r="B526" t="s">
        <v>44</v>
      </c>
      <c r="C526" s="212" t="str">
        <f t="shared" si="8"/>
        <v>Polk Civil Traffic</v>
      </c>
      <c r="D526" s="188">
        <v>2776724.96</v>
      </c>
      <c r="E526" s="188">
        <v>2700684.2</v>
      </c>
      <c r="F526" s="188">
        <v>2695090.22</v>
      </c>
      <c r="G526" s="188">
        <v>2693412.22</v>
      </c>
      <c r="H526" s="128"/>
      <c r="I526" s="188">
        <v>1229568.72</v>
      </c>
      <c r="J526" s="188">
        <v>2261980.1600000001</v>
      </c>
      <c r="K526" s="188">
        <v>2366824.83</v>
      </c>
      <c r="L526" s="188">
        <v>2398387.7400000002</v>
      </c>
      <c r="M526" s="70"/>
      <c r="N526" s="188">
        <v>2864812.27</v>
      </c>
      <c r="O526" s="188">
        <v>2793579.34</v>
      </c>
      <c r="P526" s="188">
        <v>2785548.33</v>
      </c>
      <c r="Q526" s="128"/>
      <c r="R526" s="128"/>
      <c r="S526" s="188">
        <v>1344082.38</v>
      </c>
      <c r="T526" s="188">
        <v>2284110.27</v>
      </c>
      <c r="U526" s="188">
        <v>2396002.15</v>
      </c>
      <c r="V526" s="61"/>
      <c r="W526" s="58"/>
      <c r="X526" s="188">
        <v>2952807.31</v>
      </c>
      <c r="Y526" s="188">
        <v>2865358.72</v>
      </c>
      <c r="Z526" s="128"/>
      <c r="AA526" s="128"/>
      <c r="AB526" s="128"/>
      <c r="AC526" s="188">
        <v>1255865.76</v>
      </c>
      <c r="AD526" s="188">
        <v>2267129.12</v>
      </c>
      <c r="AE526" s="61"/>
      <c r="AF526" s="65"/>
      <c r="AG526" s="58"/>
      <c r="AH526" s="188">
        <v>3175381.99</v>
      </c>
      <c r="AI526" s="128"/>
      <c r="AJ526" s="128"/>
      <c r="AK526" s="128"/>
      <c r="AL526" s="128"/>
      <c r="AM526" s="188">
        <v>1414746.57</v>
      </c>
      <c r="AN526" s="135"/>
      <c r="AO526" s="135"/>
      <c r="AP526" s="135"/>
    </row>
    <row r="527" spans="1:42" x14ac:dyDescent="0.25">
      <c r="A527" t="s">
        <v>100</v>
      </c>
      <c r="B527" t="s">
        <v>43</v>
      </c>
      <c r="C527" s="212" t="str">
        <f t="shared" si="8"/>
        <v>Polk County Civil</v>
      </c>
      <c r="D527" s="188">
        <v>981041.89</v>
      </c>
      <c r="E527" s="188">
        <v>980991.89</v>
      </c>
      <c r="F527" s="188">
        <v>980991.89</v>
      </c>
      <c r="G527" s="188">
        <v>980991.89</v>
      </c>
      <c r="H527" s="128"/>
      <c r="I527" s="188">
        <v>979360.89</v>
      </c>
      <c r="J527" s="188">
        <v>979610.89</v>
      </c>
      <c r="K527" s="188">
        <v>979610.89</v>
      </c>
      <c r="L527" s="188">
        <v>979610.89</v>
      </c>
      <c r="M527" s="70"/>
      <c r="N527" s="188">
        <v>986595.43</v>
      </c>
      <c r="O527" s="188">
        <v>986595.43</v>
      </c>
      <c r="P527" s="188">
        <v>986595.43</v>
      </c>
      <c r="Q527" s="128"/>
      <c r="R527" s="128"/>
      <c r="S527" s="188">
        <v>984006.93</v>
      </c>
      <c r="T527" s="188">
        <v>984156.93</v>
      </c>
      <c r="U527" s="188">
        <v>984554.91</v>
      </c>
      <c r="V527" s="61"/>
      <c r="W527" s="58"/>
      <c r="X527" s="188">
        <v>809073.77</v>
      </c>
      <c r="Y527" s="188">
        <v>808885.27</v>
      </c>
      <c r="Z527" s="128"/>
      <c r="AA527" s="128"/>
      <c r="AB527" s="128"/>
      <c r="AC527" s="188">
        <v>806955.27</v>
      </c>
      <c r="AD527" s="188">
        <v>807365.27</v>
      </c>
      <c r="AE527" s="61"/>
      <c r="AF527" s="65"/>
      <c r="AG527" s="58"/>
      <c r="AH527" s="188">
        <v>872766.75</v>
      </c>
      <c r="AI527" s="128"/>
      <c r="AJ527" s="128"/>
      <c r="AK527" s="128"/>
      <c r="AL527" s="128"/>
      <c r="AM527" s="188">
        <v>871190.75</v>
      </c>
      <c r="AN527" s="135"/>
      <c r="AO527" s="135"/>
      <c r="AP527" s="135"/>
    </row>
    <row r="528" spans="1:42" x14ac:dyDescent="0.25">
      <c r="A528" t="s">
        <v>100</v>
      </c>
      <c r="B528" t="s">
        <v>39</v>
      </c>
      <c r="C528" s="212" t="str">
        <f t="shared" si="8"/>
        <v>Polk County Criminal</v>
      </c>
      <c r="D528" s="188">
        <v>1061651.9099999999</v>
      </c>
      <c r="E528" s="188">
        <v>1050483.92</v>
      </c>
      <c r="F528" s="188">
        <v>1024974.97</v>
      </c>
      <c r="G528" s="188">
        <v>963973.14</v>
      </c>
      <c r="H528" s="128"/>
      <c r="I528" s="188">
        <v>111025.19</v>
      </c>
      <c r="J528" s="188">
        <v>190475.3</v>
      </c>
      <c r="K528" s="188">
        <v>228492.51</v>
      </c>
      <c r="L528" s="188">
        <v>248371.02</v>
      </c>
      <c r="M528" s="70"/>
      <c r="N528" s="188">
        <v>1113086.08</v>
      </c>
      <c r="O528" s="188">
        <v>1109166.57</v>
      </c>
      <c r="P528" s="188">
        <v>971204.91</v>
      </c>
      <c r="Q528" s="128"/>
      <c r="R528" s="128"/>
      <c r="S528" s="188">
        <v>142925.21</v>
      </c>
      <c r="T528" s="188">
        <v>237454.16</v>
      </c>
      <c r="U528" s="188">
        <v>263842.28999999998</v>
      </c>
      <c r="V528" s="61"/>
      <c r="W528" s="58"/>
      <c r="X528" s="188">
        <v>1174843.18</v>
      </c>
      <c r="Y528" s="188">
        <v>1006778.33</v>
      </c>
      <c r="Z528" s="128"/>
      <c r="AA528" s="128"/>
      <c r="AB528" s="128"/>
      <c r="AC528" s="188">
        <v>147699.20000000001</v>
      </c>
      <c r="AD528" s="188">
        <v>221739.74</v>
      </c>
      <c r="AE528" s="61"/>
      <c r="AF528" s="65"/>
      <c r="AG528" s="58"/>
      <c r="AH528" s="188">
        <v>1139335.67</v>
      </c>
      <c r="AI528" s="128"/>
      <c r="AJ528" s="128"/>
      <c r="AK528" s="128"/>
      <c r="AL528" s="128"/>
      <c r="AM528" s="188">
        <v>124997.55</v>
      </c>
      <c r="AN528" s="135"/>
      <c r="AO528" s="135"/>
      <c r="AP528" s="135"/>
    </row>
    <row r="529" spans="1:42" x14ac:dyDescent="0.25">
      <c r="A529" t="s">
        <v>100</v>
      </c>
      <c r="B529" t="s">
        <v>41</v>
      </c>
      <c r="C529" s="212" t="str">
        <f t="shared" si="8"/>
        <v>Polk Criminal Traffic</v>
      </c>
      <c r="D529" s="188">
        <v>653649.42000000004</v>
      </c>
      <c r="E529" s="188">
        <v>647610.47</v>
      </c>
      <c r="F529" s="188">
        <v>632054.97</v>
      </c>
      <c r="G529" s="188">
        <v>593925.24</v>
      </c>
      <c r="H529" s="128"/>
      <c r="I529" s="188">
        <v>144190.29</v>
      </c>
      <c r="J529" s="188">
        <v>247419.86</v>
      </c>
      <c r="K529" s="188">
        <v>287738.94</v>
      </c>
      <c r="L529" s="188">
        <v>307934.3</v>
      </c>
      <c r="M529" s="70"/>
      <c r="N529" s="188">
        <v>729848.34</v>
      </c>
      <c r="O529" s="188">
        <v>726292.61</v>
      </c>
      <c r="P529" s="188">
        <v>639328.81999999995</v>
      </c>
      <c r="Q529" s="128"/>
      <c r="R529" s="128"/>
      <c r="S529" s="188">
        <v>189716.35</v>
      </c>
      <c r="T529" s="188">
        <v>289990.36</v>
      </c>
      <c r="U529" s="188">
        <v>290875.51</v>
      </c>
      <c r="V529" s="61"/>
      <c r="W529" s="58"/>
      <c r="X529" s="188">
        <v>771313.37</v>
      </c>
      <c r="Y529" s="188">
        <v>666925.18000000005</v>
      </c>
      <c r="Z529" s="128"/>
      <c r="AA529" s="128"/>
      <c r="AB529" s="128"/>
      <c r="AC529" s="188">
        <v>175821.21</v>
      </c>
      <c r="AD529" s="188">
        <v>231545.92</v>
      </c>
      <c r="AE529" s="61"/>
      <c r="AF529" s="65"/>
      <c r="AG529" s="58"/>
      <c r="AH529" s="188">
        <v>767130.01</v>
      </c>
      <c r="AI529" s="128"/>
      <c r="AJ529" s="128"/>
      <c r="AK529" s="128"/>
      <c r="AL529" s="128"/>
      <c r="AM529" s="188">
        <v>171004.88</v>
      </c>
      <c r="AN529" s="135"/>
      <c r="AO529" s="135"/>
      <c r="AP529" s="135"/>
    </row>
    <row r="530" spans="1:42" x14ac:dyDescent="0.25">
      <c r="A530" t="s">
        <v>100</v>
      </c>
      <c r="B530" t="s">
        <v>46</v>
      </c>
      <c r="C530" s="212" t="str">
        <f t="shared" si="8"/>
        <v>Polk Family</v>
      </c>
      <c r="D530" s="188">
        <v>224422.28</v>
      </c>
      <c r="E530" s="188">
        <v>224422.28</v>
      </c>
      <c r="F530" s="188">
        <v>224422.28</v>
      </c>
      <c r="G530" s="188">
        <v>224422.28</v>
      </c>
      <c r="H530" s="128"/>
      <c r="I530" s="188">
        <v>222877.88</v>
      </c>
      <c r="J530" s="188">
        <v>223020.28</v>
      </c>
      <c r="K530" s="188">
        <v>223020.28</v>
      </c>
      <c r="L530" s="188">
        <v>223020.28</v>
      </c>
      <c r="M530" s="70"/>
      <c r="N530" s="188">
        <v>291428.43</v>
      </c>
      <c r="O530" s="188">
        <v>291428.43</v>
      </c>
      <c r="P530" s="188">
        <v>291428.43</v>
      </c>
      <c r="Q530" s="128"/>
      <c r="R530" s="128"/>
      <c r="S530" s="188">
        <v>287834.43</v>
      </c>
      <c r="T530" s="188">
        <v>287821.43</v>
      </c>
      <c r="U530" s="188">
        <v>287821.43</v>
      </c>
      <c r="V530" s="61"/>
      <c r="W530" s="58"/>
      <c r="X530" s="188">
        <v>274249.09999999998</v>
      </c>
      <c r="Y530" s="188">
        <v>274249.09999999998</v>
      </c>
      <c r="Z530" s="128"/>
      <c r="AA530" s="128"/>
      <c r="AB530" s="128"/>
      <c r="AC530" s="188">
        <v>270044.2</v>
      </c>
      <c r="AD530" s="188">
        <v>271304.7</v>
      </c>
      <c r="AE530" s="61"/>
      <c r="AF530" s="65"/>
      <c r="AG530" s="58"/>
      <c r="AH530" s="188">
        <v>242060.44</v>
      </c>
      <c r="AI530" s="128"/>
      <c r="AJ530" s="128"/>
      <c r="AK530" s="128"/>
      <c r="AL530" s="128"/>
      <c r="AM530" s="188">
        <v>238509.49</v>
      </c>
      <c r="AN530" s="135"/>
      <c r="AO530" s="135"/>
      <c r="AP530" s="135"/>
    </row>
    <row r="531" spans="1:42" x14ac:dyDescent="0.25">
      <c r="A531" t="s">
        <v>100</v>
      </c>
      <c r="B531" t="s">
        <v>40</v>
      </c>
      <c r="C531" s="212" t="str">
        <f t="shared" si="8"/>
        <v>Polk Juvenile Delinquency</v>
      </c>
      <c r="D531" s="188">
        <v>133234</v>
      </c>
      <c r="E531" s="188">
        <v>132846</v>
      </c>
      <c r="F531" s="188">
        <v>132762.57</v>
      </c>
      <c r="G531" s="188">
        <v>131668.57</v>
      </c>
      <c r="H531" s="128"/>
      <c r="I531" s="188">
        <v>5411.03</v>
      </c>
      <c r="J531" s="188">
        <v>14535.64</v>
      </c>
      <c r="K531" s="188">
        <v>16278.16</v>
      </c>
      <c r="L531" s="188">
        <v>19706.36</v>
      </c>
      <c r="M531" s="70"/>
      <c r="N531" s="188">
        <v>182921.46</v>
      </c>
      <c r="O531" s="188">
        <v>182429.86</v>
      </c>
      <c r="P531" s="188">
        <v>182226.86</v>
      </c>
      <c r="Q531" s="128"/>
      <c r="R531" s="128"/>
      <c r="S531" s="188">
        <v>8567.7099999999991</v>
      </c>
      <c r="T531" s="188">
        <v>17109.12</v>
      </c>
      <c r="U531" s="188">
        <v>25300.93</v>
      </c>
      <c r="V531" s="61"/>
      <c r="W531" s="58"/>
      <c r="X531" s="188">
        <v>170181.01</v>
      </c>
      <c r="Y531" s="188">
        <v>169821.51</v>
      </c>
      <c r="Z531" s="128"/>
      <c r="AA531" s="128"/>
      <c r="AB531" s="128"/>
      <c r="AC531" s="188">
        <v>5853.6</v>
      </c>
      <c r="AD531" s="188">
        <v>11122.73</v>
      </c>
      <c r="AE531" s="61"/>
      <c r="AF531" s="65"/>
      <c r="AG531" s="58"/>
      <c r="AH531" s="188">
        <v>155434.04999999999</v>
      </c>
      <c r="AI531" s="128"/>
      <c r="AJ531" s="128"/>
      <c r="AK531" s="128"/>
      <c r="AL531" s="128"/>
      <c r="AM531" s="188">
        <v>6964.21</v>
      </c>
      <c r="AN531" s="135"/>
      <c r="AO531" s="135"/>
      <c r="AP531" s="135"/>
    </row>
    <row r="532" spans="1:42" x14ac:dyDescent="0.25">
      <c r="A532" t="s">
        <v>100</v>
      </c>
      <c r="B532" t="s">
        <v>45</v>
      </c>
      <c r="C532" s="212" t="str">
        <f t="shared" si="8"/>
        <v>Polk Probate</v>
      </c>
      <c r="D532" s="188">
        <v>175388.77</v>
      </c>
      <c r="E532" s="188">
        <v>175388.77</v>
      </c>
      <c r="F532" s="188">
        <v>175388.77</v>
      </c>
      <c r="G532" s="188">
        <v>175388.77</v>
      </c>
      <c r="H532" s="128"/>
      <c r="I532" s="188">
        <v>175328.77</v>
      </c>
      <c r="J532" s="188">
        <v>175388.77</v>
      </c>
      <c r="K532" s="188">
        <v>175388.77</v>
      </c>
      <c r="L532" s="188">
        <v>175388.77</v>
      </c>
      <c r="M532" s="70"/>
      <c r="N532" s="188">
        <v>198984.22</v>
      </c>
      <c r="O532" s="188">
        <v>198943.22</v>
      </c>
      <c r="P532" s="188">
        <v>198943.22</v>
      </c>
      <c r="Q532" s="128"/>
      <c r="R532" s="128"/>
      <c r="S532" s="188">
        <v>197941.22</v>
      </c>
      <c r="T532" s="188">
        <v>198286.22</v>
      </c>
      <c r="U532" s="188">
        <v>198455.22</v>
      </c>
      <c r="V532" s="61"/>
      <c r="W532" s="58"/>
      <c r="X532" s="188">
        <v>195780.84</v>
      </c>
      <c r="Y532" s="188">
        <v>195780.84</v>
      </c>
      <c r="Z532" s="128"/>
      <c r="AA532" s="128"/>
      <c r="AB532" s="128"/>
      <c r="AC532" s="188">
        <v>195204.84</v>
      </c>
      <c r="AD532" s="188">
        <v>195451.84</v>
      </c>
      <c r="AE532" s="61"/>
      <c r="AF532" s="65"/>
      <c r="AG532" s="58"/>
      <c r="AH532" s="188">
        <v>178966.58</v>
      </c>
      <c r="AI532" s="128"/>
      <c r="AJ532" s="128"/>
      <c r="AK532" s="128"/>
      <c r="AL532" s="128"/>
      <c r="AM532" s="188">
        <v>178487.58</v>
      </c>
      <c r="AN532" s="135"/>
      <c r="AO532" s="135"/>
      <c r="AP532" s="135"/>
    </row>
    <row r="533" spans="1:42" x14ac:dyDescent="0.25">
      <c r="A533" t="s">
        <v>101</v>
      </c>
      <c r="B533" t="s">
        <v>42</v>
      </c>
      <c r="C533" s="212" t="str">
        <f t="shared" si="8"/>
        <v>Putnam Circuit Civil</v>
      </c>
      <c r="D533" s="188">
        <v>108927.4</v>
      </c>
      <c r="E533" s="188">
        <v>108927.4</v>
      </c>
      <c r="F533" s="188">
        <v>108927.4</v>
      </c>
      <c r="G533" s="188">
        <v>109727.4</v>
      </c>
      <c r="H533" s="128"/>
      <c r="I533" s="188">
        <v>106626.9</v>
      </c>
      <c r="J533" s="188">
        <v>108736.4</v>
      </c>
      <c r="K533" s="188">
        <v>108736.4</v>
      </c>
      <c r="L533" s="188">
        <v>108736.4</v>
      </c>
      <c r="M533" s="70"/>
      <c r="N533" s="188">
        <v>95302.399999999994</v>
      </c>
      <c r="O533" s="188">
        <v>95302.399999999994</v>
      </c>
      <c r="P533" s="188">
        <v>96902.399999999994</v>
      </c>
      <c r="Q533" s="128"/>
      <c r="R533" s="128"/>
      <c r="S533" s="188">
        <v>90697.4</v>
      </c>
      <c r="T533" s="188">
        <v>95219.4</v>
      </c>
      <c r="U533" s="188">
        <v>95219.4</v>
      </c>
      <c r="V533" s="61"/>
      <c r="W533" s="58"/>
      <c r="X533" s="188">
        <v>113938.75</v>
      </c>
      <c r="Y533" s="188">
        <v>113938.75</v>
      </c>
      <c r="Z533" s="128"/>
      <c r="AA533" s="128"/>
      <c r="AB533" s="128"/>
      <c r="AC533" s="188">
        <v>112555.75</v>
      </c>
      <c r="AD533" s="188">
        <v>113550.75</v>
      </c>
      <c r="AE533" s="61"/>
      <c r="AF533" s="65"/>
      <c r="AG533" s="58"/>
      <c r="AH533" s="188">
        <v>87821.119999999995</v>
      </c>
      <c r="AI533" s="128"/>
      <c r="AJ533" s="128"/>
      <c r="AK533" s="128"/>
      <c r="AL533" s="128"/>
      <c r="AM533" s="188">
        <v>85780.21</v>
      </c>
      <c r="AN533" s="135"/>
      <c r="AO533" s="135"/>
      <c r="AP533" s="135"/>
    </row>
    <row r="534" spans="1:42" x14ac:dyDescent="0.25">
      <c r="A534" t="s">
        <v>101</v>
      </c>
      <c r="B534" t="s">
        <v>38</v>
      </c>
      <c r="C534" s="212" t="str">
        <f t="shared" si="8"/>
        <v>Putnam Circuit Criminal</v>
      </c>
      <c r="D534" s="188">
        <v>286189.13</v>
      </c>
      <c r="E534" s="188">
        <v>286189.13</v>
      </c>
      <c r="F534" s="188">
        <v>286030.13</v>
      </c>
      <c r="G534" s="188">
        <v>286515.13</v>
      </c>
      <c r="H534" s="128"/>
      <c r="I534" s="188">
        <v>2103.86</v>
      </c>
      <c r="J534" s="188">
        <v>5211.83</v>
      </c>
      <c r="K534" s="188">
        <v>6023.82</v>
      </c>
      <c r="L534" s="188">
        <v>8650.99</v>
      </c>
      <c r="M534" s="70"/>
      <c r="N534" s="188">
        <v>437829.24</v>
      </c>
      <c r="O534" s="188">
        <v>437540.24</v>
      </c>
      <c r="P534" s="188">
        <v>437720.24</v>
      </c>
      <c r="Q534" s="128"/>
      <c r="R534" s="128"/>
      <c r="S534" s="188">
        <v>8020.94</v>
      </c>
      <c r="T534" s="188">
        <v>10058.02</v>
      </c>
      <c r="U534" s="188">
        <v>11940.76</v>
      </c>
      <c r="V534" s="61"/>
      <c r="W534" s="58"/>
      <c r="X534" s="188">
        <v>359419.13</v>
      </c>
      <c r="Y534" s="188">
        <v>359971.13</v>
      </c>
      <c r="Z534" s="128"/>
      <c r="AA534" s="128"/>
      <c r="AB534" s="128"/>
      <c r="AC534" s="188">
        <v>3928.62</v>
      </c>
      <c r="AD534" s="188">
        <v>7996.3</v>
      </c>
      <c r="AE534" s="61"/>
      <c r="AF534" s="65"/>
      <c r="AG534" s="58"/>
      <c r="AH534" s="188">
        <v>475021.55</v>
      </c>
      <c r="AI534" s="128"/>
      <c r="AJ534" s="128"/>
      <c r="AK534" s="128"/>
      <c r="AL534" s="128"/>
      <c r="AM534" s="188">
        <v>3429.64</v>
      </c>
      <c r="AN534" s="135"/>
      <c r="AO534" s="135"/>
      <c r="AP534" s="135"/>
    </row>
    <row r="535" spans="1:42" x14ac:dyDescent="0.25">
      <c r="A535" t="s">
        <v>101</v>
      </c>
      <c r="B535" t="s">
        <v>265</v>
      </c>
      <c r="C535" s="212" t="str">
        <f t="shared" si="8"/>
        <v>Putnam Circuit Criminal Drug Cases</v>
      </c>
      <c r="D535" s="188">
        <v>159540</v>
      </c>
      <c r="E535" s="188">
        <v>159540</v>
      </c>
      <c r="F535" s="188">
        <v>159540</v>
      </c>
      <c r="G535" s="188">
        <v>159540</v>
      </c>
      <c r="H535" s="63"/>
      <c r="I535" s="188">
        <v>0</v>
      </c>
      <c r="J535" s="188">
        <v>0</v>
      </c>
      <c r="K535" s="188">
        <v>0</v>
      </c>
      <c r="L535" s="188">
        <v>0</v>
      </c>
      <c r="N535" s="188">
        <v>265450</v>
      </c>
      <c r="O535" s="188">
        <v>265450</v>
      </c>
      <c r="P535" s="188">
        <v>265450</v>
      </c>
      <c r="Q535" s="63"/>
      <c r="R535" s="63"/>
      <c r="S535" s="188">
        <v>0</v>
      </c>
      <c r="T535" s="188">
        <v>0</v>
      </c>
      <c r="U535" s="188">
        <v>0</v>
      </c>
      <c r="X535" s="188">
        <v>212570</v>
      </c>
      <c r="Y535" s="188">
        <v>212570</v>
      </c>
      <c r="Z535" s="63"/>
      <c r="AB535" s="63"/>
      <c r="AC535" s="188">
        <v>0</v>
      </c>
      <c r="AD535" s="188">
        <v>0</v>
      </c>
      <c r="AH535" s="188">
        <v>318765</v>
      </c>
      <c r="AI535" s="63"/>
      <c r="AL535" s="63"/>
      <c r="AM535" s="188">
        <v>0</v>
      </c>
    </row>
    <row r="536" spans="1:42" x14ac:dyDescent="0.25">
      <c r="A536" t="s">
        <v>101</v>
      </c>
      <c r="B536" t="s">
        <v>44</v>
      </c>
      <c r="C536" s="212" t="str">
        <f t="shared" si="8"/>
        <v>Putnam Civil Traffic</v>
      </c>
      <c r="D536" s="188">
        <v>219649.4</v>
      </c>
      <c r="E536" s="188">
        <v>257027.54</v>
      </c>
      <c r="F536" s="188">
        <v>248349.94</v>
      </c>
      <c r="G536" s="188">
        <v>248495.14</v>
      </c>
      <c r="H536" s="128"/>
      <c r="I536" s="188">
        <v>74786.5</v>
      </c>
      <c r="J536" s="188">
        <v>149797.34</v>
      </c>
      <c r="K536" s="188">
        <v>165385.74</v>
      </c>
      <c r="L536" s="188">
        <v>170461.34</v>
      </c>
      <c r="M536" s="70"/>
      <c r="N536" s="188">
        <v>203058.75</v>
      </c>
      <c r="O536" s="188">
        <v>229277.18</v>
      </c>
      <c r="P536" s="188">
        <v>225816.74</v>
      </c>
      <c r="Q536" s="128"/>
      <c r="R536" s="128"/>
      <c r="S536" s="188">
        <v>77406.25</v>
      </c>
      <c r="T536" s="188">
        <v>133438.20000000001</v>
      </c>
      <c r="U536" s="188">
        <v>154241.9</v>
      </c>
      <c r="V536" s="61"/>
      <c r="W536" s="58"/>
      <c r="X536" s="188">
        <v>180596.93</v>
      </c>
      <c r="Y536" s="188">
        <v>226096.18</v>
      </c>
      <c r="Z536" s="128"/>
      <c r="AA536" s="128"/>
      <c r="AB536" s="128"/>
      <c r="AC536" s="188">
        <v>64795.43</v>
      </c>
      <c r="AD536" s="188">
        <v>124023.67999999999</v>
      </c>
      <c r="AE536" s="61"/>
      <c r="AF536" s="65"/>
      <c r="AG536" s="58"/>
      <c r="AH536" s="188">
        <v>269824.84999999998</v>
      </c>
      <c r="AI536" s="128"/>
      <c r="AJ536" s="128"/>
      <c r="AK536" s="128"/>
      <c r="AL536" s="128"/>
      <c r="AM536" s="188">
        <v>91218.65</v>
      </c>
      <c r="AN536" s="135"/>
      <c r="AO536" s="135"/>
      <c r="AP536" s="135"/>
    </row>
    <row r="537" spans="1:42" x14ac:dyDescent="0.25">
      <c r="A537" t="s">
        <v>101</v>
      </c>
      <c r="B537" t="s">
        <v>43</v>
      </c>
      <c r="C537" s="212" t="str">
        <f t="shared" si="8"/>
        <v>Putnam County Civil</v>
      </c>
      <c r="D537" s="188">
        <v>61007.47</v>
      </c>
      <c r="E537" s="188">
        <v>60832.47</v>
      </c>
      <c r="F537" s="188">
        <v>60832.47</v>
      </c>
      <c r="G537" s="188">
        <v>60832.47</v>
      </c>
      <c r="H537" s="128"/>
      <c r="I537" s="188">
        <v>60137.47</v>
      </c>
      <c r="J537" s="188">
        <v>60752.47</v>
      </c>
      <c r="K537" s="188">
        <v>60752.47</v>
      </c>
      <c r="L537" s="188">
        <v>60752.47</v>
      </c>
      <c r="M537" s="70"/>
      <c r="N537" s="188">
        <v>61959.199999999997</v>
      </c>
      <c r="O537" s="188">
        <v>61959.199999999997</v>
      </c>
      <c r="P537" s="188">
        <v>61959.199999999997</v>
      </c>
      <c r="Q537" s="128"/>
      <c r="R537" s="128"/>
      <c r="S537" s="188">
        <v>58967.199999999997</v>
      </c>
      <c r="T537" s="188">
        <v>60782.2</v>
      </c>
      <c r="U537" s="188">
        <v>60782.2</v>
      </c>
      <c r="V537" s="61"/>
      <c r="W537" s="58"/>
      <c r="X537" s="188">
        <v>74967.11</v>
      </c>
      <c r="Y537" s="188">
        <v>74297.11</v>
      </c>
      <c r="Z537" s="128"/>
      <c r="AA537" s="128"/>
      <c r="AB537" s="128"/>
      <c r="AC537" s="188">
        <v>73258.09</v>
      </c>
      <c r="AD537" s="188">
        <v>73958.09</v>
      </c>
      <c r="AE537" s="61"/>
      <c r="AF537" s="65"/>
      <c r="AG537" s="58"/>
      <c r="AH537" s="188">
        <v>76533.75</v>
      </c>
      <c r="AI537" s="128"/>
      <c r="AJ537" s="128"/>
      <c r="AK537" s="128"/>
      <c r="AL537" s="128"/>
      <c r="AM537" s="188">
        <v>73918.75</v>
      </c>
      <c r="AN537" s="135"/>
      <c r="AO537" s="135"/>
      <c r="AP537" s="135"/>
    </row>
    <row r="538" spans="1:42" x14ac:dyDescent="0.25">
      <c r="A538" t="s">
        <v>101</v>
      </c>
      <c r="B538" t="s">
        <v>39</v>
      </c>
      <c r="C538" s="212" t="str">
        <f t="shared" si="8"/>
        <v>Putnam County Criminal</v>
      </c>
      <c r="D538" s="188">
        <v>77590.100000000006</v>
      </c>
      <c r="E538" s="188">
        <v>77237.259999999995</v>
      </c>
      <c r="F538" s="188">
        <v>76912.259999999995</v>
      </c>
      <c r="G538" s="188">
        <v>75293.259999999995</v>
      </c>
      <c r="H538" s="128"/>
      <c r="I538" s="188">
        <v>4723.3999999999996</v>
      </c>
      <c r="J538" s="188">
        <v>16980.46</v>
      </c>
      <c r="K538" s="188">
        <v>25008.76</v>
      </c>
      <c r="L538" s="188">
        <v>27572.240000000002</v>
      </c>
      <c r="M538" s="70"/>
      <c r="N538" s="188">
        <v>99001.94</v>
      </c>
      <c r="O538" s="188">
        <v>99024.94</v>
      </c>
      <c r="P538" s="188">
        <v>99726.44</v>
      </c>
      <c r="Q538" s="128"/>
      <c r="R538" s="128"/>
      <c r="S538" s="188">
        <v>12819.67</v>
      </c>
      <c r="T538" s="188">
        <v>22441.85</v>
      </c>
      <c r="U538" s="188">
        <v>33796.26</v>
      </c>
      <c r="V538" s="61"/>
      <c r="W538" s="58"/>
      <c r="X538" s="188">
        <v>109731.29</v>
      </c>
      <c r="Y538" s="188">
        <v>110835.27</v>
      </c>
      <c r="Z538" s="128"/>
      <c r="AA538" s="128"/>
      <c r="AB538" s="128"/>
      <c r="AC538" s="188">
        <v>10892.29</v>
      </c>
      <c r="AD538" s="188">
        <v>22940.95</v>
      </c>
      <c r="AE538" s="61"/>
      <c r="AF538" s="65"/>
      <c r="AG538" s="58"/>
      <c r="AH538" s="188">
        <v>91307.45</v>
      </c>
      <c r="AI538" s="128"/>
      <c r="AJ538" s="128"/>
      <c r="AK538" s="128"/>
      <c r="AL538" s="128"/>
      <c r="AM538" s="188">
        <v>7044.35</v>
      </c>
      <c r="AN538" s="135"/>
      <c r="AO538" s="135"/>
      <c r="AP538" s="135"/>
    </row>
    <row r="539" spans="1:42" x14ac:dyDescent="0.25">
      <c r="A539" t="s">
        <v>101</v>
      </c>
      <c r="B539" t="s">
        <v>41</v>
      </c>
      <c r="C539" s="212" t="str">
        <f t="shared" si="8"/>
        <v>Putnam Criminal Traffic</v>
      </c>
      <c r="D539" s="188">
        <v>113576.48</v>
      </c>
      <c r="E539" s="188">
        <v>113380.48</v>
      </c>
      <c r="F539" s="188">
        <v>113430.48</v>
      </c>
      <c r="G539" s="188">
        <v>114580.48</v>
      </c>
      <c r="H539" s="128"/>
      <c r="I539" s="188">
        <v>16965.75</v>
      </c>
      <c r="J539" s="188">
        <v>59143.64</v>
      </c>
      <c r="K539" s="188">
        <v>75994.14</v>
      </c>
      <c r="L539" s="188">
        <v>81220.39</v>
      </c>
      <c r="M539" s="70"/>
      <c r="N539" s="188">
        <v>123087.67999999999</v>
      </c>
      <c r="O539" s="188">
        <v>124260.68</v>
      </c>
      <c r="P539" s="188">
        <v>123195.68</v>
      </c>
      <c r="Q539" s="128"/>
      <c r="R539" s="128"/>
      <c r="S539" s="188">
        <v>36474.15</v>
      </c>
      <c r="T539" s="188">
        <v>60227.54</v>
      </c>
      <c r="U539" s="188">
        <v>70695.89</v>
      </c>
      <c r="V539" s="61"/>
      <c r="W539" s="58"/>
      <c r="X539" s="188">
        <v>107688.89</v>
      </c>
      <c r="Y539" s="188">
        <v>110410.89</v>
      </c>
      <c r="Z539" s="128"/>
      <c r="AA539" s="128"/>
      <c r="AB539" s="128"/>
      <c r="AC539" s="188">
        <v>25614.799999999999</v>
      </c>
      <c r="AD539" s="188">
        <v>46274.35</v>
      </c>
      <c r="AE539" s="61"/>
      <c r="AF539" s="65"/>
      <c r="AG539" s="58"/>
      <c r="AH539" s="188">
        <v>101508.7</v>
      </c>
      <c r="AI539" s="128"/>
      <c r="AJ539" s="128"/>
      <c r="AK539" s="128"/>
      <c r="AL539" s="128"/>
      <c r="AM539" s="188">
        <v>22456.45</v>
      </c>
      <c r="AN539" s="135"/>
      <c r="AO539" s="135"/>
      <c r="AP539" s="135"/>
    </row>
    <row r="540" spans="1:42" x14ac:dyDescent="0.25">
      <c r="A540" t="s">
        <v>101</v>
      </c>
      <c r="B540" t="s">
        <v>46</v>
      </c>
      <c r="C540" s="212" t="str">
        <f t="shared" si="8"/>
        <v>Putnam Family</v>
      </c>
      <c r="D540" s="188">
        <v>44416.1</v>
      </c>
      <c r="E540" s="188">
        <v>44008.1</v>
      </c>
      <c r="F540" s="188">
        <v>44008.1</v>
      </c>
      <c r="G540" s="188">
        <v>44008.1</v>
      </c>
      <c r="H540" s="128"/>
      <c r="I540" s="188">
        <v>34238.1</v>
      </c>
      <c r="J540" s="188">
        <v>35382.1</v>
      </c>
      <c r="K540" s="188">
        <v>36174.839999999997</v>
      </c>
      <c r="L540" s="188">
        <v>36174.839999999997</v>
      </c>
      <c r="M540" s="70"/>
      <c r="N540" s="188">
        <v>54199.9</v>
      </c>
      <c r="O540" s="188">
        <v>53791.9</v>
      </c>
      <c r="P540" s="188">
        <v>53791.9</v>
      </c>
      <c r="Q540" s="128"/>
      <c r="R540" s="128"/>
      <c r="S540" s="188">
        <v>39926.78</v>
      </c>
      <c r="T540" s="188">
        <v>43278.01</v>
      </c>
      <c r="U540" s="188">
        <v>43458.01</v>
      </c>
      <c r="V540" s="61"/>
      <c r="W540" s="58"/>
      <c r="X540" s="188">
        <v>44453.4</v>
      </c>
      <c r="Y540" s="188">
        <v>44748.4</v>
      </c>
      <c r="Z540" s="128"/>
      <c r="AA540" s="128"/>
      <c r="AB540" s="128"/>
      <c r="AC540" s="188">
        <v>34232.18</v>
      </c>
      <c r="AD540" s="188">
        <v>36994.449999999997</v>
      </c>
      <c r="AE540" s="61"/>
      <c r="AF540" s="65"/>
      <c r="AG540" s="58"/>
      <c r="AH540" s="188">
        <v>42629.5</v>
      </c>
      <c r="AI540" s="128"/>
      <c r="AJ540" s="128"/>
      <c r="AK540" s="128"/>
      <c r="AL540" s="128"/>
      <c r="AM540" s="188">
        <v>31817</v>
      </c>
      <c r="AN540" s="135"/>
      <c r="AO540" s="135"/>
      <c r="AP540" s="135"/>
    </row>
    <row r="541" spans="1:42" x14ac:dyDescent="0.25">
      <c r="A541" t="s">
        <v>101</v>
      </c>
      <c r="B541" t="s">
        <v>40</v>
      </c>
      <c r="C541" s="212" t="str">
        <f t="shared" si="8"/>
        <v>Putnam Juvenile Delinquency</v>
      </c>
      <c r="D541" s="188">
        <v>2961</v>
      </c>
      <c r="E541" s="188">
        <v>4121</v>
      </c>
      <c r="F541" s="188">
        <v>4121</v>
      </c>
      <c r="G541" s="188">
        <v>4121</v>
      </c>
      <c r="H541" s="128"/>
      <c r="I541" s="188">
        <v>250</v>
      </c>
      <c r="J541" s="188">
        <v>350</v>
      </c>
      <c r="K541" s="188">
        <v>350</v>
      </c>
      <c r="L541" s="188">
        <v>350</v>
      </c>
      <c r="M541" s="70"/>
      <c r="N541" s="188">
        <v>1570</v>
      </c>
      <c r="O541" s="188">
        <v>1570</v>
      </c>
      <c r="P541" s="188">
        <v>1570</v>
      </c>
      <c r="Q541" s="128"/>
      <c r="R541" s="128"/>
      <c r="S541" s="188">
        <v>50</v>
      </c>
      <c r="T541" s="188">
        <v>50</v>
      </c>
      <c r="U541" s="188">
        <v>50</v>
      </c>
      <c r="V541" s="61"/>
      <c r="W541" s="58"/>
      <c r="X541" s="188">
        <v>2850</v>
      </c>
      <c r="Y541" s="188">
        <v>2850</v>
      </c>
      <c r="Z541" s="128"/>
      <c r="AA541" s="128"/>
      <c r="AB541" s="128"/>
      <c r="AC541" s="188">
        <v>0</v>
      </c>
      <c r="AD541" s="188">
        <v>0</v>
      </c>
      <c r="AE541" s="61"/>
      <c r="AF541" s="65"/>
      <c r="AG541" s="58"/>
      <c r="AH541" s="188">
        <v>13093.5</v>
      </c>
      <c r="AI541" s="128"/>
      <c r="AJ541" s="128"/>
      <c r="AK541" s="128"/>
      <c r="AL541" s="128"/>
      <c r="AM541" s="188">
        <v>0</v>
      </c>
      <c r="AN541" s="135"/>
      <c r="AO541" s="135"/>
      <c r="AP541" s="135"/>
    </row>
    <row r="542" spans="1:42" x14ac:dyDescent="0.25">
      <c r="A542" t="s">
        <v>101</v>
      </c>
      <c r="B542" t="s">
        <v>45</v>
      </c>
      <c r="C542" s="212" t="str">
        <f t="shared" si="8"/>
        <v>Putnam Probate</v>
      </c>
      <c r="D542" s="188">
        <v>21155.15</v>
      </c>
      <c r="E542" s="188">
        <v>21155.15</v>
      </c>
      <c r="F542" s="188">
        <v>21155.15</v>
      </c>
      <c r="G542" s="188">
        <v>21155.15</v>
      </c>
      <c r="H542" s="128"/>
      <c r="I542" s="188">
        <v>21123.15</v>
      </c>
      <c r="J542" s="188">
        <v>21123.15</v>
      </c>
      <c r="K542" s="188">
        <v>21123.15</v>
      </c>
      <c r="L542" s="188">
        <v>21123.15</v>
      </c>
      <c r="M542" s="70"/>
      <c r="N542" s="188">
        <v>33928.5</v>
      </c>
      <c r="O542" s="188">
        <v>33928.5</v>
      </c>
      <c r="P542" s="188">
        <v>33928.5</v>
      </c>
      <c r="Q542" s="128"/>
      <c r="R542" s="128"/>
      <c r="S542" s="188">
        <v>33908.5</v>
      </c>
      <c r="T542" s="188">
        <v>33908.5</v>
      </c>
      <c r="U542" s="188">
        <v>33908.5</v>
      </c>
      <c r="V542" s="61"/>
      <c r="W542" s="58"/>
      <c r="X542" s="188">
        <v>24192.5</v>
      </c>
      <c r="Y542" s="188">
        <v>24192.5</v>
      </c>
      <c r="Z542" s="128"/>
      <c r="AA542" s="128"/>
      <c r="AB542" s="128"/>
      <c r="AC542" s="188">
        <v>23248.5</v>
      </c>
      <c r="AD542" s="188">
        <v>24184.5</v>
      </c>
      <c r="AE542" s="61"/>
      <c r="AF542" s="65"/>
      <c r="AG542" s="58"/>
      <c r="AH542" s="188">
        <v>23389.5</v>
      </c>
      <c r="AI542" s="128"/>
      <c r="AJ542" s="128"/>
      <c r="AK542" s="128"/>
      <c r="AL542" s="128"/>
      <c r="AM542" s="188">
        <v>22988.5</v>
      </c>
      <c r="AN542" s="135"/>
      <c r="AO542" s="135"/>
      <c r="AP542" s="135"/>
    </row>
    <row r="543" spans="1:42" x14ac:dyDescent="0.25">
      <c r="A543" t="s">
        <v>102</v>
      </c>
      <c r="B543" t="s">
        <v>42</v>
      </c>
      <c r="C543" s="212" t="str">
        <f t="shared" si="8"/>
        <v>Santa Rosa Circuit Civil</v>
      </c>
      <c r="D543" s="188">
        <v>304988.3</v>
      </c>
      <c r="E543" s="188">
        <v>306443.3</v>
      </c>
      <c r="F543" s="188">
        <v>306043.3</v>
      </c>
      <c r="G543" s="188">
        <v>306043.3</v>
      </c>
      <c r="H543" s="128"/>
      <c r="I543" s="188">
        <v>302068.3</v>
      </c>
      <c r="J543" s="188">
        <v>303643.3</v>
      </c>
      <c r="K543" s="188">
        <v>303643.3</v>
      </c>
      <c r="L543" s="188">
        <v>304043.3</v>
      </c>
      <c r="M543" s="70"/>
      <c r="N543" s="188">
        <v>264783.35999999999</v>
      </c>
      <c r="O543" s="188">
        <v>263921.86</v>
      </c>
      <c r="P543" s="188">
        <v>263521.86</v>
      </c>
      <c r="Q543" s="128"/>
      <c r="R543" s="128"/>
      <c r="S543" s="188">
        <v>255494.36</v>
      </c>
      <c r="T543" s="188">
        <v>261521.86</v>
      </c>
      <c r="U543" s="188">
        <v>261521.86</v>
      </c>
      <c r="V543" s="61"/>
      <c r="W543" s="58"/>
      <c r="X543" s="188">
        <v>270011.96000000002</v>
      </c>
      <c r="Y543" s="188">
        <v>269208.96000000002</v>
      </c>
      <c r="Z543" s="128"/>
      <c r="AA543" s="128"/>
      <c r="AB543" s="128"/>
      <c r="AC543" s="188">
        <v>259118.29</v>
      </c>
      <c r="AD543" s="188">
        <v>263166.96000000002</v>
      </c>
      <c r="AE543" s="61"/>
      <c r="AF543" s="65"/>
      <c r="AG543" s="58"/>
      <c r="AH543" s="188">
        <v>301881.40000000002</v>
      </c>
      <c r="AI543" s="128"/>
      <c r="AJ543" s="128"/>
      <c r="AK543" s="128"/>
      <c r="AL543" s="128"/>
      <c r="AM543" s="188">
        <v>298051.40000000002</v>
      </c>
      <c r="AN543" s="135"/>
      <c r="AO543" s="135"/>
      <c r="AP543" s="135"/>
    </row>
    <row r="544" spans="1:42" x14ac:dyDescent="0.25">
      <c r="A544" t="s">
        <v>102</v>
      </c>
      <c r="B544" t="s">
        <v>38</v>
      </c>
      <c r="C544" s="212" t="str">
        <f t="shared" si="8"/>
        <v>Santa Rosa Circuit Criminal</v>
      </c>
      <c r="D544" s="188">
        <v>425423.56</v>
      </c>
      <c r="E544" s="188">
        <v>424177.73</v>
      </c>
      <c r="F544" s="188">
        <v>424050.73</v>
      </c>
      <c r="G544" s="188">
        <v>424735.73</v>
      </c>
      <c r="H544" s="128"/>
      <c r="I544" s="188">
        <v>10677.66</v>
      </c>
      <c r="J544" s="188">
        <v>28415.15</v>
      </c>
      <c r="K544" s="188">
        <v>39209.269999999997</v>
      </c>
      <c r="L544" s="188">
        <v>47948.06</v>
      </c>
      <c r="M544" s="70"/>
      <c r="N544" s="188">
        <v>434646.05</v>
      </c>
      <c r="O544" s="188">
        <v>432924.99</v>
      </c>
      <c r="P544" s="188">
        <v>432367.99</v>
      </c>
      <c r="Q544" s="128"/>
      <c r="R544" s="128"/>
      <c r="S544" s="188">
        <v>13806.47</v>
      </c>
      <c r="T544" s="188">
        <v>26747.71</v>
      </c>
      <c r="U544" s="188">
        <v>38569.29</v>
      </c>
      <c r="V544" s="61"/>
      <c r="W544" s="58"/>
      <c r="X544" s="188">
        <v>574944.11</v>
      </c>
      <c r="Y544" s="188">
        <v>592509.73</v>
      </c>
      <c r="Z544" s="128"/>
      <c r="AA544" s="128"/>
      <c r="AB544" s="128"/>
      <c r="AC544" s="188">
        <v>15138</v>
      </c>
      <c r="AD544" s="188">
        <v>27460.83</v>
      </c>
      <c r="AE544" s="61"/>
      <c r="AF544" s="65"/>
      <c r="AG544" s="58"/>
      <c r="AH544" s="188">
        <v>502926.99</v>
      </c>
      <c r="AI544" s="128"/>
      <c r="AJ544" s="128"/>
      <c r="AK544" s="128"/>
      <c r="AL544" s="128"/>
      <c r="AM544" s="188">
        <v>13364.43</v>
      </c>
      <c r="AN544" s="135"/>
      <c r="AO544" s="135"/>
      <c r="AP544" s="135"/>
    </row>
    <row r="545" spans="1:42" x14ac:dyDescent="0.25">
      <c r="A545" t="s">
        <v>102</v>
      </c>
      <c r="B545" t="s">
        <v>265</v>
      </c>
      <c r="C545" s="212" t="str">
        <f t="shared" si="8"/>
        <v>Santa Rosa Circuit Criminal Drug Cases</v>
      </c>
      <c r="D545" s="188">
        <v>152399</v>
      </c>
      <c r="E545" s="188"/>
      <c r="H545" s="63"/>
      <c r="I545" s="188"/>
      <c r="J545" s="188"/>
      <c r="N545" s="188">
        <v>152549</v>
      </c>
      <c r="O545" s="188"/>
      <c r="P545" s="188"/>
      <c r="Q545" s="63"/>
      <c r="R545" s="63"/>
      <c r="S545" s="188"/>
      <c r="T545" s="188"/>
      <c r="U545" s="188"/>
      <c r="X545" s="188">
        <v>255087</v>
      </c>
      <c r="Z545" s="63"/>
      <c r="AB545" s="63"/>
      <c r="AC545" s="188"/>
      <c r="AH545" s="188">
        <v>264240</v>
      </c>
      <c r="AI545" s="63"/>
      <c r="AL545" s="63"/>
      <c r="AM545" s="188"/>
    </row>
    <row r="546" spans="1:42" x14ac:dyDescent="0.25">
      <c r="A546" t="s">
        <v>102</v>
      </c>
      <c r="B546" t="s">
        <v>44</v>
      </c>
      <c r="C546" s="212" t="str">
        <f t="shared" si="8"/>
        <v>Santa Rosa Civil Traffic</v>
      </c>
      <c r="D546" s="188">
        <v>768278.43</v>
      </c>
      <c r="E546" s="188">
        <v>805754.43</v>
      </c>
      <c r="F546" s="188">
        <v>800390.08</v>
      </c>
      <c r="G546" s="188">
        <v>798925.83</v>
      </c>
      <c r="H546" s="128"/>
      <c r="I546" s="188">
        <v>340611.23</v>
      </c>
      <c r="J546" s="188">
        <v>605072.23</v>
      </c>
      <c r="K546" s="188">
        <v>659583.41</v>
      </c>
      <c r="L546" s="188">
        <v>684768.41</v>
      </c>
      <c r="M546" s="70"/>
      <c r="N546" s="188">
        <v>800638.83</v>
      </c>
      <c r="O546" s="188">
        <v>850245.08</v>
      </c>
      <c r="P546" s="188">
        <v>853424.58</v>
      </c>
      <c r="Q546" s="128"/>
      <c r="R546" s="128"/>
      <c r="S546" s="188">
        <v>399866.34</v>
      </c>
      <c r="T546" s="188">
        <v>635324.57999999996</v>
      </c>
      <c r="U546" s="188">
        <v>698468.07</v>
      </c>
      <c r="V546" s="61"/>
      <c r="W546" s="58"/>
      <c r="X546" s="188">
        <v>807866.24</v>
      </c>
      <c r="Y546" s="188">
        <v>873520.14</v>
      </c>
      <c r="Z546" s="128"/>
      <c r="AA546" s="128"/>
      <c r="AB546" s="128"/>
      <c r="AC546" s="188">
        <v>370858.8</v>
      </c>
      <c r="AD546" s="188">
        <v>631916.43000000005</v>
      </c>
      <c r="AE546" s="61"/>
      <c r="AF546" s="65"/>
      <c r="AG546" s="58"/>
      <c r="AH546" s="188">
        <v>951620.14</v>
      </c>
      <c r="AI546" s="128"/>
      <c r="AJ546" s="128"/>
      <c r="AK546" s="128"/>
      <c r="AL546" s="128"/>
      <c r="AM546" s="188">
        <v>466404.44</v>
      </c>
      <c r="AN546" s="135"/>
      <c r="AO546" s="135"/>
      <c r="AP546" s="135"/>
    </row>
    <row r="547" spans="1:42" x14ac:dyDescent="0.25">
      <c r="A547" t="s">
        <v>102</v>
      </c>
      <c r="B547" t="s">
        <v>43</v>
      </c>
      <c r="C547" s="212" t="str">
        <f t="shared" si="8"/>
        <v>Santa Rosa County Civil</v>
      </c>
      <c r="D547" s="188">
        <v>78775.649999999994</v>
      </c>
      <c r="E547" s="188">
        <v>78860.649999999994</v>
      </c>
      <c r="F547" s="188">
        <v>78364.05</v>
      </c>
      <c r="G547" s="188">
        <v>78364.05</v>
      </c>
      <c r="H547" s="128"/>
      <c r="I547" s="188">
        <v>78200.55</v>
      </c>
      <c r="J547" s="188">
        <v>78364.05</v>
      </c>
      <c r="K547" s="188">
        <v>78364.05</v>
      </c>
      <c r="L547" s="188">
        <v>78364.05</v>
      </c>
      <c r="M547" s="70"/>
      <c r="N547" s="188">
        <v>92210.79</v>
      </c>
      <c r="O547" s="188">
        <v>92210.79</v>
      </c>
      <c r="P547" s="188">
        <v>92210.79</v>
      </c>
      <c r="Q547" s="128"/>
      <c r="R547" s="128"/>
      <c r="S547" s="188">
        <v>92125.79</v>
      </c>
      <c r="T547" s="188">
        <v>92210.79</v>
      </c>
      <c r="U547" s="188">
        <v>92210.79</v>
      </c>
      <c r="V547" s="61"/>
      <c r="W547" s="58"/>
      <c r="X547" s="188">
        <v>106617.08</v>
      </c>
      <c r="Y547" s="188">
        <v>106617.08</v>
      </c>
      <c r="Z547" s="128"/>
      <c r="AA547" s="128"/>
      <c r="AB547" s="128"/>
      <c r="AC547" s="188">
        <v>106142.08</v>
      </c>
      <c r="AD547" s="188">
        <v>106617.08</v>
      </c>
      <c r="AE547" s="61"/>
      <c r="AF547" s="65"/>
      <c r="AG547" s="58"/>
      <c r="AH547" s="188">
        <v>73218.95</v>
      </c>
      <c r="AI547" s="128"/>
      <c r="AJ547" s="128"/>
      <c r="AK547" s="128"/>
      <c r="AL547" s="128"/>
      <c r="AM547" s="188">
        <v>72908.95</v>
      </c>
      <c r="AN547" s="135"/>
      <c r="AO547" s="135"/>
      <c r="AP547" s="135"/>
    </row>
    <row r="548" spans="1:42" x14ac:dyDescent="0.25">
      <c r="A548" t="s">
        <v>102</v>
      </c>
      <c r="B548" t="s">
        <v>39</v>
      </c>
      <c r="C548" s="212" t="str">
        <f t="shared" si="8"/>
        <v>Santa Rosa County Criminal</v>
      </c>
      <c r="D548" s="188">
        <v>158965.04</v>
      </c>
      <c r="E548" s="188">
        <v>158267.04</v>
      </c>
      <c r="F548" s="188">
        <v>156614.67000000001</v>
      </c>
      <c r="G548" s="188">
        <v>155058.37</v>
      </c>
      <c r="H548" s="128"/>
      <c r="I548" s="188">
        <v>33525.81</v>
      </c>
      <c r="J548" s="188">
        <v>51590.82</v>
      </c>
      <c r="K548" s="188">
        <v>60819.17</v>
      </c>
      <c r="L548" s="188">
        <v>67519.490000000005</v>
      </c>
      <c r="M548" s="70"/>
      <c r="N548" s="188">
        <v>162196.56</v>
      </c>
      <c r="O548" s="188">
        <v>161457.09</v>
      </c>
      <c r="P548" s="188">
        <v>160478.09</v>
      </c>
      <c r="Q548" s="128"/>
      <c r="R548" s="128"/>
      <c r="S548" s="188">
        <v>33981.57</v>
      </c>
      <c r="T548" s="188">
        <v>51545.48</v>
      </c>
      <c r="U548" s="188">
        <v>62889.87</v>
      </c>
      <c r="V548" s="61"/>
      <c r="W548" s="58"/>
      <c r="X548" s="188">
        <v>140625.71</v>
      </c>
      <c r="Y548" s="188">
        <v>140549.31</v>
      </c>
      <c r="Z548" s="128"/>
      <c r="AA548" s="128"/>
      <c r="AB548" s="128"/>
      <c r="AC548" s="188">
        <v>35668.78</v>
      </c>
      <c r="AD548" s="188">
        <v>50717.31</v>
      </c>
      <c r="AE548" s="61"/>
      <c r="AF548" s="65"/>
      <c r="AG548" s="58"/>
      <c r="AH548" s="188">
        <v>140465.39000000001</v>
      </c>
      <c r="AI548" s="128"/>
      <c r="AJ548" s="128"/>
      <c r="AK548" s="128"/>
      <c r="AL548" s="128"/>
      <c r="AM548" s="188">
        <v>31463.08</v>
      </c>
      <c r="AN548" s="135"/>
      <c r="AO548" s="135"/>
      <c r="AP548" s="135"/>
    </row>
    <row r="549" spans="1:42" x14ac:dyDescent="0.25">
      <c r="A549" t="s">
        <v>102</v>
      </c>
      <c r="B549" t="s">
        <v>41</v>
      </c>
      <c r="C549" s="212" t="str">
        <f t="shared" si="8"/>
        <v>Santa Rosa Criminal Traffic</v>
      </c>
      <c r="D549" s="188">
        <v>218427.38</v>
      </c>
      <c r="E549" s="188">
        <v>218642.38</v>
      </c>
      <c r="F549" s="188">
        <v>218295.38</v>
      </c>
      <c r="G549" s="188">
        <v>217019.81</v>
      </c>
      <c r="H549" s="128"/>
      <c r="I549" s="188">
        <v>81690.95</v>
      </c>
      <c r="J549" s="188">
        <v>114340.15</v>
      </c>
      <c r="K549" s="188">
        <v>135603.95000000001</v>
      </c>
      <c r="L549" s="188">
        <v>145595.75</v>
      </c>
      <c r="M549" s="70"/>
      <c r="N549" s="188">
        <v>238883.36</v>
      </c>
      <c r="O549" s="188">
        <v>237247.7</v>
      </c>
      <c r="P549" s="188">
        <v>237165.7</v>
      </c>
      <c r="Q549" s="128"/>
      <c r="R549" s="128"/>
      <c r="S549" s="188">
        <v>96173.96</v>
      </c>
      <c r="T549" s="188">
        <v>131829.85999999999</v>
      </c>
      <c r="U549" s="188">
        <v>147598.01</v>
      </c>
      <c r="V549" s="61"/>
      <c r="W549" s="58"/>
      <c r="X549" s="188">
        <v>292561.17</v>
      </c>
      <c r="Y549" s="188">
        <v>295193.17</v>
      </c>
      <c r="Z549" s="128"/>
      <c r="AA549" s="128"/>
      <c r="AB549" s="128"/>
      <c r="AC549" s="188">
        <v>133893.18</v>
      </c>
      <c r="AD549" s="188">
        <v>172377.04</v>
      </c>
      <c r="AE549" s="61"/>
      <c r="AF549" s="65"/>
      <c r="AG549" s="58"/>
      <c r="AH549" s="188">
        <v>240692.89</v>
      </c>
      <c r="AI549" s="128"/>
      <c r="AJ549" s="128"/>
      <c r="AK549" s="128"/>
      <c r="AL549" s="128"/>
      <c r="AM549" s="188">
        <v>95408.37</v>
      </c>
      <c r="AN549" s="135"/>
      <c r="AO549" s="135"/>
      <c r="AP549" s="135"/>
    </row>
    <row r="550" spans="1:42" x14ac:dyDescent="0.25">
      <c r="A550" t="s">
        <v>102</v>
      </c>
      <c r="B550" t="s">
        <v>46</v>
      </c>
      <c r="C550" s="212" t="str">
        <f t="shared" si="8"/>
        <v>Santa Rosa Family</v>
      </c>
      <c r="D550" s="188">
        <v>95986.75</v>
      </c>
      <c r="E550" s="188">
        <v>95294.25</v>
      </c>
      <c r="F550" s="188">
        <v>95172.25</v>
      </c>
      <c r="G550" s="188">
        <v>95172.25</v>
      </c>
      <c r="H550" s="128"/>
      <c r="I550" s="188">
        <v>91087.75</v>
      </c>
      <c r="J550" s="188">
        <v>91304.75</v>
      </c>
      <c r="K550" s="188">
        <v>91464.75</v>
      </c>
      <c r="L550" s="188">
        <v>91560.25</v>
      </c>
      <c r="M550" s="70"/>
      <c r="N550" s="188">
        <v>102897.05</v>
      </c>
      <c r="O550" s="188">
        <v>102427.05</v>
      </c>
      <c r="P550" s="188">
        <v>102427.05</v>
      </c>
      <c r="Q550" s="128"/>
      <c r="R550" s="128"/>
      <c r="S550" s="188">
        <v>96226.35</v>
      </c>
      <c r="T550" s="188">
        <v>96895.55</v>
      </c>
      <c r="U550" s="188">
        <v>97146.75</v>
      </c>
      <c r="V550" s="61"/>
      <c r="W550" s="58"/>
      <c r="X550" s="188">
        <v>114851.3</v>
      </c>
      <c r="Y550" s="188">
        <v>114551.3</v>
      </c>
      <c r="Z550" s="128"/>
      <c r="AA550" s="128"/>
      <c r="AB550" s="128"/>
      <c r="AC550" s="188">
        <v>110294.8</v>
      </c>
      <c r="AD550" s="188">
        <v>111038.8</v>
      </c>
      <c r="AE550" s="61"/>
      <c r="AF550" s="65"/>
      <c r="AG550" s="58"/>
      <c r="AH550" s="188">
        <v>120210.6</v>
      </c>
      <c r="AI550" s="128"/>
      <c r="AJ550" s="128"/>
      <c r="AK550" s="128"/>
      <c r="AL550" s="128"/>
      <c r="AM550" s="188">
        <v>112568.9</v>
      </c>
      <c r="AN550" s="135"/>
      <c r="AO550" s="135"/>
      <c r="AP550" s="135"/>
    </row>
    <row r="551" spans="1:42" x14ac:dyDescent="0.25">
      <c r="A551" t="s">
        <v>102</v>
      </c>
      <c r="B551" t="s">
        <v>40</v>
      </c>
      <c r="C551" s="212" t="str">
        <f t="shared" si="8"/>
        <v>Santa Rosa Juvenile Delinquency</v>
      </c>
      <c r="D551" s="188">
        <v>24543.5</v>
      </c>
      <c r="E551" s="188">
        <v>24284.5</v>
      </c>
      <c r="F551" s="188">
        <v>23432</v>
      </c>
      <c r="G551" s="188">
        <v>21532</v>
      </c>
      <c r="H551" s="128"/>
      <c r="I551" s="188">
        <v>1340</v>
      </c>
      <c r="J551" s="188">
        <v>1979.5</v>
      </c>
      <c r="K551" s="188">
        <v>2594</v>
      </c>
      <c r="L551" s="188">
        <v>3388</v>
      </c>
      <c r="M551" s="70"/>
      <c r="N551" s="188">
        <v>17171.5</v>
      </c>
      <c r="O551" s="188">
        <v>15856.5</v>
      </c>
      <c r="P551" s="188">
        <v>14721.5</v>
      </c>
      <c r="Q551" s="128"/>
      <c r="R551" s="128"/>
      <c r="S551" s="188">
        <v>1434.5</v>
      </c>
      <c r="T551" s="188">
        <v>2650.5</v>
      </c>
      <c r="U551" s="188">
        <v>2838.5</v>
      </c>
      <c r="V551" s="61"/>
      <c r="W551" s="58"/>
      <c r="X551" s="188">
        <v>17280</v>
      </c>
      <c r="Y551" s="188">
        <v>13915</v>
      </c>
      <c r="Z551" s="128"/>
      <c r="AA551" s="128"/>
      <c r="AB551" s="128"/>
      <c r="AC551" s="188">
        <v>1677</v>
      </c>
      <c r="AD551" s="188">
        <v>2587</v>
      </c>
      <c r="AE551" s="61"/>
      <c r="AF551" s="65"/>
      <c r="AG551" s="58"/>
      <c r="AH551" s="188">
        <v>20896.5</v>
      </c>
      <c r="AI551" s="128"/>
      <c r="AJ551" s="128"/>
      <c r="AK551" s="128"/>
      <c r="AL551" s="128"/>
      <c r="AM551" s="188">
        <v>1709.5</v>
      </c>
      <c r="AN551" s="135"/>
      <c r="AO551" s="135"/>
      <c r="AP551" s="135"/>
    </row>
    <row r="552" spans="1:42" x14ac:dyDescent="0.25">
      <c r="A552" t="s">
        <v>102</v>
      </c>
      <c r="B552" t="s">
        <v>45</v>
      </c>
      <c r="C552" s="212" t="str">
        <f t="shared" si="8"/>
        <v>Santa Rosa Probate</v>
      </c>
      <c r="D552" s="188">
        <v>33694.61</v>
      </c>
      <c r="E552" s="188">
        <v>33694.61</v>
      </c>
      <c r="F552" s="188">
        <v>33694.61</v>
      </c>
      <c r="G552" s="188">
        <v>33694.61</v>
      </c>
      <c r="H552" s="128"/>
      <c r="I552" s="188">
        <v>33438.61</v>
      </c>
      <c r="J552" s="188">
        <v>33673.61</v>
      </c>
      <c r="K552" s="188">
        <v>33673.61</v>
      </c>
      <c r="L552" s="188">
        <v>33673.61</v>
      </c>
      <c r="M552" s="70"/>
      <c r="N552" s="188">
        <v>44752.5</v>
      </c>
      <c r="O552" s="188">
        <v>44752.5</v>
      </c>
      <c r="P552" s="188">
        <v>44752.5</v>
      </c>
      <c r="Q552" s="128"/>
      <c r="R552" s="128"/>
      <c r="S552" s="188">
        <v>44262.5</v>
      </c>
      <c r="T552" s="188">
        <v>44732.5</v>
      </c>
      <c r="U552" s="188">
        <v>44732.5</v>
      </c>
      <c r="V552" s="61"/>
      <c r="W552" s="58"/>
      <c r="X552" s="188">
        <v>45942.5</v>
      </c>
      <c r="Y552" s="188">
        <v>45942.5</v>
      </c>
      <c r="Z552" s="128"/>
      <c r="AA552" s="128"/>
      <c r="AB552" s="128"/>
      <c r="AC552" s="188">
        <v>45202.5</v>
      </c>
      <c r="AD552" s="188">
        <v>45807.5</v>
      </c>
      <c r="AE552" s="61"/>
      <c r="AF552" s="65"/>
      <c r="AG552" s="58"/>
      <c r="AH552" s="188">
        <v>43424.85</v>
      </c>
      <c r="AI552" s="128"/>
      <c r="AJ552" s="128"/>
      <c r="AK552" s="128"/>
      <c r="AL552" s="128"/>
      <c r="AM552" s="188">
        <v>42903.85</v>
      </c>
      <c r="AN552" s="135"/>
      <c r="AO552" s="135"/>
      <c r="AP552" s="135"/>
    </row>
    <row r="553" spans="1:42" x14ac:dyDescent="0.25">
      <c r="A553" t="s">
        <v>103</v>
      </c>
      <c r="B553" t="s">
        <v>42</v>
      </c>
      <c r="C553" s="212" t="str">
        <f t="shared" si="8"/>
        <v>Sarasota Circuit Civil</v>
      </c>
      <c r="D553" s="188">
        <v>887716.22</v>
      </c>
      <c r="E553" s="188">
        <v>887182.22</v>
      </c>
      <c r="F553" s="188">
        <v>885904.22</v>
      </c>
      <c r="G553" s="188">
        <v>884401</v>
      </c>
      <c r="H553" s="128"/>
      <c r="I553" s="188">
        <v>868372.29</v>
      </c>
      <c r="J553" s="188">
        <v>877138.19</v>
      </c>
      <c r="K553" s="188">
        <v>877605.98</v>
      </c>
      <c r="L553" s="188">
        <v>878081.09</v>
      </c>
      <c r="M553" s="70"/>
      <c r="N553" s="188">
        <v>835594.91</v>
      </c>
      <c r="O553" s="188">
        <v>830420.91</v>
      </c>
      <c r="P553" s="188">
        <v>826823.19</v>
      </c>
      <c r="Q553" s="128"/>
      <c r="R553" s="128"/>
      <c r="S553" s="188">
        <v>812618.82</v>
      </c>
      <c r="T553" s="188">
        <v>821225.55</v>
      </c>
      <c r="U553" s="188">
        <v>821485.33</v>
      </c>
      <c r="V553" s="61"/>
      <c r="W553" s="58"/>
      <c r="X553" s="188">
        <v>802082.41</v>
      </c>
      <c r="Y553" s="188">
        <v>796626.04</v>
      </c>
      <c r="Z553" s="128"/>
      <c r="AA553" s="128"/>
      <c r="AB553" s="128"/>
      <c r="AC553" s="188">
        <v>764007.4</v>
      </c>
      <c r="AD553" s="188">
        <v>782638.93</v>
      </c>
      <c r="AE553" s="61"/>
      <c r="AF553" s="65"/>
      <c r="AG553" s="58"/>
      <c r="AH553" s="188">
        <v>971168.31</v>
      </c>
      <c r="AI553" s="128"/>
      <c r="AJ553" s="128"/>
      <c r="AK553" s="128"/>
      <c r="AL553" s="128"/>
      <c r="AM553" s="188">
        <v>956139.14</v>
      </c>
      <c r="AN553" s="135"/>
      <c r="AO553" s="135"/>
      <c r="AP553" s="135"/>
    </row>
    <row r="554" spans="1:42" x14ac:dyDescent="0.25">
      <c r="A554" t="s">
        <v>103</v>
      </c>
      <c r="B554" t="s">
        <v>38</v>
      </c>
      <c r="C554" s="212" t="str">
        <f t="shared" si="8"/>
        <v>Sarasota Circuit Criminal</v>
      </c>
      <c r="D554" s="188">
        <v>775423.82</v>
      </c>
      <c r="E554" s="188">
        <v>773393.32</v>
      </c>
      <c r="F554" s="188">
        <v>769637.32</v>
      </c>
      <c r="G554" s="188">
        <v>1027284.88</v>
      </c>
      <c r="H554" s="128"/>
      <c r="I554" s="188">
        <v>19279.7</v>
      </c>
      <c r="J554" s="188">
        <v>46296.32</v>
      </c>
      <c r="K554" s="188">
        <v>70399.5</v>
      </c>
      <c r="L554" s="188">
        <v>87039.99</v>
      </c>
      <c r="M554" s="70"/>
      <c r="N554" s="188">
        <v>725146.08</v>
      </c>
      <c r="O554" s="188">
        <v>722292.5</v>
      </c>
      <c r="P554" s="188">
        <v>721192</v>
      </c>
      <c r="Q554" s="128"/>
      <c r="R554" s="128"/>
      <c r="S554" s="188">
        <v>21760.42</v>
      </c>
      <c r="T554" s="188">
        <v>41639.199999999997</v>
      </c>
      <c r="U554" s="188">
        <v>57847.4</v>
      </c>
      <c r="V554" s="61"/>
      <c r="W554" s="58"/>
      <c r="X554" s="188">
        <v>593441.85</v>
      </c>
      <c r="Y554" s="188">
        <v>592118.66</v>
      </c>
      <c r="Z554" s="128"/>
      <c r="AA554" s="128"/>
      <c r="AB554" s="128"/>
      <c r="AC554" s="188">
        <v>21141.200000000001</v>
      </c>
      <c r="AD554" s="188">
        <v>33724.29</v>
      </c>
      <c r="AE554" s="61"/>
      <c r="AF554" s="65"/>
      <c r="AG554" s="58"/>
      <c r="AH554" s="188">
        <v>587414.18999999994</v>
      </c>
      <c r="AI554" s="128"/>
      <c r="AJ554" s="128"/>
      <c r="AK554" s="128"/>
      <c r="AL554" s="128"/>
      <c r="AM554" s="188">
        <v>19890.03</v>
      </c>
      <c r="AN554" s="135"/>
      <c r="AO554" s="135"/>
      <c r="AP554" s="135"/>
    </row>
    <row r="555" spans="1:42" x14ac:dyDescent="0.25">
      <c r="A555" t="s">
        <v>103</v>
      </c>
      <c r="B555" t="s">
        <v>265</v>
      </c>
      <c r="C555" s="212" t="str">
        <f t="shared" si="8"/>
        <v>Sarasota Circuit Criminal Drug Cases</v>
      </c>
      <c r="D555" s="188">
        <v>160287</v>
      </c>
      <c r="E555" s="188">
        <v>161077</v>
      </c>
      <c r="F555" s="188">
        <v>160997</v>
      </c>
      <c r="G555" s="188">
        <v>423397</v>
      </c>
      <c r="H555" s="63"/>
      <c r="I555" s="188">
        <v>0</v>
      </c>
      <c r="J555" s="188">
        <v>40</v>
      </c>
      <c r="K555" s="188">
        <v>10</v>
      </c>
      <c r="L555" s="188">
        <v>10</v>
      </c>
      <c r="N555" s="188">
        <v>184924</v>
      </c>
      <c r="O555" s="188">
        <v>184824</v>
      </c>
      <c r="P555" s="188">
        <v>184724</v>
      </c>
      <c r="Q555" s="63"/>
      <c r="R555" s="63"/>
      <c r="S555" s="188">
        <v>5</v>
      </c>
      <c r="T555" s="188">
        <v>5</v>
      </c>
      <c r="U555" s="188">
        <v>5</v>
      </c>
      <c r="X555" s="188">
        <v>53533</v>
      </c>
      <c r="Y555" s="188">
        <v>53433</v>
      </c>
      <c r="Z555" s="63"/>
      <c r="AB555" s="63"/>
      <c r="AC555" s="188">
        <v>0</v>
      </c>
      <c r="AD555" s="188">
        <v>0</v>
      </c>
      <c r="AH555" s="188">
        <v>764723</v>
      </c>
      <c r="AI555" s="63"/>
      <c r="AL555" s="63"/>
      <c r="AM555" s="188">
        <v>0</v>
      </c>
    </row>
    <row r="556" spans="1:42" x14ac:dyDescent="0.25">
      <c r="A556" t="s">
        <v>103</v>
      </c>
      <c r="B556" t="s">
        <v>44</v>
      </c>
      <c r="C556" s="212" t="str">
        <f t="shared" si="8"/>
        <v>Sarasota Civil Traffic</v>
      </c>
      <c r="D556" s="188">
        <v>2235149.37</v>
      </c>
      <c r="E556" s="188">
        <v>2097133.5</v>
      </c>
      <c r="F556" s="188">
        <v>2086858.22</v>
      </c>
      <c r="G556" s="188">
        <v>2083575.22</v>
      </c>
      <c r="H556" s="128"/>
      <c r="I556" s="188">
        <v>1173993.8</v>
      </c>
      <c r="J556" s="188">
        <v>1737762.54</v>
      </c>
      <c r="K556" s="188">
        <v>1804785.67</v>
      </c>
      <c r="L556" s="188">
        <v>1844203.3</v>
      </c>
      <c r="M556" s="70"/>
      <c r="N556" s="188">
        <v>2311201.14</v>
      </c>
      <c r="O556" s="188">
        <v>2179804.14</v>
      </c>
      <c r="P556" s="188">
        <v>2171745.14</v>
      </c>
      <c r="Q556" s="128"/>
      <c r="R556" s="128"/>
      <c r="S556" s="188">
        <v>1179020.01</v>
      </c>
      <c r="T556" s="188">
        <v>1773413.01</v>
      </c>
      <c r="U556" s="188">
        <v>1856560.72</v>
      </c>
      <c r="V556" s="61"/>
      <c r="W556" s="58"/>
      <c r="X556" s="188">
        <v>2258124.17</v>
      </c>
      <c r="Y556" s="188">
        <v>2127700.5299999998</v>
      </c>
      <c r="Z556" s="128"/>
      <c r="AA556" s="128"/>
      <c r="AB556" s="128"/>
      <c r="AC556" s="188">
        <v>1177768.06</v>
      </c>
      <c r="AD556" s="188">
        <v>1713296.02</v>
      </c>
      <c r="AE556" s="61"/>
      <c r="AF556" s="65"/>
      <c r="AG556" s="58"/>
      <c r="AH556" s="188">
        <v>2561579.63</v>
      </c>
      <c r="AI556" s="128"/>
      <c r="AJ556" s="128"/>
      <c r="AK556" s="128"/>
      <c r="AL556" s="128"/>
      <c r="AM556" s="188">
        <v>1321820.8799999999</v>
      </c>
      <c r="AN556" s="135"/>
      <c r="AO556" s="135"/>
      <c r="AP556" s="135"/>
    </row>
    <row r="557" spans="1:42" x14ac:dyDescent="0.25">
      <c r="A557" t="s">
        <v>103</v>
      </c>
      <c r="B557" t="s">
        <v>43</v>
      </c>
      <c r="C557" s="212" t="str">
        <f t="shared" si="8"/>
        <v>Sarasota County Civil</v>
      </c>
      <c r="D557" s="188">
        <v>356926.23</v>
      </c>
      <c r="E557" s="188">
        <v>356831.23</v>
      </c>
      <c r="F557" s="188">
        <v>356831.23</v>
      </c>
      <c r="G557" s="188">
        <v>356751.23</v>
      </c>
      <c r="H557" s="128"/>
      <c r="I557" s="188">
        <v>354528.31</v>
      </c>
      <c r="J557" s="188">
        <v>355088.81</v>
      </c>
      <c r="K557" s="188">
        <v>355183.81</v>
      </c>
      <c r="L557" s="188">
        <v>355208.81</v>
      </c>
      <c r="M557" s="70"/>
      <c r="N557" s="188">
        <v>398764.43</v>
      </c>
      <c r="O557" s="188">
        <v>398020.43</v>
      </c>
      <c r="P557" s="188">
        <v>397665.43</v>
      </c>
      <c r="Q557" s="128"/>
      <c r="R557" s="128"/>
      <c r="S557" s="188">
        <v>396497.1</v>
      </c>
      <c r="T557" s="188">
        <v>397422.1</v>
      </c>
      <c r="U557" s="188">
        <v>397422.1</v>
      </c>
      <c r="V557" s="61"/>
      <c r="W557" s="58"/>
      <c r="X557" s="188">
        <v>398753.39</v>
      </c>
      <c r="Y557" s="188">
        <v>398843.39</v>
      </c>
      <c r="Z557" s="128"/>
      <c r="AA557" s="128"/>
      <c r="AB557" s="128"/>
      <c r="AC557" s="188">
        <v>395187.39</v>
      </c>
      <c r="AD557" s="188">
        <v>396727.39</v>
      </c>
      <c r="AE557" s="61"/>
      <c r="AF557" s="65"/>
      <c r="AG557" s="58"/>
      <c r="AH557" s="188">
        <v>378706</v>
      </c>
      <c r="AI557" s="128"/>
      <c r="AJ557" s="128"/>
      <c r="AK557" s="128"/>
      <c r="AL557" s="128"/>
      <c r="AM557" s="188">
        <v>376080</v>
      </c>
      <c r="AN557" s="135"/>
      <c r="AO557" s="135"/>
      <c r="AP557" s="135"/>
    </row>
    <row r="558" spans="1:42" x14ac:dyDescent="0.25">
      <c r="A558" t="s">
        <v>103</v>
      </c>
      <c r="B558" t="s">
        <v>39</v>
      </c>
      <c r="C558" s="212" t="str">
        <f t="shared" si="8"/>
        <v>Sarasota County Criminal</v>
      </c>
      <c r="D558" s="188">
        <v>471947.33</v>
      </c>
      <c r="E558" s="188">
        <v>472544.33</v>
      </c>
      <c r="F558" s="188">
        <v>470470.33</v>
      </c>
      <c r="G558" s="188">
        <v>467852.08</v>
      </c>
      <c r="H558" s="128"/>
      <c r="I558" s="188">
        <v>57897.87</v>
      </c>
      <c r="J558" s="188">
        <v>93566.89</v>
      </c>
      <c r="K558" s="188">
        <v>110032.48</v>
      </c>
      <c r="L558" s="188">
        <v>117101.9</v>
      </c>
      <c r="M558" s="70"/>
      <c r="N558" s="188">
        <v>491566.07</v>
      </c>
      <c r="O558" s="188">
        <v>489663.07</v>
      </c>
      <c r="P558" s="188">
        <v>486242.67</v>
      </c>
      <c r="Q558" s="128"/>
      <c r="R558" s="128"/>
      <c r="S558" s="188">
        <v>79150.44</v>
      </c>
      <c r="T558" s="188">
        <v>125481.64</v>
      </c>
      <c r="U558" s="188">
        <v>148182.84</v>
      </c>
      <c r="V558" s="61"/>
      <c r="W558" s="58"/>
      <c r="X558" s="188">
        <v>474844.57</v>
      </c>
      <c r="Y558" s="188">
        <v>475086.98</v>
      </c>
      <c r="Z558" s="128"/>
      <c r="AA558" s="128"/>
      <c r="AB558" s="128"/>
      <c r="AC558" s="188">
        <v>90076.27</v>
      </c>
      <c r="AD558" s="188">
        <v>129277.75999999999</v>
      </c>
      <c r="AE558" s="61"/>
      <c r="AF558" s="65"/>
      <c r="AG558" s="58"/>
      <c r="AH558" s="188">
        <v>465652.25</v>
      </c>
      <c r="AI558" s="128"/>
      <c r="AJ558" s="128"/>
      <c r="AK558" s="128"/>
      <c r="AL558" s="128"/>
      <c r="AM558" s="188">
        <v>55005.2</v>
      </c>
      <c r="AN558" s="135"/>
      <c r="AO558" s="135"/>
      <c r="AP558" s="135"/>
    </row>
    <row r="559" spans="1:42" x14ac:dyDescent="0.25">
      <c r="A559" t="s">
        <v>103</v>
      </c>
      <c r="B559" t="s">
        <v>41</v>
      </c>
      <c r="C559" s="212" t="str">
        <f t="shared" si="8"/>
        <v>Sarasota Criminal Traffic</v>
      </c>
      <c r="D559" s="188">
        <v>538478</v>
      </c>
      <c r="E559" s="188">
        <v>537193</v>
      </c>
      <c r="F559" s="188">
        <v>534997</v>
      </c>
      <c r="G559" s="188">
        <v>530017</v>
      </c>
      <c r="H559" s="128"/>
      <c r="I559" s="188">
        <v>139603.13</v>
      </c>
      <c r="J559" s="188">
        <v>231864.27</v>
      </c>
      <c r="K559" s="188">
        <v>287678.03000000003</v>
      </c>
      <c r="L559" s="188">
        <v>315652.65000000002</v>
      </c>
      <c r="M559" s="70"/>
      <c r="N559" s="188">
        <v>543988.05000000005</v>
      </c>
      <c r="O559" s="188">
        <v>544569.05000000005</v>
      </c>
      <c r="P559" s="188">
        <v>541577.30000000005</v>
      </c>
      <c r="Q559" s="128"/>
      <c r="R559" s="128"/>
      <c r="S559" s="188">
        <v>157289.91</v>
      </c>
      <c r="T559" s="188">
        <v>247436.88</v>
      </c>
      <c r="U559" s="188">
        <v>289791.06</v>
      </c>
      <c r="V559" s="61"/>
      <c r="W559" s="58"/>
      <c r="X559" s="188">
        <v>531087.75</v>
      </c>
      <c r="Y559" s="188">
        <v>530286.75</v>
      </c>
      <c r="Z559" s="128"/>
      <c r="AA559" s="128"/>
      <c r="AB559" s="128"/>
      <c r="AC559" s="188">
        <v>167315.54</v>
      </c>
      <c r="AD559" s="188">
        <v>235390.58</v>
      </c>
      <c r="AE559" s="61"/>
      <c r="AF559" s="65"/>
      <c r="AG559" s="58"/>
      <c r="AH559" s="188">
        <v>512333</v>
      </c>
      <c r="AI559" s="128"/>
      <c r="AJ559" s="128"/>
      <c r="AK559" s="128"/>
      <c r="AL559" s="128"/>
      <c r="AM559" s="188">
        <v>132943.54999999999</v>
      </c>
      <c r="AN559" s="135"/>
      <c r="AO559" s="135"/>
      <c r="AP559" s="135"/>
    </row>
    <row r="560" spans="1:42" x14ac:dyDescent="0.25">
      <c r="A560" t="s">
        <v>103</v>
      </c>
      <c r="B560" t="s">
        <v>46</v>
      </c>
      <c r="C560" s="212" t="str">
        <f t="shared" si="8"/>
        <v>Sarasota Family</v>
      </c>
      <c r="D560" s="188">
        <v>198541.64</v>
      </c>
      <c r="E560" s="188">
        <v>193861.14</v>
      </c>
      <c r="F560" s="188">
        <v>193086.14</v>
      </c>
      <c r="G560" s="188">
        <v>187930.14</v>
      </c>
      <c r="H560" s="128"/>
      <c r="I560" s="188">
        <v>181059.64</v>
      </c>
      <c r="J560" s="188">
        <v>188840.14</v>
      </c>
      <c r="K560" s="188">
        <v>189389.64</v>
      </c>
      <c r="L560" s="188">
        <v>184739.64</v>
      </c>
      <c r="M560" s="70"/>
      <c r="N560" s="188">
        <v>210002.85</v>
      </c>
      <c r="O560" s="188">
        <v>204270.35</v>
      </c>
      <c r="P560" s="188">
        <v>198005.35</v>
      </c>
      <c r="Q560" s="128"/>
      <c r="R560" s="128"/>
      <c r="S560" s="188">
        <v>195169.6</v>
      </c>
      <c r="T560" s="188">
        <v>198314.35</v>
      </c>
      <c r="U560" s="188">
        <v>193819.35</v>
      </c>
      <c r="V560" s="61"/>
      <c r="W560" s="58"/>
      <c r="X560" s="188">
        <v>222827.94</v>
      </c>
      <c r="Y560" s="188">
        <v>214817.94</v>
      </c>
      <c r="Z560" s="128"/>
      <c r="AA560" s="128"/>
      <c r="AB560" s="128"/>
      <c r="AC560" s="188">
        <v>211096.44</v>
      </c>
      <c r="AD560" s="188">
        <v>210039.93</v>
      </c>
      <c r="AE560" s="61"/>
      <c r="AF560" s="65"/>
      <c r="AG560" s="58"/>
      <c r="AH560" s="188">
        <v>194438</v>
      </c>
      <c r="AI560" s="128"/>
      <c r="AJ560" s="128"/>
      <c r="AK560" s="128"/>
      <c r="AL560" s="128"/>
      <c r="AM560" s="188">
        <v>181539.32</v>
      </c>
      <c r="AN560" s="135"/>
      <c r="AO560" s="135"/>
      <c r="AP560" s="135"/>
    </row>
    <row r="561" spans="1:42" x14ac:dyDescent="0.25">
      <c r="A561" t="s">
        <v>103</v>
      </c>
      <c r="B561" t="s">
        <v>40</v>
      </c>
      <c r="C561" s="212" t="str">
        <f t="shared" si="8"/>
        <v>Sarasota Juvenile Delinquency</v>
      </c>
      <c r="D561" s="188">
        <v>15555.5</v>
      </c>
      <c r="E561" s="188">
        <v>15505.5</v>
      </c>
      <c r="F561" s="188">
        <v>15505.5</v>
      </c>
      <c r="G561" s="188">
        <v>15505.5</v>
      </c>
      <c r="H561" s="128"/>
      <c r="I561" s="188">
        <v>1711.12</v>
      </c>
      <c r="J561" s="188">
        <v>2964.12</v>
      </c>
      <c r="K561" s="188">
        <v>3400.06</v>
      </c>
      <c r="L561" s="188">
        <v>3739.43</v>
      </c>
      <c r="M561" s="70"/>
      <c r="N561" s="188">
        <v>16872.5</v>
      </c>
      <c r="O561" s="188">
        <v>16269.5</v>
      </c>
      <c r="P561" s="188">
        <v>16219.5</v>
      </c>
      <c r="Q561" s="128"/>
      <c r="R561" s="128"/>
      <c r="S561" s="188">
        <v>2173.5</v>
      </c>
      <c r="T561" s="188">
        <v>5395.81</v>
      </c>
      <c r="U561" s="188">
        <v>6525.35</v>
      </c>
      <c r="V561" s="61"/>
      <c r="W561" s="58"/>
      <c r="X561" s="188">
        <v>12231.5</v>
      </c>
      <c r="Y561" s="188">
        <v>12181.5</v>
      </c>
      <c r="Z561" s="128"/>
      <c r="AA561" s="128"/>
      <c r="AB561" s="128"/>
      <c r="AC561" s="188">
        <v>2445.5</v>
      </c>
      <c r="AD561" s="188">
        <v>3503.28</v>
      </c>
      <c r="AE561" s="61"/>
      <c r="AF561" s="65"/>
      <c r="AG561" s="58"/>
      <c r="AH561" s="188">
        <v>5524.5</v>
      </c>
      <c r="AI561" s="128"/>
      <c r="AJ561" s="128"/>
      <c r="AK561" s="128"/>
      <c r="AL561" s="128"/>
      <c r="AM561" s="188">
        <v>1057.5</v>
      </c>
      <c r="AN561" s="135"/>
      <c r="AO561" s="135"/>
      <c r="AP561" s="135"/>
    </row>
    <row r="562" spans="1:42" x14ac:dyDescent="0.25">
      <c r="A562" t="s">
        <v>103</v>
      </c>
      <c r="B562" t="s">
        <v>45</v>
      </c>
      <c r="C562" s="212" t="str">
        <f t="shared" si="8"/>
        <v>Sarasota Probate</v>
      </c>
      <c r="D562" s="188">
        <v>205421</v>
      </c>
      <c r="E562" s="188">
        <v>204521</v>
      </c>
      <c r="F562" s="188">
        <v>203659</v>
      </c>
      <c r="G562" s="188">
        <v>203659</v>
      </c>
      <c r="H562" s="128"/>
      <c r="I562" s="188">
        <v>196641</v>
      </c>
      <c r="J562" s="188">
        <v>197817</v>
      </c>
      <c r="K562" s="188">
        <v>201772</v>
      </c>
      <c r="L562" s="188">
        <v>202743</v>
      </c>
      <c r="M562" s="70"/>
      <c r="N562" s="188">
        <v>222938.27</v>
      </c>
      <c r="O562" s="188">
        <v>221256.27</v>
      </c>
      <c r="P562" s="188">
        <v>220810.27</v>
      </c>
      <c r="Q562" s="128"/>
      <c r="R562" s="128"/>
      <c r="S562" s="188">
        <v>217521.27</v>
      </c>
      <c r="T562" s="188">
        <v>218572.27</v>
      </c>
      <c r="U562" s="188">
        <v>218572.27</v>
      </c>
      <c r="V562" s="61"/>
      <c r="W562" s="58"/>
      <c r="X562" s="188">
        <v>231818.5</v>
      </c>
      <c r="Y562" s="188">
        <v>228240</v>
      </c>
      <c r="Z562" s="128"/>
      <c r="AA562" s="128"/>
      <c r="AB562" s="128"/>
      <c r="AC562" s="188">
        <v>223368</v>
      </c>
      <c r="AD562" s="188">
        <v>224454</v>
      </c>
      <c r="AE562" s="61"/>
      <c r="AF562" s="65"/>
      <c r="AG562" s="58"/>
      <c r="AH562" s="188">
        <v>201513.5</v>
      </c>
      <c r="AI562" s="128"/>
      <c r="AJ562" s="128"/>
      <c r="AK562" s="128"/>
      <c r="AL562" s="128"/>
      <c r="AM562" s="188">
        <v>195544.5</v>
      </c>
      <c r="AN562" s="135"/>
      <c r="AO562" s="135"/>
      <c r="AP562" s="135"/>
    </row>
    <row r="563" spans="1:42" x14ac:dyDescent="0.25">
      <c r="A563" t="s">
        <v>104</v>
      </c>
      <c r="B563" t="s">
        <v>42</v>
      </c>
      <c r="C563" s="212" t="str">
        <f t="shared" si="8"/>
        <v>Seminole Circuit Civil</v>
      </c>
      <c r="D563" s="188">
        <v>554615</v>
      </c>
      <c r="E563" s="188">
        <v>554615</v>
      </c>
      <c r="F563" s="188">
        <v>554615</v>
      </c>
      <c r="G563" s="188">
        <v>554615</v>
      </c>
      <c r="H563" s="128"/>
      <c r="I563" s="188">
        <v>554615</v>
      </c>
      <c r="J563" s="188">
        <v>554615</v>
      </c>
      <c r="K563" s="188">
        <v>554615</v>
      </c>
      <c r="L563" s="188">
        <v>554615</v>
      </c>
      <c r="M563" s="70"/>
      <c r="N563" s="188">
        <v>519824</v>
      </c>
      <c r="O563" s="188">
        <v>519624</v>
      </c>
      <c r="P563" s="188">
        <v>519624</v>
      </c>
      <c r="Q563" s="128"/>
      <c r="R563" s="128"/>
      <c r="S563" s="188">
        <v>519624</v>
      </c>
      <c r="T563" s="188">
        <v>519624</v>
      </c>
      <c r="U563" s="188">
        <v>519624</v>
      </c>
      <c r="V563" s="61"/>
      <c r="W563" s="58"/>
      <c r="X563" s="188">
        <v>517427.5</v>
      </c>
      <c r="Y563" s="188">
        <v>417428.5</v>
      </c>
      <c r="Z563" s="128"/>
      <c r="AA563" s="128"/>
      <c r="AB563" s="128"/>
      <c r="AC563" s="188">
        <v>517427.5</v>
      </c>
      <c r="AD563" s="188">
        <v>517427.5</v>
      </c>
      <c r="AE563" s="61"/>
      <c r="AF563" s="65"/>
      <c r="AG563" s="58"/>
      <c r="AI563" s="128"/>
      <c r="AJ563" s="128"/>
      <c r="AK563" s="128"/>
      <c r="AL563" s="128"/>
      <c r="AN563" s="135"/>
      <c r="AO563" s="135"/>
      <c r="AP563" s="135"/>
    </row>
    <row r="564" spans="1:42" x14ac:dyDescent="0.25">
      <c r="A564" t="s">
        <v>104</v>
      </c>
      <c r="B564" t="s">
        <v>38</v>
      </c>
      <c r="C564" s="212" t="str">
        <f t="shared" si="8"/>
        <v>Seminole Circuit Criminal</v>
      </c>
      <c r="D564" s="188">
        <v>1665411</v>
      </c>
      <c r="E564" s="188">
        <v>1679510</v>
      </c>
      <c r="F564" s="188">
        <v>1698031</v>
      </c>
      <c r="G564" s="188">
        <v>1713061.96</v>
      </c>
      <c r="H564" s="128"/>
      <c r="I564" s="188">
        <v>102143.38</v>
      </c>
      <c r="J564" s="188">
        <v>154262.66</v>
      </c>
      <c r="K564" s="188">
        <v>185750.18</v>
      </c>
      <c r="L564" s="188">
        <v>206691.07</v>
      </c>
      <c r="M564" s="70"/>
      <c r="N564" s="188">
        <v>1054047.73</v>
      </c>
      <c r="O564" s="188">
        <v>1074487.8500000001</v>
      </c>
      <c r="P564" s="188">
        <v>1094970.54</v>
      </c>
      <c r="Q564" s="128"/>
      <c r="R564" s="128"/>
      <c r="S564" s="188">
        <v>55542.879999999997</v>
      </c>
      <c r="T564" s="188">
        <v>107825.43</v>
      </c>
      <c r="U564" s="188">
        <v>140659.85</v>
      </c>
      <c r="V564" s="61"/>
      <c r="W564" s="58"/>
      <c r="X564" s="188">
        <v>1022536.25</v>
      </c>
      <c r="Y564" s="188">
        <v>1040869.85</v>
      </c>
      <c r="Z564" s="128"/>
      <c r="AA564" s="128"/>
      <c r="AB564" s="128"/>
      <c r="AC564" s="188">
        <v>41201.730000000003</v>
      </c>
      <c r="AD564" s="188">
        <v>87778.38</v>
      </c>
      <c r="AE564" s="61"/>
      <c r="AF564" s="65"/>
      <c r="AG564" s="58"/>
      <c r="AH564" s="188">
        <v>1150368.1399999999</v>
      </c>
      <c r="AI564" s="128"/>
      <c r="AJ564" s="128"/>
      <c r="AK564" s="128"/>
      <c r="AL564" s="128"/>
      <c r="AM564" s="188">
        <v>56890.79</v>
      </c>
      <c r="AN564" s="135"/>
      <c r="AO564" s="135"/>
      <c r="AP564" s="135"/>
    </row>
    <row r="565" spans="1:42" x14ac:dyDescent="0.25">
      <c r="A565" t="s">
        <v>104</v>
      </c>
      <c r="B565" t="s">
        <v>265</v>
      </c>
      <c r="C565" s="212" t="str">
        <f t="shared" si="8"/>
        <v>Seminole Circuit Criminal Drug Cases</v>
      </c>
      <c r="D565" s="188"/>
      <c r="G565" s="188">
        <v>483658.37</v>
      </c>
      <c r="H565" s="63"/>
      <c r="I565" s="188"/>
      <c r="L565" s="188">
        <v>185750.18</v>
      </c>
      <c r="N565" s="188"/>
      <c r="O565" s="188"/>
      <c r="P565" s="188">
        <v>598271.85</v>
      </c>
      <c r="Q565" s="63"/>
      <c r="R565" s="63"/>
      <c r="S565" s="188"/>
      <c r="T565" s="188"/>
      <c r="U565" s="188">
        <v>107825.43</v>
      </c>
      <c r="X565" s="188"/>
      <c r="Y565" s="188">
        <v>600732.25</v>
      </c>
      <c r="Z565" s="63"/>
      <c r="AB565" s="63"/>
      <c r="AC565" s="188"/>
      <c r="AD565" s="188">
        <v>41201.730000000003</v>
      </c>
      <c r="AH565" s="188">
        <v>750533.78</v>
      </c>
      <c r="AI565" s="63"/>
      <c r="AL565" s="63"/>
      <c r="AM565" s="188">
        <v>39412.050000000003</v>
      </c>
    </row>
    <row r="566" spans="1:42" x14ac:dyDescent="0.25">
      <c r="A566" t="s">
        <v>104</v>
      </c>
      <c r="B566" t="s">
        <v>44</v>
      </c>
      <c r="C566" s="212" t="str">
        <f t="shared" si="8"/>
        <v>Seminole Civil Traffic</v>
      </c>
      <c r="D566" s="188">
        <v>2029418.23</v>
      </c>
      <c r="E566" s="188">
        <v>2267005.38</v>
      </c>
      <c r="F566" s="188">
        <v>2053904.88</v>
      </c>
      <c r="G566" s="188">
        <v>1814984.88</v>
      </c>
      <c r="H566" s="128"/>
      <c r="I566" s="188">
        <v>929690.04</v>
      </c>
      <c r="J566" s="188">
        <v>1457208.73</v>
      </c>
      <c r="K566" s="188">
        <v>1633457.45</v>
      </c>
      <c r="L566" s="188">
        <v>1780221.92</v>
      </c>
      <c r="M566" s="70"/>
      <c r="N566" s="188">
        <v>2290311.5</v>
      </c>
      <c r="O566" s="188">
        <v>2362422.86</v>
      </c>
      <c r="P566" s="188">
        <v>2221285.34</v>
      </c>
      <c r="Q566" s="128"/>
      <c r="R566" s="128"/>
      <c r="S566" s="188">
        <v>988359.18</v>
      </c>
      <c r="T566" s="188">
        <v>1737241.17</v>
      </c>
      <c r="U566" s="188">
        <v>1928847.66</v>
      </c>
      <c r="V566" s="61"/>
      <c r="W566" s="58"/>
      <c r="X566" s="188">
        <v>2008384.73</v>
      </c>
      <c r="Y566" s="188">
        <v>1985718.61</v>
      </c>
      <c r="Z566" s="128"/>
      <c r="AA566" s="128"/>
      <c r="AB566" s="128"/>
      <c r="AC566" s="188">
        <v>1164785.26</v>
      </c>
      <c r="AD566" s="188">
        <v>1842578.28</v>
      </c>
      <c r="AE566" s="61"/>
      <c r="AF566" s="65"/>
      <c r="AG566" s="58"/>
      <c r="AH566" s="188">
        <v>2485370.67</v>
      </c>
      <c r="AI566" s="128"/>
      <c r="AJ566" s="128"/>
      <c r="AK566" s="128"/>
      <c r="AL566" s="128"/>
      <c r="AM566" s="188">
        <v>1283593.48</v>
      </c>
      <c r="AN566" s="135"/>
      <c r="AO566" s="135"/>
      <c r="AP566" s="135"/>
    </row>
    <row r="567" spans="1:42" x14ac:dyDescent="0.25">
      <c r="A567" t="s">
        <v>104</v>
      </c>
      <c r="B567" t="s">
        <v>43</v>
      </c>
      <c r="C567" s="212" t="str">
        <f t="shared" si="8"/>
        <v>Seminole County Civil</v>
      </c>
      <c r="D567" s="188">
        <v>388980</v>
      </c>
      <c r="E567" s="188">
        <v>388980</v>
      </c>
      <c r="F567" s="188">
        <v>388980</v>
      </c>
      <c r="G567" s="188">
        <v>388980</v>
      </c>
      <c r="H567" s="128"/>
      <c r="I567" s="188">
        <v>388980</v>
      </c>
      <c r="J567" s="188">
        <v>388980</v>
      </c>
      <c r="K567" s="188">
        <v>388980</v>
      </c>
      <c r="L567" s="188">
        <v>388980</v>
      </c>
      <c r="M567" s="70"/>
      <c r="N567" s="188">
        <v>380550</v>
      </c>
      <c r="O567" s="188">
        <v>380550</v>
      </c>
      <c r="P567" s="188">
        <v>380550</v>
      </c>
      <c r="Q567" s="128"/>
      <c r="R567" s="128"/>
      <c r="S567" s="188">
        <v>380550</v>
      </c>
      <c r="T567" s="188">
        <v>380550</v>
      </c>
      <c r="U567" s="188">
        <v>380550</v>
      </c>
      <c r="V567" s="61"/>
      <c r="W567" s="58"/>
      <c r="X567" s="188">
        <v>393212.5</v>
      </c>
      <c r="Y567" s="188">
        <v>393212.5</v>
      </c>
      <c r="Z567" s="128"/>
      <c r="AA567" s="128"/>
      <c r="AB567" s="128"/>
      <c r="AC567" s="188">
        <v>393212.5</v>
      </c>
      <c r="AD567" s="188">
        <v>393212.5</v>
      </c>
      <c r="AE567" s="61"/>
      <c r="AF567" s="65"/>
      <c r="AG567" s="58"/>
      <c r="AH567" s="188">
        <v>368530</v>
      </c>
      <c r="AI567" s="128"/>
      <c r="AJ567" s="128"/>
      <c r="AK567" s="128"/>
      <c r="AL567" s="128"/>
      <c r="AM567" s="188">
        <v>368530</v>
      </c>
      <c r="AN567" s="135"/>
      <c r="AO567" s="135"/>
      <c r="AP567" s="135"/>
    </row>
    <row r="568" spans="1:42" x14ac:dyDescent="0.25">
      <c r="A568" t="s">
        <v>104</v>
      </c>
      <c r="B568" t="s">
        <v>39</v>
      </c>
      <c r="C568" s="212" t="str">
        <f t="shared" si="8"/>
        <v>Seminole County Criminal</v>
      </c>
      <c r="D568" s="188">
        <v>288121.59999999998</v>
      </c>
      <c r="E568" s="188">
        <v>0</v>
      </c>
      <c r="F568" s="188">
        <v>0</v>
      </c>
      <c r="G568" s="188">
        <v>2349304.7999999998</v>
      </c>
      <c r="H568" s="128"/>
      <c r="I568" s="188">
        <v>159138.85</v>
      </c>
      <c r="J568" s="188">
        <v>0</v>
      </c>
      <c r="K568" s="188">
        <v>0</v>
      </c>
      <c r="L568" s="188">
        <v>1488186.74</v>
      </c>
      <c r="M568" s="70"/>
      <c r="N568" s="188">
        <v>819348.05</v>
      </c>
      <c r="O568" s="188">
        <v>0</v>
      </c>
      <c r="P568" s="188">
        <v>1747220.16</v>
      </c>
      <c r="Q568" s="128"/>
      <c r="R568" s="128"/>
      <c r="S568" s="188">
        <v>637813.98</v>
      </c>
      <c r="T568" s="188">
        <v>0</v>
      </c>
      <c r="U568" s="188">
        <v>1042402.18</v>
      </c>
      <c r="V568" s="61"/>
      <c r="W568" s="58"/>
      <c r="X568" s="188">
        <v>629139.46</v>
      </c>
      <c r="Y568" s="188">
        <v>1157948.8600000001</v>
      </c>
      <c r="Z568" s="128"/>
      <c r="AA568" s="128"/>
      <c r="AB568" s="128"/>
      <c r="AC568" s="188">
        <v>378901.3</v>
      </c>
      <c r="AD568" s="188">
        <v>606771.36</v>
      </c>
      <c r="AE568" s="61"/>
      <c r="AF568" s="65"/>
      <c r="AG568" s="58"/>
      <c r="AH568" s="188">
        <v>822417.29</v>
      </c>
      <c r="AI568" s="128"/>
      <c r="AJ568" s="128"/>
      <c r="AK568" s="128"/>
      <c r="AL568" s="128"/>
      <c r="AM568" s="188">
        <v>244455.09</v>
      </c>
      <c r="AN568" s="135"/>
      <c r="AO568" s="135"/>
      <c r="AP568" s="135"/>
    </row>
    <row r="569" spans="1:42" x14ac:dyDescent="0.25">
      <c r="A569" t="s">
        <v>104</v>
      </c>
      <c r="B569" t="s">
        <v>41</v>
      </c>
      <c r="C569" s="212" t="str">
        <f t="shared" si="8"/>
        <v>Seminole Criminal Traffic</v>
      </c>
      <c r="D569" s="188">
        <v>819348.05</v>
      </c>
      <c r="E569" s="188">
        <v>0</v>
      </c>
      <c r="F569" s="188">
        <v>2053904.88</v>
      </c>
      <c r="G569" s="188">
        <v>2221285.34</v>
      </c>
      <c r="H569" s="128"/>
      <c r="I569" s="188">
        <v>637813.98</v>
      </c>
      <c r="J569" s="188">
        <v>0</v>
      </c>
      <c r="K569" s="188">
        <v>1633457.45</v>
      </c>
      <c r="L569" s="188">
        <v>1928847.66</v>
      </c>
      <c r="M569" s="70"/>
      <c r="N569" s="188">
        <v>589271.30000000005</v>
      </c>
      <c r="O569" s="188">
        <v>2362422.86</v>
      </c>
      <c r="P569" s="188">
        <v>1985718.61</v>
      </c>
      <c r="Q569" s="128"/>
      <c r="R569" s="128"/>
      <c r="S569" s="188">
        <v>435630.82</v>
      </c>
      <c r="T569" s="188">
        <v>1737241.17</v>
      </c>
      <c r="U569" s="188">
        <v>1842578.28</v>
      </c>
      <c r="V569" s="61"/>
      <c r="W569" s="58"/>
      <c r="X569" s="188">
        <v>629139.46</v>
      </c>
      <c r="Y569" s="188">
        <v>1985716.61</v>
      </c>
      <c r="Z569" s="128"/>
      <c r="AA569" s="128"/>
      <c r="AB569" s="128"/>
      <c r="AC569" s="188">
        <v>378901.3</v>
      </c>
      <c r="AD569" s="188">
        <v>1842578.28</v>
      </c>
      <c r="AE569" s="61"/>
      <c r="AF569" s="65"/>
      <c r="AG569" s="58"/>
      <c r="AH569" s="188">
        <v>46607.23</v>
      </c>
      <c r="AI569" s="128"/>
      <c r="AJ569" s="128"/>
      <c r="AK569" s="128"/>
      <c r="AL569" s="128"/>
      <c r="AM569" s="188">
        <v>22179.119999999999</v>
      </c>
      <c r="AN569" s="135"/>
      <c r="AO569" s="135"/>
      <c r="AP569" s="135"/>
    </row>
    <row r="570" spans="1:42" x14ac:dyDescent="0.25">
      <c r="A570" t="s">
        <v>104</v>
      </c>
      <c r="B570" t="s">
        <v>46</v>
      </c>
      <c r="C570" s="212" t="str">
        <f t="shared" si="8"/>
        <v>Seminole Family</v>
      </c>
      <c r="D570" s="188">
        <v>171495</v>
      </c>
      <c r="E570" s="188">
        <v>171495</v>
      </c>
      <c r="F570" s="188">
        <v>238246</v>
      </c>
      <c r="G570" s="188">
        <v>238246</v>
      </c>
      <c r="H570" s="128"/>
      <c r="I570" s="188">
        <v>171495</v>
      </c>
      <c r="J570" s="188">
        <v>171495</v>
      </c>
      <c r="K570" s="188">
        <v>238246</v>
      </c>
      <c r="L570" s="188">
        <v>238246</v>
      </c>
      <c r="M570" s="70"/>
      <c r="N570" s="188">
        <v>203741</v>
      </c>
      <c r="O570" s="188">
        <v>249240.5</v>
      </c>
      <c r="P570" s="188">
        <v>249240.5</v>
      </c>
      <c r="Q570" s="128"/>
      <c r="R570" s="128"/>
      <c r="S570" s="188">
        <v>203741</v>
      </c>
      <c r="T570" s="188">
        <v>249240.5</v>
      </c>
      <c r="U570" s="188">
        <v>249240.5</v>
      </c>
      <c r="V570" s="61"/>
      <c r="W570" s="58"/>
      <c r="X570" s="188">
        <v>281846</v>
      </c>
      <c r="Y570" s="188">
        <v>281846</v>
      </c>
      <c r="Z570" s="128"/>
      <c r="AA570" s="128"/>
      <c r="AB570" s="128"/>
      <c r="AC570" s="188">
        <v>281846</v>
      </c>
      <c r="AD570" s="188">
        <v>281846</v>
      </c>
      <c r="AE570" s="61"/>
      <c r="AF570" s="65"/>
      <c r="AG570" s="58"/>
      <c r="AH570" s="188">
        <v>197667</v>
      </c>
      <c r="AI570" s="128"/>
      <c r="AJ570" s="128"/>
      <c r="AK570" s="128"/>
      <c r="AL570" s="128"/>
      <c r="AM570" s="188">
        <v>197667</v>
      </c>
      <c r="AN570" s="135"/>
      <c r="AO570" s="135"/>
      <c r="AP570" s="135"/>
    </row>
    <row r="571" spans="1:42" x14ac:dyDescent="0.25">
      <c r="A571" t="s">
        <v>104</v>
      </c>
      <c r="B571" t="s">
        <v>40</v>
      </c>
      <c r="C571" s="212" t="str">
        <f t="shared" si="8"/>
        <v>Seminole Juvenile Delinquency</v>
      </c>
      <c r="D571" s="188">
        <v>17650</v>
      </c>
      <c r="E571" s="188">
        <v>19575</v>
      </c>
      <c r="F571" s="188">
        <v>21975</v>
      </c>
      <c r="G571" s="188">
        <v>1600</v>
      </c>
      <c r="H571" s="128"/>
      <c r="I571" s="188">
        <v>3160</v>
      </c>
      <c r="J571" s="188">
        <v>5925</v>
      </c>
      <c r="K571" s="188">
        <v>7545</v>
      </c>
      <c r="L571" s="188">
        <v>1300</v>
      </c>
      <c r="M571" s="70"/>
      <c r="N571" s="188">
        <v>26977</v>
      </c>
      <c r="O571" s="188">
        <v>29277</v>
      </c>
      <c r="P571" s="188">
        <v>31552</v>
      </c>
      <c r="Q571" s="128"/>
      <c r="R571" s="128"/>
      <c r="S571" s="188">
        <v>3781.25</v>
      </c>
      <c r="T571" s="188">
        <v>6026.25</v>
      </c>
      <c r="U571" s="188">
        <v>8725.4</v>
      </c>
      <c r="V571" s="61"/>
      <c r="W571" s="58"/>
      <c r="X571" s="188">
        <v>19252</v>
      </c>
      <c r="Y571" s="188">
        <v>20977</v>
      </c>
      <c r="Z571" s="128"/>
      <c r="AA571" s="128"/>
      <c r="AB571" s="128"/>
      <c r="AC571" s="188">
        <v>2750</v>
      </c>
      <c r="AD571" s="188">
        <v>4474.75</v>
      </c>
      <c r="AE571" s="61"/>
      <c r="AF571" s="65"/>
      <c r="AG571" s="58"/>
      <c r="AH571" s="188">
        <v>13875</v>
      </c>
      <c r="AI571" s="128"/>
      <c r="AJ571" s="128"/>
      <c r="AK571" s="128"/>
      <c r="AL571" s="128"/>
      <c r="AM571" s="188">
        <v>2281.27</v>
      </c>
      <c r="AN571" s="135"/>
      <c r="AO571" s="135"/>
      <c r="AP571" s="135"/>
    </row>
    <row r="572" spans="1:42" x14ac:dyDescent="0.25">
      <c r="A572" t="s">
        <v>104</v>
      </c>
      <c r="B572" t="s">
        <v>45</v>
      </c>
      <c r="C572" s="212" t="str">
        <f t="shared" si="8"/>
        <v>Seminole Probate</v>
      </c>
      <c r="D572" s="188">
        <v>81062</v>
      </c>
      <c r="E572" s="188">
        <v>81062</v>
      </c>
      <c r="F572" s="188">
        <v>81062</v>
      </c>
      <c r="G572" s="188">
        <v>81062</v>
      </c>
      <c r="H572" s="128"/>
      <c r="I572" s="188">
        <v>81062</v>
      </c>
      <c r="J572" s="188">
        <v>81062</v>
      </c>
      <c r="K572" s="188">
        <v>81062</v>
      </c>
      <c r="L572" s="188">
        <v>81062</v>
      </c>
      <c r="M572" s="70"/>
      <c r="N572" s="188">
        <v>98952</v>
      </c>
      <c r="O572" s="188">
        <v>98952</v>
      </c>
      <c r="P572" s="188">
        <v>98952</v>
      </c>
      <c r="Q572" s="128"/>
      <c r="R572" s="128"/>
      <c r="S572" s="188">
        <v>98952</v>
      </c>
      <c r="T572" s="188">
        <v>98952</v>
      </c>
      <c r="U572" s="188">
        <v>98952</v>
      </c>
      <c r="V572" s="61"/>
      <c r="W572" s="58"/>
      <c r="X572" s="188">
        <v>94995</v>
      </c>
      <c r="Y572" s="188">
        <v>94995</v>
      </c>
      <c r="Z572" s="128"/>
      <c r="AA572" s="128"/>
      <c r="AB572" s="128"/>
      <c r="AC572" s="188">
        <v>94995</v>
      </c>
      <c r="AD572" s="188">
        <v>94995</v>
      </c>
      <c r="AE572" s="61"/>
      <c r="AF572" s="65"/>
      <c r="AG572" s="58"/>
      <c r="AH572" s="188">
        <v>98444</v>
      </c>
      <c r="AI572" s="128"/>
      <c r="AJ572" s="128"/>
      <c r="AK572" s="128"/>
      <c r="AL572" s="128"/>
      <c r="AM572" s="188">
        <v>98444</v>
      </c>
      <c r="AN572" s="135"/>
      <c r="AO572" s="135"/>
      <c r="AP572" s="135"/>
    </row>
    <row r="573" spans="1:42" x14ac:dyDescent="0.25">
      <c r="A573" t="s">
        <v>105</v>
      </c>
      <c r="B573" t="s">
        <v>42</v>
      </c>
      <c r="C573" s="212" t="str">
        <f t="shared" si="8"/>
        <v>St. Johns Circuit Civil</v>
      </c>
      <c r="D573" s="188">
        <v>390931.6</v>
      </c>
      <c r="E573" s="188">
        <v>390026.6</v>
      </c>
      <c r="F573" s="188">
        <v>388216.6</v>
      </c>
      <c r="G573" s="188">
        <v>388216.6</v>
      </c>
      <c r="H573" s="128"/>
      <c r="I573" s="188">
        <v>383425.6</v>
      </c>
      <c r="J573" s="188">
        <v>389745.6</v>
      </c>
      <c r="K573" s="188">
        <v>387935.6</v>
      </c>
      <c r="L573" s="188">
        <v>387935.6</v>
      </c>
      <c r="M573" s="70"/>
      <c r="N573" s="188">
        <v>384367.19</v>
      </c>
      <c r="O573" s="188">
        <v>383494.19</v>
      </c>
      <c r="P573" s="188">
        <v>383494.19</v>
      </c>
      <c r="Q573" s="128"/>
      <c r="R573" s="128"/>
      <c r="S573" s="188">
        <v>373325.19</v>
      </c>
      <c r="T573" s="188">
        <v>382554.19</v>
      </c>
      <c r="U573" s="188">
        <v>382554.19</v>
      </c>
      <c r="V573" s="61"/>
      <c r="W573" s="58"/>
      <c r="X573" s="188">
        <v>430187.07</v>
      </c>
      <c r="Y573" s="188">
        <v>430117.07</v>
      </c>
      <c r="Z573" s="128"/>
      <c r="AA573" s="128"/>
      <c r="AB573" s="128"/>
      <c r="AC573" s="188">
        <v>421732.07</v>
      </c>
      <c r="AD573" s="188">
        <v>430117.07</v>
      </c>
      <c r="AE573" s="61"/>
      <c r="AF573" s="65"/>
      <c r="AG573" s="58"/>
      <c r="AH573" s="188">
        <v>493453.49</v>
      </c>
      <c r="AI573" s="128"/>
      <c r="AJ573" s="128"/>
      <c r="AK573" s="128"/>
      <c r="AL573" s="128"/>
      <c r="AM573" s="188">
        <v>486852.49</v>
      </c>
      <c r="AN573" s="135"/>
      <c r="AO573" s="135"/>
      <c r="AP573" s="135"/>
    </row>
    <row r="574" spans="1:42" x14ac:dyDescent="0.25">
      <c r="A574" t="s">
        <v>105</v>
      </c>
      <c r="B574" t="s">
        <v>38</v>
      </c>
      <c r="C574" s="212" t="str">
        <f t="shared" si="8"/>
        <v>St. Johns Circuit Criminal</v>
      </c>
      <c r="D574" s="188">
        <v>248554.9</v>
      </c>
      <c r="E574" s="188">
        <v>248290.9</v>
      </c>
      <c r="F574" s="188">
        <v>248290.9</v>
      </c>
      <c r="G574" s="188">
        <v>247515.9</v>
      </c>
      <c r="H574" s="128"/>
      <c r="I574" s="188">
        <v>15105.34</v>
      </c>
      <c r="J574" s="188">
        <v>20499.169999999998</v>
      </c>
      <c r="K574" s="188">
        <v>26750.73</v>
      </c>
      <c r="L574" s="188">
        <v>31613.25</v>
      </c>
      <c r="M574" s="70"/>
      <c r="N574" s="188">
        <v>328144.84999999998</v>
      </c>
      <c r="O574" s="188">
        <v>327971.84999999998</v>
      </c>
      <c r="P574" s="188">
        <v>327850.84999999998</v>
      </c>
      <c r="Q574" s="128"/>
      <c r="R574" s="128"/>
      <c r="S574" s="188">
        <v>19899.509999999998</v>
      </c>
      <c r="T574" s="188">
        <v>29735.98</v>
      </c>
      <c r="U574" s="188">
        <v>38834.29</v>
      </c>
      <c r="V574" s="61"/>
      <c r="W574" s="58"/>
      <c r="X574" s="188">
        <v>903400</v>
      </c>
      <c r="Y574" s="188">
        <v>902843</v>
      </c>
      <c r="Z574" s="128"/>
      <c r="AA574" s="128"/>
      <c r="AB574" s="128"/>
      <c r="AC574" s="188">
        <v>16574.169999999998</v>
      </c>
      <c r="AD574" s="188">
        <v>25796.53</v>
      </c>
      <c r="AE574" s="61"/>
      <c r="AF574" s="65"/>
      <c r="AG574" s="58"/>
      <c r="AH574" s="188">
        <v>254869.89</v>
      </c>
      <c r="AI574" s="128"/>
      <c r="AJ574" s="128"/>
      <c r="AK574" s="128"/>
      <c r="AL574" s="128"/>
      <c r="AM574" s="188">
        <v>14305.29</v>
      </c>
      <c r="AN574" s="135"/>
      <c r="AO574" s="135"/>
      <c r="AP574" s="135"/>
    </row>
    <row r="575" spans="1:42" x14ac:dyDescent="0.25">
      <c r="A575" t="s">
        <v>105</v>
      </c>
      <c r="B575" t="s">
        <v>265</v>
      </c>
      <c r="C575" s="212" t="str">
        <f t="shared" si="8"/>
        <v>St. Johns Circuit Criminal Drug Cases</v>
      </c>
      <c r="D575" s="188">
        <v>53118</v>
      </c>
      <c r="E575" s="188">
        <v>53118</v>
      </c>
      <c r="F575" s="188">
        <v>53118</v>
      </c>
      <c r="G575" s="188">
        <v>53118</v>
      </c>
      <c r="H575" s="63"/>
      <c r="I575" s="188">
        <v>0</v>
      </c>
      <c r="J575" s="188">
        <v>0</v>
      </c>
      <c r="K575" s="188">
        <v>0</v>
      </c>
      <c r="L575" s="188">
        <v>0</v>
      </c>
      <c r="N575" s="188">
        <v>105518</v>
      </c>
      <c r="O575" s="188">
        <v>105518</v>
      </c>
      <c r="P575" s="188">
        <v>105518</v>
      </c>
      <c r="Q575" s="63"/>
      <c r="R575" s="63"/>
      <c r="S575" s="188">
        <v>0</v>
      </c>
      <c r="T575" s="188">
        <v>0</v>
      </c>
      <c r="U575" s="188">
        <v>0</v>
      </c>
      <c r="X575" s="188">
        <v>26768</v>
      </c>
      <c r="Y575" s="188">
        <v>26768</v>
      </c>
      <c r="Z575" s="63"/>
      <c r="AB575" s="63"/>
      <c r="AC575" s="188">
        <v>0</v>
      </c>
      <c r="AD575" s="188">
        <v>0</v>
      </c>
      <c r="AH575" s="188">
        <v>106036</v>
      </c>
      <c r="AI575" s="63"/>
      <c r="AL575" s="63"/>
      <c r="AM575" s="188">
        <v>0</v>
      </c>
    </row>
    <row r="576" spans="1:42" x14ac:dyDescent="0.25">
      <c r="A576" t="s">
        <v>105</v>
      </c>
      <c r="B576" t="s">
        <v>44</v>
      </c>
      <c r="C576" s="212" t="str">
        <f t="shared" si="8"/>
        <v>St. Johns Civil Traffic</v>
      </c>
      <c r="D576" s="188">
        <v>907338.9</v>
      </c>
      <c r="E576" s="188">
        <v>867944.75</v>
      </c>
      <c r="F576" s="188">
        <v>859074.9</v>
      </c>
      <c r="G576" s="188">
        <v>854738.65</v>
      </c>
      <c r="H576" s="128"/>
      <c r="I576" s="188">
        <v>426728.8</v>
      </c>
      <c r="J576" s="188">
        <v>716949.75</v>
      </c>
      <c r="K576" s="188">
        <v>772635.44</v>
      </c>
      <c r="L576" s="188">
        <v>788556.48</v>
      </c>
      <c r="M576" s="70"/>
      <c r="N576" s="188">
        <v>821274.5</v>
      </c>
      <c r="O576" s="188">
        <v>790370.05</v>
      </c>
      <c r="P576" s="188">
        <v>785122.05</v>
      </c>
      <c r="Q576" s="128"/>
      <c r="R576" s="128"/>
      <c r="S576" s="188">
        <v>379533.45</v>
      </c>
      <c r="T576" s="188">
        <v>643638.05000000005</v>
      </c>
      <c r="U576" s="188">
        <v>690302.7</v>
      </c>
      <c r="V576" s="61"/>
      <c r="W576" s="58"/>
      <c r="X576" s="188">
        <v>820394.3</v>
      </c>
      <c r="Y576" s="188">
        <v>790134.65</v>
      </c>
      <c r="Z576" s="128"/>
      <c r="AA576" s="128"/>
      <c r="AB576" s="128"/>
      <c r="AC576" s="188">
        <v>402181.5</v>
      </c>
      <c r="AD576" s="188">
        <v>643644.75</v>
      </c>
      <c r="AE576" s="61"/>
      <c r="AF576" s="65"/>
      <c r="AG576" s="58"/>
      <c r="AH576" s="188">
        <v>920316.8</v>
      </c>
      <c r="AI576" s="128"/>
      <c r="AJ576" s="128"/>
      <c r="AK576" s="128"/>
      <c r="AL576" s="128"/>
      <c r="AM576" s="188">
        <v>460866.41</v>
      </c>
      <c r="AN576" s="135"/>
      <c r="AO576" s="135"/>
      <c r="AP576" s="135"/>
    </row>
    <row r="577" spans="1:42" x14ac:dyDescent="0.25">
      <c r="A577" t="s">
        <v>105</v>
      </c>
      <c r="B577" t="s">
        <v>43</v>
      </c>
      <c r="C577" s="212" t="str">
        <f t="shared" si="8"/>
        <v>St. Johns County Civil</v>
      </c>
      <c r="D577" s="188">
        <v>136734.01</v>
      </c>
      <c r="E577" s="188">
        <v>136424.01</v>
      </c>
      <c r="F577" s="188">
        <v>136424.01</v>
      </c>
      <c r="G577" s="188">
        <v>136424.01</v>
      </c>
      <c r="H577" s="128"/>
      <c r="I577" s="188">
        <v>134239.01</v>
      </c>
      <c r="J577" s="188">
        <v>135804.01</v>
      </c>
      <c r="K577" s="188">
        <v>135804.01</v>
      </c>
      <c r="L577" s="188">
        <v>135804.01</v>
      </c>
      <c r="M577" s="70"/>
      <c r="N577" s="188">
        <v>132960.26999999999</v>
      </c>
      <c r="O577" s="188">
        <v>132960.26999999999</v>
      </c>
      <c r="P577" s="188">
        <v>132960.26999999999</v>
      </c>
      <c r="Q577" s="128"/>
      <c r="R577" s="128"/>
      <c r="S577" s="188">
        <v>130041.42</v>
      </c>
      <c r="T577" s="188">
        <v>132071.42000000001</v>
      </c>
      <c r="U577" s="188">
        <v>132071.42000000001</v>
      </c>
      <c r="V577" s="61"/>
      <c r="W577" s="58"/>
      <c r="X577" s="188">
        <v>136745.03</v>
      </c>
      <c r="Y577" s="188">
        <v>136665.03</v>
      </c>
      <c r="Z577" s="128"/>
      <c r="AA577" s="128"/>
      <c r="AB577" s="128"/>
      <c r="AC577" s="188">
        <v>134670.03</v>
      </c>
      <c r="AD577" s="188">
        <v>136360.03</v>
      </c>
      <c r="AE577" s="61"/>
      <c r="AF577" s="65"/>
      <c r="AG577" s="58"/>
      <c r="AH577" s="188">
        <v>125458.46</v>
      </c>
      <c r="AI577" s="128"/>
      <c r="AJ577" s="128"/>
      <c r="AK577" s="128"/>
      <c r="AL577" s="128"/>
      <c r="AM577" s="188">
        <v>124223.46</v>
      </c>
      <c r="AN577" s="135"/>
      <c r="AO577" s="135"/>
      <c r="AP577" s="135"/>
    </row>
    <row r="578" spans="1:42" x14ac:dyDescent="0.25">
      <c r="A578" t="s">
        <v>105</v>
      </c>
      <c r="B578" t="s">
        <v>39</v>
      </c>
      <c r="C578" s="212" t="str">
        <f t="shared" si="8"/>
        <v>St. Johns County Criminal</v>
      </c>
      <c r="D578" s="188">
        <v>224408.54</v>
      </c>
      <c r="E578" s="188">
        <v>217049.54</v>
      </c>
      <c r="F578" s="188">
        <v>211161.04</v>
      </c>
      <c r="G578" s="188">
        <v>205946.74</v>
      </c>
      <c r="H578" s="128"/>
      <c r="I578" s="188">
        <v>38625.29</v>
      </c>
      <c r="J578" s="188">
        <v>59632.1</v>
      </c>
      <c r="K578" s="188">
        <v>73273.02</v>
      </c>
      <c r="L578" s="188">
        <v>80961.929999999993</v>
      </c>
      <c r="M578" s="70"/>
      <c r="N578" s="188">
        <v>229826.3</v>
      </c>
      <c r="O578" s="188">
        <v>218783.5</v>
      </c>
      <c r="P578" s="188">
        <v>212074.25</v>
      </c>
      <c r="Q578" s="128"/>
      <c r="R578" s="128"/>
      <c r="S578" s="188">
        <v>41922.94</v>
      </c>
      <c r="T578" s="188">
        <v>68430.36</v>
      </c>
      <c r="U578" s="188">
        <v>78886.27</v>
      </c>
      <c r="V578" s="61"/>
      <c r="W578" s="58"/>
      <c r="X578" s="188">
        <v>180876.7</v>
      </c>
      <c r="Y578" s="188">
        <v>172399.7</v>
      </c>
      <c r="Z578" s="128"/>
      <c r="AA578" s="128"/>
      <c r="AB578" s="128"/>
      <c r="AC578" s="188">
        <v>35497.980000000003</v>
      </c>
      <c r="AD578" s="188">
        <v>59945.99</v>
      </c>
      <c r="AE578" s="61"/>
      <c r="AF578" s="65"/>
      <c r="AG578" s="58"/>
      <c r="AH578" s="188">
        <v>232219.25</v>
      </c>
      <c r="AI578" s="128"/>
      <c r="AJ578" s="128"/>
      <c r="AK578" s="128"/>
      <c r="AL578" s="128"/>
      <c r="AM578" s="188">
        <v>42996.03</v>
      </c>
      <c r="AN578" s="135"/>
      <c r="AO578" s="135"/>
      <c r="AP578" s="135"/>
    </row>
    <row r="579" spans="1:42" x14ac:dyDescent="0.25">
      <c r="A579" t="s">
        <v>105</v>
      </c>
      <c r="B579" t="s">
        <v>41</v>
      </c>
      <c r="C579" s="212" t="str">
        <f t="shared" ref="C579:C642" si="9">A579&amp;" "&amp;B579</f>
        <v>St. Johns Criminal Traffic</v>
      </c>
      <c r="D579" s="188">
        <v>143764.18</v>
      </c>
      <c r="E579" s="188">
        <v>142723.18</v>
      </c>
      <c r="F579" s="188">
        <v>139238.18</v>
      </c>
      <c r="G579" s="188">
        <v>136476.93</v>
      </c>
      <c r="H579" s="128"/>
      <c r="I579" s="188">
        <v>34531.519999999997</v>
      </c>
      <c r="J579" s="188">
        <v>58042.17</v>
      </c>
      <c r="K579" s="188">
        <v>71388.45</v>
      </c>
      <c r="L579" s="188">
        <v>77780.89</v>
      </c>
      <c r="M579" s="70"/>
      <c r="N579" s="188">
        <v>161253.5</v>
      </c>
      <c r="O579" s="188">
        <v>160538.5</v>
      </c>
      <c r="P579" s="188">
        <v>159215.5</v>
      </c>
      <c r="Q579" s="128"/>
      <c r="R579" s="128"/>
      <c r="S579" s="188">
        <v>50641.52</v>
      </c>
      <c r="T579" s="188">
        <v>73208.210000000006</v>
      </c>
      <c r="U579" s="188">
        <v>87760.58</v>
      </c>
      <c r="V579" s="61"/>
      <c r="W579" s="58"/>
      <c r="X579" s="188">
        <v>147507.5</v>
      </c>
      <c r="Y579" s="188">
        <v>147419.15</v>
      </c>
      <c r="Z579" s="128"/>
      <c r="AA579" s="128"/>
      <c r="AB579" s="128"/>
      <c r="AC579" s="188">
        <v>56939.92</v>
      </c>
      <c r="AD579" s="188">
        <v>76054.33</v>
      </c>
      <c r="AE579" s="61"/>
      <c r="AF579" s="65"/>
      <c r="AG579" s="58"/>
      <c r="AH579" s="188">
        <v>169162</v>
      </c>
      <c r="AI579" s="128"/>
      <c r="AJ579" s="128"/>
      <c r="AK579" s="128"/>
      <c r="AL579" s="128"/>
      <c r="AM579" s="188">
        <v>56564.09</v>
      </c>
      <c r="AN579" s="135"/>
      <c r="AO579" s="135"/>
      <c r="AP579" s="135"/>
    </row>
    <row r="580" spans="1:42" x14ac:dyDescent="0.25">
      <c r="A580" t="s">
        <v>105</v>
      </c>
      <c r="B580" t="s">
        <v>46</v>
      </c>
      <c r="C580" s="212" t="str">
        <f t="shared" si="9"/>
        <v>St. Johns Family</v>
      </c>
      <c r="D580" s="188">
        <v>106117.95</v>
      </c>
      <c r="E580" s="188">
        <v>106117.95</v>
      </c>
      <c r="F580" s="188">
        <v>106117.95</v>
      </c>
      <c r="G580" s="188">
        <v>106117.95</v>
      </c>
      <c r="H580" s="128"/>
      <c r="I580" s="188">
        <v>105262.75</v>
      </c>
      <c r="J580" s="188">
        <v>105282.75</v>
      </c>
      <c r="K580" s="188">
        <v>105282.75</v>
      </c>
      <c r="L580" s="188">
        <v>105282.75</v>
      </c>
      <c r="M580" s="70"/>
      <c r="N580" s="188">
        <v>127680.75</v>
      </c>
      <c r="O580" s="188">
        <v>127680.75</v>
      </c>
      <c r="P580" s="188">
        <v>127680.75</v>
      </c>
      <c r="Q580" s="128"/>
      <c r="R580" s="128"/>
      <c r="S580" s="188">
        <v>125273.75</v>
      </c>
      <c r="T580" s="188">
        <v>126819.75</v>
      </c>
      <c r="U580" s="188">
        <v>126819.75</v>
      </c>
      <c r="V580" s="61"/>
      <c r="W580" s="58"/>
      <c r="X580" s="188">
        <v>127306.05</v>
      </c>
      <c r="Y580" s="188">
        <v>126898.05</v>
      </c>
      <c r="Z580" s="128"/>
      <c r="AA580" s="128"/>
      <c r="AB580" s="128"/>
      <c r="AC580" s="188">
        <v>125598.05</v>
      </c>
      <c r="AD580" s="188">
        <v>126878.05</v>
      </c>
      <c r="AE580" s="61"/>
      <c r="AF580" s="65"/>
      <c r="AG580" s="58"/>
      <c r="AH580" s="188">
        <v>126329.75</v>
      </c>
      <c r="AI580" s="128"/>
      <c r="AJ580" s="128"/>
      <c r="AK580" s="128"/>
      <c r="AL580" s="128"/>
      <c r="AM580" s="188">
        <v>123840.75</v>
      </c>
      <c r="AN580" s="135"/>
      <c r="AO580" s="135"/>
      <c r="AP580" s="135"/>
    </row>
    <row r="581" spans="1:42" x14ac:dyDescent="0.25">
      <c r="A581" t="s">
        <v>105</v>
      </c>
      <c r="B581" t="s">
        <v>40</v>
      </c>
      <c r="C581" s="212" t="str">
        <f t="shared" si="9"/>
        <v>St. Johns Juvenile Delinquency</v>
      </c>
      <c r="D581" s="188">
        <v>2405</v>
      </c>
      <c r="E581" s="188">
        <v>1702</v>
      </c>
      <c r="F581" s="188">
        <v>1652</v>
      </c>
      <c r="G581" s="188">
        <v>1652</v>
      </c>
      <c r="H581" s="128"/>
      <c r="I581" s="188">
        <v>699</v>
      </c>
      <c r="J581" s="188">
        <v>749</v>
      </c>
      <c r="K581" s="188">
        <v>799</v>
      </c>
      <c r="L581" s="188">
        <v>799</v>
      </c>
      <c r="M581" s="70"/>
      <c r="N581" s="188">
        <v>2556</v>
      </c>
      <c r="O581" s="188">
        <v>2259</v>
      </c>
      <c r="P581" s="188">
        <v>1909</v>
      </c>
      <c r="Q581" s="128"/>
      <c r="R581" s="128"/>
      <c r="S581" s="188">
        <v>350</v>
      </c>
      <c r="T581" s="188">
        <v>450</v>
      </c>
      <c r="U581" s="188">
        <v>450</v>
      </c>
      <c r="V581" s="61"/>
      <c r="W581" s="58"/>
      <c r="X581" s="188">
        <v>4533</v>
      </c>
      <c r="Y581" s="188">
        <v>4483</v>
      </c>
      <c r="Z581" s="128"/>
      <c r="AA581" s="128"/>
      <c r="AB581" s="128"/>
      <c r="AC581" s="188">
        <v>656</v>
      </c>
      <c r="AD581" s="188">
        <v>806</v>
      </c>
      <c r="AE581" s="61"/>
      <c r="AF581" s="65"/>
      <c r="AG581" s="58"/>
      <c r="AH581" s="188">
        <v>2519</v>
      </c>
      <c r="AI581" s="128"/>
      <c r="AJ581" s="128"/>
      <c r="AK581" s="128"/>
      <c r="AL581" s="128"/>
      <c r="AM581" s="188">
        <v>363</v>
      </c>
      <c r="AN581" s="135"/>
      <c r="AO581" s="135"/>
      <c r="AP581" s="135"/>
    </row>
    <row r="582" spans="1:42" x14ac:dyDescent="0.25">
      <c r="A582" t="s">
        <v>105</v>
      </c>
      <c r="B582" t="s">
        <v>45</v>
      </c>
      <c r="C582" s="212" t="str">
        <f t="shared" si="9"/>
        <v>St. Johns Probate</v>
      </c>
      <c r="D582" s="188">
        <v>64588.6</v>
      </c>
      <c r="E582" s="188">
        <v>64588.6</v>
      </c>
      <c r="F582" s="188">
        <v>64588.6</v>
      </c>
      <c r="G582" s="188">
        <v>64588.6</v>
      </c>
      <c r="H582" s="128"/>
      <c r="I582" s="188">
        <v>63554.6</v>
      </c>
      <c r="J582" s="188">
        <v>63554.6</v>
      </c>
      <c r="K582" s="188">
        <v>63554.6</v>
      </c>
      <c r="L582" s="188">
        <v>63557.599999999999</v>
      </c>
      <c r="M582" s="70"/>
      <c r="N582" s="188">
        <v>66956.5</v>
      </c>
      <c r="O582" s="188">
        <v>66956.5</v>
      </c>
      <c r="P582" s="188">
        <v>66956.5</v>
      </c>
      <c r="Q582" s="128"/>
      <c r="R582" s="128"/>
      <c r="S582" s="188">
        <v>63845.5</v>
      </c>
      <c r="T582" s="188">
        <v>66956.5</v>
      </c>
      <c r="U582" s="188">
        <v>66956.5</v>
      </c>
      <c r="V582" s="61"/>
      <c r="W582" s="58"/>
      <c r="X582" s="188">
        <v>66772</v>
      </c>
      <c r="Y582" s="188">
        <v>66772</v>
      </c>
      <c r="Z582" s="128"/>
      <c r="AA582" s="128"/>
      <c r="AB582" s="128"/>
      <c r="AC582" s="188">
        <v>65387</v>
      </c>
      <c r="AD582" s="188">
        <v>66772</v>
      </c>
      <c r="AE582" s="61"/>
      <c r="AF582" s="65"/>
      <c r="AG582" s="58"/>
      <c r="AH582" s="188">
        <v>69752</v>
      </c>
      <c r="AI582" s="128"/>
      <c r="AJ582" s="128"/>
      <c r="AK582" s="128"/>
      <c r="AL582" s="128"/>
      <c r="AM582" s="188">
        <v>69121</v>
      </c>
      <c r="AN582" s="135"/>
      <c r="AO582" s="135"/>
      <c r="AP582" s="135"/>
    </row>
    <row r="583" spans="1:42" x14ac:dyDescent="0.25">
      <c r="A583" t="s">
        <v>106</v>
      </c>
      <c r="B583" t="s">
        <v>42</v>
      </c>
      <c r="C583" s="212" t="str">
        <f t="shared" si="9"/>
        <v>St. Lucie Circuit Civil</v>
      </c>
      <c r="D583" s="188">
        <v>767011.94</v>
      </c>
      <c r="E583" s="188">
        <v>766102.74</v>
      </c>
      <c r="F583" s="188">
        <v>764097.24</v>
      </c>
      <c r="G583" s="188">
        <v>762660.24</v>
      </c>
      <c r="H583" s="128"/>
      <c r="I583" s="188">
        <v>744303.07</v>
      </c>
      <c r="J583" s="188">
        <v>756149.44</v>
      </c>
      <c r="K583" s="188">
        <v>756439.93</v>
      </c>
      <c r="L583" s="188">
        <v>754716.77</v>
      </c>
      <c r="M583" s="70"/>
      <c r="N583" s="188">
        <v>690557.26</v>
      </c>
      <c r="O583" s="188">
        <v>689837.26</v>
      </c>
      <c r="P583" s="188">
        <v>689057.26</v>
      </c>
      <c r="Q583" s="128"/>
      <c r="R583" s="128"/>
      <c r="S583" s="188">
        <v>674437.97</v>
      </c>
      <c r="T583" s="188">
        <v>685384.98</v>
      </c>
      <c r="U583" s="188">
        <v>685609.98</v>
      </c>
      <c r="V583" s="61"/>
      <c r="W583" s="58"/>
      <c r="X583" s="188">
        <v>0</v>
      </c>
      <c r="Y583" s="188">
        <v>0</v>
      </c>
      <c r="Z583" s="128"/>
      <c r="AA583" s="128"/>
      <c r="AB583" s="128"/>
      <c r="AC583" s="188">
        <v>0</v>
      </c>
      <c r="AD583" s="188">
        <v>0</v>
      </c>
      <c r="AE583" s="61"/>
      <c r="AF583" s="65"/>
      <c r="AG583" s="58"/>
      <c r="AH583" s="188">
        <v>848433.44</v>
      </c>
      <c r="AI583" s="128"/>
      <c r="AJ583" s="128"/>
      <c r="AK583" s="128"/>
      <c r="AL583" s="128"/>
      <c r="AM583" s="188">
        <v>827955.44</v>
      </c>
      <c r="AN583" s="135"/>
      <c r="AO583" s="135"/>
      <c r="AP583" s="135"/>
    </row>
    <row r="584" spans="1:42" x14ac:dyDescent="0.25">
      <c r="A584" t="s">
        <v>106</v>
      </c>
      <c r="B584" t="s">
        <v>38</v>
      </c>
      <c r="C584" s="212" t="str">
        <f t="shared" si="9"/>
        <v>St. Lucie Circuit Criminal</v>
      </c>
      <c r="D584" s="188">
        <v>760856.85</v>
      </c>
      <c r="E584" s="188">
        <v>760451.85</v>
      </c>
      <c r="F584" s="188">
        <v>757921.41</v>
      </c>
      <c r="G584" s="188">
        <v>808504.76</v>
      </c>
      <c r="H584" s="128"/>
      <c r="I584" s="188">
        <v>25706.76</v>
      </c>
      <c r="J584" s="188">
        <v>52884.73</v>
      </c>
      <c r="K584" s="188">
        <v>69855.67</v>
      </c>
      <c r="L584" s="188">
        <v>87504.63</v>
      </c>
      <c r="M584" s="70"/>
      <c r="N584" s="188">
        <v>1041240.8</v>
      </c>
      <c r="O584" s="188">
        <v>1039483.8</v>
      </c>
      <c r="P584" s="188">
        <v>1043498.79</v>
      </c>
      <c r="Q584" s="128"/>
      <c r="R584" s="128"/>
      <c r="S584" s="188">
        <v>22258.59</v>
      </c>
      <c r="T584" s="188">
        <v>42529.11</v>
      </c>
      <c r="U584" s="188">
        <v>67812.47</v>
      </c>
      <c r="V584" s="61"/>
      <c r="W584" s="58"/>
      <c r="X584" s="188">
        <v>0</v>
      </c>
      <c r="Y584" s="188">
        <v>0</v>
      </c>
      <c r="Z584" s="128"/>
      <c r="AA584" s="128"/>
      <c r="AB584" s="128"/>
      <c r="AC584" s="188">
        <v>0</v>
      </c>
      <c r="AD584" s="188">
        <v>0</v>
      </c>
      <c r="AE584" s="61"/>
      <c r="AF584" s="65"/>
      <c r="AG584" s="58"/>
      <c r="AH584" s="188">
        <v>1227819.56</v>
      </c>
      <c r="AI584" s="128"/>
      <c r="AJ584" s="128"/>
      <c r="AK584" s="128"/>
      <c r="AL584" s="128"/>
      <c r="AM584" s="188">
        <v>20215.96</v>
      </c>
      <c r="AN584" s="135"/>
      <c r="AO584" s="135"/>
      <c r="AP584" s="135"/>
    </row>
    <row r="585" spans="1:42" x14ac:dyDescent="0.25">
      <c r="A585" t="s">
        <v>106</v>
      </c>
      <c r="B585" t="s">
        <v>265</v>
      </c>
      <c r="C585" s="212" t="str">
        <f t="shared" si="9"/>
        <v>St. Lucie Circuit Criminal Drug Cases</v>
      </c>
      <c r="D585" s="188">
        <v>268209.5</v>
      </c>
      <c r="E585" s="188">
        <v>216289.5</v>
      </c>
      <c r="F585" s="188">
        <v>216239.5</v>
      </c>
      <c r="G585" s="188">
        <v>268689.5</v>
      </c>
      <c r="H585" s="63"/>
      <c r="I585" s="188">
        <v>420.01</v>
      </c>
      <c r="J585" s="188">
        <v>455.02</v>
      </c>
      <c r="K585" s="188">
        <v>445.03</v>
      </c>
      <c r="L585" s="188">
        <v>445.06</v>
      </c>
      <c r="N585" s="188">
        <v>402219</v>
      </c>
      <c r="O585" s="188">
        <v>402169</v>
      </c>
      <c r="P585" s="188">
        <v>402119</v>
      </c>
      <c r="Q585" s="63"/>
      <c r="R585" s="63"/>
      <c r="S585" s="188">
        <v>321.37</v>
      </c>
      <c r="T585" s="188">
        <v>528.14</v>
      </c>
      <c r="U585" s="188">
        <v>800.32</v>
      </c>
      <c r="X585" s="188">
        <v>529690</v>
      </c>
      <c r="Y585" s="188">
        <v>529690</v>
      </c>
      <c r="Z585" s="63"/>
      <c r="AB585" s="63"/>
      <c r="AC585" s="188">
        <v>623.78</v>
      </c>
      <c r="AD585" s="188">
        <v>673.85</v>
      </c>
      <c r="AH585" s="188">
        <v>455200.5</v>
      </c>
      <c r="AI585" s="63"/>
      <c r="AL585" s="63"/>
      <c r="AM585" s="188">
        <v>72.78</v>
      </c>
    </row>
    <row r="586" spans="1:42" x14ac:dyDescent="0.25">
      <c r="A586" t="s">
        <v>106</v>
      </c>
      <c r="B586" t="s">
        <v>44</v>
      </c>
      <c r="C586" s="212" t="str">
        <f t="shared" si="9"/>
        <v>St. Lucie Civil Traffic</v>
      </c>
      <c r="D586" s="188">
        <v>1842498.75</v>
      </c>
      <c r="E586" s="188">
        <v>1841199.25</v>
      </c>
      <c r="F586" s="188">
        <v>1831980.25</v>
      </c>
      <c r="G586" s="188">
        <v>1828115.46</v>
      </c>
      <c r="H586" s="128"/>
      <c r="I586" s="188">
        <v>1039912.85</v>
      </c>
      <c r="J586" s="188">
        <v>1604098.87</v>
      </c>
      <c r="K586" s="188">
        <v>1652088.27</v>
      </c>
      <c r="L586" s="188">
        <v>1672037.6</v>
      </c>
      <c r="M586" s="70"/>
      <c r="N586" s="188">
        <v>1943950.4</v>
      </c>
      <c r="O586" s="188">
        <v>1887768.2</v>
      </c>
      <c r="P586" s="188">
        <v>1879320.49</v>
      </c>
      <c r="Q586" s="128"/>
      <c r="R586" s="128"/>
      <c r="S586" s="188">
        <v>1262554.3</v>
      </c>
      <c r="T586" s="188">
        <v>1764961.55</v>
      </c>
      <c r="U586" s="188">
        <v>1813008.42</v>
      </c>
      <c r="V586" s="61"/>
      <c r="W586" s="58"/>
      <c r="X586" s="188">
        <v>0</v>
      </c>
      <c r="Y586" s="188">
        <v>0</v>
      </c>
      <c r="Z586" s="128"/>
      <c r="AA586" s="128"/>
      <c r="AB586" s="128"/>
      <c r="AC586" s="188">
        <v>0</v>
      </c>
      <c r="AD586" s="188">
        <v>0</v>
      </c>
      <c r="AE586" s="61"/>
      <c r="AF586" s="65"/>
      <c r="AG586" s="58"/>
      <c r="AH586" s="188">
        <v>2270646.4500000002</v>
      </c>
      <c r="AI586" s="128"/>
      <c r="AJ586" s="128"/>
      <c r="AK586" s="128"/>
      <c r="AL586" s="128"/>
      <c r="AM586" s="188">
        <v>1242318.05</v>
      </c>
      <c r="AN586" s="135"/>
      <c r="AO586" s="135"/>
      <c r="AP586" s="135"/>
    </row>
    <row r="587" spans="1:42" x14ac:dyDescent="0.25">
      <c r="A587" t="s">
        <v>106</v>
      </c>
      <c r="B587" t="s">
        <v>43</v>
      </c>
      <c r="C587" s="212" t="str">
        <f t="shared" si="9"/>
        <v>St. Lucie County Civil</v>
      </c>
      <c r="D587" s="188">
        <v>283816.98</v>
      </c>
      <c r="E587" s="188">
        <v>283816.98</v>
      </c>
      <c r="F587" s="188">
        <v>283816.98</v>
      </c>
      <c r="G587" s="188">
        <v>283631.98</v>
      </c>
      <c r="H587" s="128"/>
      <c r="I587" s="188">
        <v>272254.24</v>
      </c>
      <c r="J587" s="188">
        <v>282864.24</v>
      </c>
      <c r="K587" s="188">
        <v>282869.24</v>
      </c>
      <c r="L587" s="188">
        <v>282684.24</v>
      </c>
      <c r="M587" s="70"/>
      <c r="N587" s="188">
        <v>308618.84999999998</v>
      </c>
      <c r="O587" s="188">
        <v>308618.84999999998</v>
      </c>
      <c r="P587" s="188">
        <v>308618.84999999998</v>
      </c>
      <c r="Q587" s="128"/>
      <c r="R587" s="128"/>
      <c r="S587" s="188">
        <v>305468.84999999998</v>
      </c>
      <c r="T587" s="188">
        <v>308608.84999999998</v>
      </c>
      <c r="U587" s="188">
        <v>308608.84999999998</v>
      </c>
      <c r="V587" s="61"/>
      <c r="W587" s="58"/>
      <c r="X587" s="188">
        <v>0</v>
      </c>
      <c r="Y587" s="188">
        <v>0</v>
      </c>
      <c r="Z587" s="128"/>
      <c r="AA587" s="128"/>
      <c r="AB587" s="128"/>
      <c r="AC587" s="188">
        <v>0</v>
      </c>
      <c r="AD587" s="188">
        <v>0</v>
      </c>
      <c r="AE587" s="61"/>
      <c r="AF587" s="65"/>
      <c r="AG587" s="58"/>
      <c r="AH587" s="188">
        <v>262892.34999999998</v>
      </c>
      <c r="AI587" s="128"/>
      <c r="AJ587" s="128"/>
      <c r="AK587" s="128"/>
      <c r="AL587" s="128"/>
      <c r="AM587" s="188">
        <v>260044.35</v>
      </c>
      <c r="AN587" s="135"/>
      <c r="AO587" s="135"/>
      <c r="AP587" s="135"/>
    </row>
    <row r="588" spans="1:42" x14ac:dyDescent="0.25">
      <c r="A588" t="s">
        <v>106</v>
      </c>
      <c r="B588" t="s">
        <v>39</v>
      </c>
      <c r="C588" s="212" t="str">
        <f t="shared" si="9"/>
        <v>St. Lucie County Criminal</v>
      </c>
      <c r="D588" s="188">
        <v>442451.72</v>
      </c>
      <c r="E588" s="188">
        <v>431732.73</v>
      </c>
      <c r="F588" s="188">
        <v>423732.68</v>
      </c>
      <c r="G588" s="188">
        <v>420939.73</v>
      </c>
      <c r="H588" s="128"/>
      <c r="I588" s="188">
        <v>72551.87</v>
      </c>
      <c r="J588" s="188">
        <v>121681.04</v>
      </c>
      <c r="K588" s="188">
        <v>157351.19</v>
      </c>
      <c r="L588" s="188">
        <v>185247.72</v>
      </c>
      <c r="M588" s="70"/>
      <c r="N588" s="188">
        <v>432728.5</v>
      </c>
      <c r="O588" s="188">
        <v>421193.72</v>
      </c>
      <c r="P588" s="188">
        <v>410009.95</v>
      </c>
      <c r="Q588" s="128"/>
      <c r="R588" s="128"/>
      <c r="S588" s="188">
        <v>82732.850000000006</v>
      </c>
      <c r="T588" s="188">
        <v>129140.48</v>
      </c>
      <c r="U588" s="188">
        <v>168255.5</v>
      </c>
      <c r="V588" s="61"/>
      <c r="W588" s="58"/>
      <c r="X588" s="188">
        <v>0</v>
      </c>
      <c r="Y588" s="188">
        <v>0</v>
      </c>
      <c r="Z588" s="128"/>
      <c r="AA588" s="128"/>
      <c r="AB588" s="128"/>
      <c r="AC588" s="188">
        <v>0</v>
      </c>
      <c r="AD588" s="188">
        <v>0</v>
      </c>
      <c r="AE588" s="61"/>
      <c r="AF588" s="65"/>
      <c r="AG588" s="58"/>
      <c r="AH588" s="188">
        <v>377759.44</v>
      </c>
      <c r="AI588" s="128"/>
      <c r="AJ588" s="128"/>
      <c r="AK588" s="128"/>
      <c r="AL588" s="128"/>
      <c r="AM588" s="188">
        <v>55507.6</v>
      </c>
      <c r="AN588" s="135"/>
      <c r="AO588" s="135"/>
      <c r="AP588" s="135"/>
    </row>
    <row r="589" spans="1:42" x14ac:dyDescent="0.25">
      <c r="A589" t="s">
        <v>106</v>
      </c>
      <c r="B589" t="s">
        <v>41</v>
      </c>
      <c r="C589" s="212" t="str">
        <f t="shared" si="9"/>
        <v>St. Lucie Criminal Traffic</v>
      </c>
      <c r="D589" s="188">
        <v>508110</v>
      </c>
      <c r="E589" s="188">
        <v>505350.5</v>
      </c>
      <c r="F589" s="188">
        <v>497301.89</v>
      </c>
      <c r="G589" s="188">
        <v>479774.21</v>
      </c>
      <c r="H589" s="128"/>
      <c r="I589" s="188">
        <v>116753.61</v>
      </c>
      <c r="J589" s="188">
        <v>193459.34</v>
      </c>
      <c r="K589" s="188">
        <v>232950.26</v>
      </c>
      <c r="L589" s="188">
        <v>267766.51</v>
      </c>
      <c r="M589" s="70"/>
      <c r="N589" s="188">
        <v>569356.31000000006</v>
      </c>
      <c r="O589" s="188">
        <v>563490.87</v>
      </c>
      <c r="P589" s="188">
        <v>548744.64</v>
      </c>
      <c r="Q589" s="128"/>
      <c r="R589" s="128"/>
      <c r="S589" s="188">
        <v>140731.07999999999</v>
      </c>
      <c r="T589" s="188">
        <v>205229.57</v>
      </c>
      <c r="U589" s="188">
        <v>256178.02</v>
      </c>
      <c r="V589" s="61"/>
      <c r="W589" s="58"/>
      <c r="X589" s="188">
        <v>0</v>
      </c>
      <c r="Y589" s="188">
        <v>0</v>
      </c>
      <c r="Z589" s="128"/>
      <c r="AA589" s="128"/>
      <c r="AB589" s="128"/>
      <c r="AC589" s="188">
        <v>0</v>
      </c>
      <c r="AD589" s="188">
        <v>0</v>
      </c>
      <c r="AE589" s="61"/>
      <c r="AF589" s="65"/>
      <c r="AG589" s="58"/>
      <c r="AH589" s="188">
        <v>464285.63</v>
      </c>
      <c r="AI589" s="128"/>
      <c r="AJ589" s="128"/>
      <c r="AK589" s="128"/>
      <c r="AL589" s="128"/>
      <c r="AM589" s="188">
        <v>111733.25</v>
      </c>
      <c r="AN589" s="135"/>
      <c r="AO589" s="135"/>
      <c r="AP589" s="135"/>
    </row>
    <row r="590" spans="1:42" x14ac:dyDescent="0.25">
      <c r="A590" t="s">
        <v>106</v>
      </c>
      <c r="B590" t="s">
        <v>46</v>
      </c>
      <c r="C590" s="212" t="str">
        <f t="shared" si="9"/>
        <v>St. Lucie Family</v>
      </c>
      <c r="D590" s="188">
        <v>120720.14</v>
      </c>
      <c r="E590" s="188">
        <v>120302.14</v>
      </c>
      <c r="F590" s="188">
        <v>120302.14</v>
      </c>
      <c r="G590" s="188">
        <v>119894.14</v>
      </c>
      <c r="H590" s="128"/>
      <c r="I590" s="188">
        <v>115655.93</v>
      </c>
      <c r="J590" s="188">
        <v>115684.25</v>
      </c>
      <c r="K590" s="188">
        <v>115684.25</v>
      </c>
      <c r="L590" s="188">
        <v>115684.25</v>
      </c>
      <c r="M590" s="70"/>
      <c r="N590" s="188">
        <v>155723.63</v>
      </c>
      <c r="O590" s="188">
        <v>154595.63</v>
      </c>
      <c r="P590" s="188">
        <v>154187.63</v>
      </c>
      <c r="Q590" s="128"/>
      <c r="R590" s="128"/>
      <c r="S590" s="188">
        <v>147466.9</v>
      </c>
      <c r="T590" s="188">
        <v>149097.9</v>
      </c>
      <c r="U590" s="188">
        <v>149128.07999999999</v>
      </c>
      <c r="V590" s="61"/>
      <c r="W590" s="58"/>
      <c r="X590" s="188">
        <v>0</v>
      </c>
      <c r="Y590" s="188">
        <v>0</v>
      </c>
      <c r="Z590" s="128"/>
      <c r="AA590" s="128"/>
      <c r="AB590" s="128"/>
      <c r="AC590" s="188">
        <v>0</v>
      </c>
      <c r="AD590" s="188">
        <v>0</v>
      </c>
      <c r="AE590" s="61"/>
      <c r="AF590" s="65"/>
      <c r="AG590" s="58"/>
      <c r="AH590" s="188">
        <v>150115.73000000001</v>
      </c>
      <c r="AI590" s="128"/>
      <c r="AJ590" s="128"/>
      <c r="AK590" s="128"/>
      <c r="AL590" s="128"/>
      <c r="AM590" s="188">
        <v>143253.04</v>
      </c>
      <c r="AN590" s="135"/>
      <c r="AO590" s="135"/>
      <c r="AP590" s="135"/>
    </row>
    <row r="591" spans="1:42" x14ac:dyDescent="0.25">
      <c r="A591" t="s">
        <v>106</v>
      </c>
      <c r="B591" t="s">
        <v>40</v>
      </c>
      <c r="C591" s="212" t="str">
        <f t="shared" si="9"/>
        <v>St. Lucie Juvenile Delinquency</v>
      </c>
      <c r="D591" s="188">
        <v>49662</v>
      </c>
      <c r="E591" s="188">
        <v>49662</v>
      </c>
      <c r="F591" s="188">
        <v>49545.17</v>
      </c>
      <c r="G591" s="188">
        <v>49520.17</v>
      </c>
      <c r="H591" s="128"/>
      <c r="I591" s="188">
        <v>2167.88</v>
      </c>
      <c r="J591" s="188">
        <v>7309.68</v>
      </c>
      <c r="K591" s="188">
        <v>9598.19</v>
      </c>
      <c r="L591" s="188">
        <v>10845.11</v>
      </c>
      <c r="M591" s="70"/>
      <c r="N591" s="188">
        <v>47176</v>
      </c>
      <c r="O591" s="188">
        <v>46701.45</v>
      </c>
      <c r="P591" s="188">
        <v>46551.45</v>
      </c>
      <c r="Q591" s="128"/>
      <c r="R591" s="128"/>
      <c r="S591" s="188">
        <v>3935.19</v>
      </c>
      <c r="T591" s="188">
        <v>8150</v>
      </c>
      <c r="U591" s="188">
        <v>11600.72</v>
      </c>
      <c r="V591" s="61"/>
      <c r="W591" s="58"/>
      <c r="X591" s="188">
        <v>0</v>
      </c>
      <c r="Y591" s="188">
        <v>0</v>
      </c>
      <c r="Z591" s="128"/>
      <c r="AA591" s="128"/>
      <c r="AB591" s="128"/>
      <c r="AC591" s="188">
        <v>0</v>
      </c>
      <c r="AD591" s="188">
        <v>0</v>
      </c>
      <c r="AE591" s="61"/>
      <c r="AF591" s="65"/>
      <c r="AG591" s="58"/>
      <c r="AH591" s="188">
        <v>36389</v>
      </c>
      <c r="AI591" s="128"/>
      <c r="AJ591" s="128"/>
      <c r="AK591" s="128"/>
      <c r="AL591" s="128"/>
      <c r="AM591" s="188">
        <v>1416.14</v>
      </c>
      <c r="AN591" s="135"/>
      <c r="AO591" s="135"/>
      <c r="AP591" s="135"/>
    </row>
    <row r="592" spans="1:42" x14ac:dyDescent="0.25">
      <c r="A592" t="s">
        <v>106</v>
      </c>
      <c r="B592" t="s">
        <v>45</v>
      </c>
      <c r="C592" s="212" t="str">
        <f t="shared" si="9"/>
        <v>St. Lucie Probate</v>
      </c>
      <c r="D592" s="188">
        <v>95968.39</v>
      </c>
      <c r="E592" s="188">
        <v>95968.39</v>
      </c>
      <c r="F592" s="188">
        <v>95623.39</v>
      </c>
      <c r="G592" s="188">
        <v>95623.39</v>
      </c>
      <c r="H592" s="128"/>
      <c r="I592" s="188">
        <v>93597.39</v>
      </c>
      <c r="J592" s="188">
        <v>94291.39</v>
      </c>
      <c r="K592" s="188">
        <v>93946.39</v>
      </c>
      <c r="L592" s="188">
        <v>93946.39</v>
      </c>
      <c r="M592" s="70"/>
      <c r="N592" s="188">
        <v>108822</v>
      </c>
      <c r="O592" s="188">
        <v>108477</v>
      </c>
      <c r="P592" s="188">
        <v>108132</v>
      </c>
      <c r="Q592" s="128"/>
      <c r="R592" s="128"/>
      <c r="S592" s="188">
        <v>105807</v>
      </c>
      <c r="T592" s="188">
        <v>107581</v>
      </c>
      <c r="U592" s="188">
        <v>107581</v>
      </c>
      <c r="V592" s="61"/>
      <c r="W592" s="58"/>
      <c r="X592" s="188">
        <v>0</v>
      </c>
      <c r="Y592" s="188">
        <v>0</v>
      </c>
      <c r="Z592" s="128"/>
      <c r="AA592" s="128"/>
      <c r="AB592" s="128"/>
      <c r="AC592" s="188">
        <v>0</v>
      </c>
      <c r="AD592" s="188">
        <v>0</v>
      </c>
      <c r="AE592" s="61"/>
      <c r="AF592" s="65"/>
      <c r="AG592" s="58"/>
      <c r="AH592" s="188">
        <v>97071.81</v>
      </c>
      <c r="AI592" s="128"/>
      <c r="AJ592" s="128"/>
      <c r="AK592" s="128"/>
      <c r="AL592" s="128"/>
      <c r="AM592" s="188">
        <v>95854.81</v>
      </c>
      <c r="AN592" s="135"/>
      <c r="AO592" s="135"/>
      <c r="AP592" s="135"/>
    </row>
    <row r="593" spans="1:42" x14ac:dyDescent="0.25">
      <c r="A593" t="s">
        <v>107</v>
      </c>
      <c r="B593" t="s">
        <v>42</v>
      </c>
      <c r="C593" s="212" t="str">
        <f t="shared" si="9"/>
        <v>Sumter Circuit Civil</v>
      </c>
      <c r="D593" s="188">
        <v>111527.52</v>
      </c>
      <c r="E593" s="188">
        <v>111042.52</v>
      </c>
      <c r="F593" s="188">
        <v>111042.52</v>
      </c>
      <c r="G593" s="188">
        <v>111042.52</v>
      </c>
      <c r="H593" s="128"/>
      <c r="I593" s="188">
        <v>109676.52</v>
      </c>
      <c r="J593" s="188">
        <v>109721.52</v>
      </c>
      <c r="K593" s="188">
        <v>109721.52</v>
      </c>
      <c r="L593" s="188">
        <v>109891.52</v>
      </c>
      <c r="M593" s="70"/>
      <c r="N593" s="188">
        <v>85987.72</v>
      </c>
      <c r="O593" s="188">
        <v>85987.72</v>
      </c>
      <c r="P593" s="188">
        <v>85987.72</v>
      </c>
      <c r="Q593" s="128"/>
      <c r="R593" s="128"/>
      <c r="S593" s="188">
        <v>85110.02</v>
      </c>
      <c r="T593" s="188">
        <v>85210.02</v>
      </c>
      <c r="U593" s="188">
        <v>85210.02</v>
      </c>
      <c r="V593" s="61"/>
      <c r="W593" s="58"/>
      <c r="X593" s="188">
        <v>90913.36</v>
      </c>
      <c r="Y593" s="188">
        <v>90913.36</v>
      </c>
      <c r="Z593" s="128"/>
      <c r="AA593" s="128"/>
      <c r="AB593" s="128"/>
      <c r="AC593" s="188">
        <v>89223.360000000001</v>
      </c>
      <c r="AD593" s="188">
        <v>89778.36</v>
      </c>
      <c r="AE593" s="61"/>
      <c r="AF593" s="65"/>
      <c r="AG593" s="58"/>
      <c r="AH593" s="188">
        <v>118816.15</v>
      </c>
      <c r="AI593" s="128"/>
      <c r="AJ593" s="128"/>
      <c r="AK593" s="128"/>
      <c r="AL593" s="128"/>
      <c r="AM593" s="188">
        <v>113855.15</v>
      </c>
      <c r="AN593" s="135"/>
      <c r="AO593" s="135"/>
      <c r="AP593" s="135"/>
    </row>
    <row r="594" spans="1:42" x14ac:dyDescent="0.25">
      <c r="A594" t="s">
        <v>107</v>
      </c>
      <c r="B594" t="s">
        <v>38</v>
      </c>
      <c r="C594" s="212" t="str">
        <f t="shared" si="9"/>
        <v>Sumter Circuit Criminal</v>
      </c>
      <c r="D594" s="188">
        <v>319230.48</v>
      </c>
      <c r="E594" s="188">
        <v>319130.48</v>
      </c>
      <c r="F594" s="188">
        <v>318930.48</v>
      </c>
      <c r="G594" s="188">
        <v>318080.48</v>
      </c>
      <c r="H594" s="128"/>
      <c r="I594" s="188">
        <v>60282.84</v>
      </c>
      <c r="J594" s="188">
        <v>74959.22</v>
      </c>
      <c r="K594" s="188">
        <v>86868.05</v>
      </c>
      <c r="L594" s="188">
        <v>95295.64</v>
      </c>
      <c r="M594" s="70"/>
      <c r="N594" s="188">
        <v>244533.5</v>
      </c>
      <c r="O594" s="188">
        <v>243688.5</v>
      </c>
      <c r="P594" s="188">
        <v>243338.5</v>
      </c>
      <c r="Q594" s="128"/>
      <c r="R594" s="128"/>
      <c r="S594" s="188">
        <v>10450.5</v>
      </c>
      <c r="T594" s="188">
        <v>16784.11</v>
      </c>
      <c r="U594" s="188">
        <v>24407.759999999998</v>
      </c>
      <c r="V594" s="61"/>
      <c r="W594" s="58"/>
      <c r="X594" s="188">
        <v>166851.5</v>
      </c>
      <c r="Y594" s="188">
        <v>166056.5</v>
      </c>
      <c r="Z594" s="128"/>
      <c r="AA594" s="128"/>
      <c r="AB594" s="128"/>
      <c r="AC594" s="188">
        <v>5233.5600000000004</v>
      </c>
      <c r="AD594" s="188">
        <v>13691.02</v>
      </c>
      <c r="AE594" s="61"/>
      <c r="AF594" s="65"/>
      <c r="AG594" s="58"/>
      <c r="AH594" s="188">
        <v>203723.98</v>
      </c>
      <c r="AI594" s="128"/>
      <c r="AJ594" s="128"/>
      <c r="AK594" s="128"/>
      <c r="AL594" s="128"/>
      <c r="AM594" s="188">
        <v>8375.23</v>
      </c>
      <c r="AN594" s="135"/>
      <c r="AO594" s="135"/>
      <c r="AP594" s="135"/>
    </row>
    <row r="595" spans="1:42" x14ac:dyDescent="0.25">
      <c r="A595" t="s">
        <v>107</v>
      </c>
      <c r="B595" t="s">
        <v>265</v>
      </c>
      <c r="C595" s="212" t="str">
        <f t="shared" si="9"/>
        <v>Sumter Circuit Criminal Drug Cases</v>
      </c>
      <c r="D595" s="188">
        <v>0</v>
      </c>
      <c r="E595" s="188">
        <v>0</v>
      </c>
      <c r="F595" s="188">
        <v>0</v>
      </c>
      <c r="G595" s="188">
        <v>0</v>
      </c>
      <c r="H595" s="63"/>
      <c r="I595" s="188">
        <v>0</v>
      </c>
      <c r="J595" s="188">
        <v>0</v>
      </c>
      <c r="K595" s="188">
        <v>0</v>
      </c>
      <c r="L595" s="188">
        <v>0</v>
      </c>
      <c r="N595" s="188">
        <v>0</v>
      </c>
      <c r="O595" s="188">
        <v>0</v>
      </c>
      <c r="P595" s="188">
        <v>0</v>
      </c>
      <c r="Q595" s="63"/>
      <c r="R595" s="63"/>
      <c r="S595" s="188">
        <v>0</v>
      </c>
      <c r="T595" s="188">
        <v>0</v>
      </c>
      <c r="U595" s="188">
        <v>0</v>
      </c>
      <c r="X595" s="188">
        <v>0</v>
      </c>
      <c r="Y595" s="188">
        <v>0</v>
      </c>
      <c r="Z595" s="63"/>
      <c r="AB595" s="63"/>
      <c r="AC595" s="188">
        <v>0</v>
      </c>
      <c r="AD595" s="188">
        <v>0</v>
      </c>
      <c r="AH595" s="188">
        <v>0</v>
      </c>
      <c r="AI595" s="63"/>
      <c r="AL595" s="63"/>
      <c r="AM595" s="188">
        <v>0</v>
      </c>
    </row>
    <row r="596" spans="1:42" x14ac:dyDescent="0.25">
      <c r="A596" t="s">
        <v>107</v>
      </c>
      <c r="B596" t="s">
        <v>44</v>
      </c>
      <c r="C596" s="212" t="str">
        <f t="shared" si="9"/>
        <v>Sumter Civil Traffic</v>
      </c>
      <c r="D596" s="188">
        <v>519454.92</v>
      </c>
      <c r="E596" s="188">
        <v>506183.92</v>
      </c>
      <c r="F596" s="188">
        <v>505763.92</v>
      </c>
      <c r="G596" s="188">
        <v>505763.92</v>
      </c>
      <c r="H596" s="128"/>
      <c r="I596" s="188">
        <v>267138.92</v>
      </c>
      <c r="J596" s="188">
        <v>447380.42</v>
      </c>
      <c r="K596" s="188">
        <v>466001.42</v>
      </c>
      <c r="L596" s="188">
        <v>470176.42</v>
      </c>
      <c r="N596" s="188">
        <v>452261.27</v>
      </c>
      <c r="O596" s="188">
        <v>435547.52</v>
      </c>
      <c r="P596" s="188">
        <v>434171.52</v>
      </c>
      <c r="Q596" s="128"/>
      <c r="R596" s="128"/>
      <c r="S596" s="188">
        <v>244838.27</v>
      </c>
      <c r="T596" s="188">
        <v>384788.02</v>
      </c>
      <c r="U596" s="188">
        <v>397692.52</v>
      </c>
      <c r="X596" s="188">
        <v>516305.87</v>
      </c>
      <c r="Y596" s="188">
        <v>501877.37</v>
      </c>
      <c r="Z596" s="128"/>
      <c r="AA596" s="128"/>
      <c r="AB596" s="128"/>
      <c r="AC596" s="188">
        <v>268890.37</v>
      </c>
      <c r="AD596" s="188">
        <v>440230.87</v>
      </c>
      <c r="AH596" s="188">
        <v>619623.25</v>
      </c>
      <c r="AI596" s="128"/>
      <c r="AJ596" s="128"/>
      <c r="AK596" s="128"/>
      <c r="AL596" s="128"/>
      <c r="AM596" s="188">
        <v>325440.25</v>
      </c>
      <c r="AN596" s="135"/>
      <c r="AO596" s="135"/>
      <c r="AP596" s="135"/>
    </row>
    <row r="597" spans="1:42" x14ac:dyDescent="0.25">
      <c r="A597" t="s">
        <v>107</v>
      </c>
      <c r="B597" t="s">
        <v>43</v>
      </c>
      <c r="C597" s="212" t="str">
        <f t="shared" si="9"/>
        <v>Sumter County Civil</v>
      </c>
      <c r="D597" s="188">
        <v>31294.22</v>
      </c>
      <c r="E597" s="188">
        <v>31294.22</v>
      </c>
      <c r="F597" s="188">
        <v>31294.22</v>
      </c>
      <c r="G597" s="188">
        <v>31294.22</v>
      </c>
      <c r="H597" s="128"/>
      <c r="I597" s="188">
        <v>30954.22</v>
      </c>
      <c r="J597" s="188">
        <v>31124.22</v>
      </c>
      <c r="K597" s="188">
        <v>31209.22</v>
      </c>
      <c r="L597" s="188">
        <v>31209.22</v>
      </c>
      <c r="M597" s="58"/>
      <c r="N597" s="188">
        <v>35342.17</v>
      </c>
      <c r="O597" s="188">
        <v>35342.17</v>
      </c>
      <c r="P597" s="188">
        <v>35342.17</v>
      </c>
      <c r="Q597" s="128"/>
      <c r="R597" s="128"/>
      <c r="S597" s="188">
        <v>34849.17</v>
      </c>
      <c r="T597" s="188">
        <v>35244.17</v>
      </c>
      <c r="U597" s="188">
        <v>35244.17</v>
      </c>
      <c r="V597" s="65"/>
      <c r="W597" s="58"/>
      <c r="X597" s="188">
        <v>38337.18</v>
      </c>
      <c r="Y597" s="188">
        <v>38337.18</v>
      </c>
      <c r="Z597" s="128"/>
      <c r="AA597" s="128"/>
      <c r="AB597" s="128"/>
      <c r="AC597" s="188">
        <v>37887.18</v>
      </c>
      <c r="AD597" s="188">
        <v>38337.18</v>
      </c>
      <c r="AE597" s="65"/>
      <c r="AF597" s="65"/>
      <c r="AG597" s="65"/>
      <c r="AH597" s="188">
        <v>37828.400000000001</v>
      </c>
      <c r="AI597" s="128"/>
      <c r="AJ597" s="128"/>
      <c r="AK597" s="128"/>
      <c r="AL597" s="128"/>
      <c r="AM597" s="188">
        <v>36792.400000000001</v>
      </c>
      <c r="AN597" s="135"/>
      <c r="AO597" s="135"/>
      <c r="AP597" s="135"/>
    </row>
    <row r="598" spans="1:42" x14ac:dyDescent="0.25">
      <c r="A598" t="s">
        <v>107</v>
      </c>
      <c r="B598" t="s">
        <v>39</v>
      </c>
      <c r="C598" s="212" t="str">
        <f t="shared" si="9"/>
        <v>Sumter County Criminal</v>
      </c>
      <c r="D598" s="188">
        <v>77509.41</v>
      </c>
      <c r="E598" s="188">
        <v>77384.41</v>
      </c>
      <c r="F598" s="188">
        <v>76964.41</v>
      </c>
      <c r="G598" s="188">
        <v>76964.41</v>
      </c>
      <c r="H598" s="128"/>
      <c r="I598" s="188">
        <v>16139.54</v>
      </c>
      <c r="J598" s="188">
        <v>35679.129999999997</v>
      </c>
      <c r="K598" s="188">
        <v>39311.019999999997</v>
      </c>
      <c r="L598" s="188">
        <v>41358.879999999997</v>
      </c>
      <c r="M598" s="58"/>
      <c r="N598" s="188">
        <v>82684.75</v>
      </c>
      <c r="O598" s="188">
        <v>82634.75</v>
      </c>
      <c r="P598" s="188">
        <v>81879.75</v>
      </c>
      <c r="Q598" s="128"/>
      <c r="R598" s="128"/>
      <c r="S598" s="188">
        <v>15752.13</v>
      </c>
      <c r="T598" s="188">
        <v>27527.22</v>
      </c>
      <c r="U598" s="188">
        <v>33302.58</v>
      </c>
      <c r="V598" s="65"/>
      <c r="W598" s="58"/>
      <c r="X598" s="188">
        <v>85976.75</v>
      </c>
      <c r="Y598" s="188">
        <v>85713.75</v>
      </c>
      <c r="Z598" s="128"/>
      <c r="AA598" s="128"/>
      <c r="AB598" s="128"/>
      <c r="AC598" s="188">
        <v>31535.759999999998</v>
      </c>
      <c r="AD598" s="188">
        <v>41560.51</v>
      </c>
      <c r="AE598" s="65"/>
      <c r="AF598" s="65"/>
      <c r="AG598" s="65"/>
      <c r="AH598" s="188">
        <v>65022.45</v>
      </c>
      <c r="AI598" s="128"/>
      <c r="AJ598" s="128"/>
      <c r="AK598" s="128"/>
      <c r="AL598" s="128"/>
      <c r="AM598" s="188">
        <v>15423.29</v>
      </c>
      <c r="AN598" s="135"/>
      <c r="AO598" s="135"/>
      <c r="AP598" s="135"/>
    </row>
    <row r="599" spans="1:42" x14ac:dyDescent="0.25">
      <c r="A599" t="s">
        <v>107</v>
      </c>
      <c r="B599" t="s">
        <v>41</v>
      </c>
      <c r="C599" s="212" t="str">
        <f t="shared" si="9"/>
        <v>Sumter Criminal Traffic</v>
      </c>
      <c r="D599" s="188">
        <v>141158.70000000001</v>
      </c>
      <c r="E599" s="188">
        <v>141133.70000000001</v>
      </c>
      <c r="F599" s="188">
        <v>141058.70000000001</v>
      </c>
      <c r="G599" s="188">
        <v>141058.70000000001</v>
      </c>
      <c r="H599" s="128"/>
      <c r="I599" s="188">
        <v>67748.320000000007</v>
      </c>
      <c r="J599" s="188">
        <v>94578.84</v>
      </c>
      <c r="K599" s="188">
        <v>102502.94</v>
      </c>
      <c r="L599" s="188">
        <v>105857.22</v>
      </c>
      <c r="M599" s="58"/>
      <c r="N599" s="188">
        <v>146802.82999999999</v>
      </c>
      <c r="O599" s="188">
        <v>146704.82999999999</v>
      </c>
      <c r="P599" s="188">
        <v>146704.82999999999</v>
      </c>
      <c r="Q599" s="128"/>
      <c r="R599" s="128"/>
      <c r="S599" s="188">
        <v>69073.600000000006</v>
      </c>
      <c r="T599" s="188">
        <v>94567.54</v>
      </c>
      <c r="U599" s="188">
        <v>103780.75</v>
      </c>
      <c r="V599" s="65"/>
      <c r="W599" s="58"/>
      <c r="X599" s="188">
        <v>146325.87</v>
      </c>
      <c r="Y599" s="188">
        <v>146325.87</v>
      </c>
      <c r="Z599" s="128"/>
      <c r="AA599" s="128"/>
      <c r="AB599" s="128"/>
      <c r="AC599" s="188">
        <v>63776.54</v>
      </c>
      <c r="AD599" s="188">
        <v>94599.63</v>
      </c>
      <c r="AE599" s="65"/>
      <c r="AF599" s="65"/>
      <c r="AG599" s="65"/>
      <c r="AH599" s="188">
        <v>126968.37</v>
      </c>
      <c r="AI599" s="128"/>
      <c r="AJ599" s="128"/>
      <c r="AK599" s="128"/>
      <c r="AL599" s="128"/>
      <c r="AM599" s="188">
        <v>59992.81</v>
      </c>
      <c r="AN599" s="135"/>
      <c r="AO599" s="135"/>
      <c r="AP599" s="135"/>
    </row>
    <row r="600" spans="1:42" x14ac:dyDescent="0.25">
      <c r="A600" t="s">
        <v>107</v>
      </c>
      <c r="B600" t="s">
        <v>46</v>
      </c>
      <c r="C600" s="212" t="str">
        <f t="shared" si="9"/>
        <v>Sumter Family</v>
      </c>
      <c r="D600" s="188">
        <v>26204.25</v>
      </c>
      <c r="E600" s="188">
        <v>26204.25</v>
      </c>
      <c r="F600" s="188">
        <v>26204.25</v>
      </c>
      <c r="G600" s="188">
        <v>26204.25</v>
      </c>
      <c r="H600" s="128"/>
      <c r="I600" s="188">
        <v>24703.05</v>
      </c>
      <c r="J600" s="188">
        <v>24998.05</v>
      </c>
      <c r="K600" s="188">
        <v>25058.05</v>
      </c>
      <c r="L600" s="188">
        <v>25108.05</v>
      </c>
      <c r="M600" s="58"/>
      <c r="N600" s="188">
        <v>30303.599999999999</v>
      </c>
      <c r="O600" s="188">
        <v>30303.599999999999</v>
      </c>
      <c r="P600" s="188">
        <v>30303.599999999999</v>
      </c>
      <c r="Q600" s="128"/>
      <c r="R600" s="128"/>
      <c r="S600" s="188">
        <v>28633.200000000001</v>
      </c>
      <c r="T600" s="188">
        <v>29498.2</v>
      </c>
      <c r="U600" s="188">
        <v>29498.2</v>
      </c>
      <c r="V600" s="65"/>
      <c r="W600" s="58"/>
      <c r="X600" s="188">
        <v>33791.56</v>
      </c>
      <c r="Y600" s="188">
        <v>33344.06</v>
      </c>
      <c r="Z600" s="128"/>
      <c r="AA600" s="128"/>
      <c r="AB600" s="128"/>
      <c r="AC600" s="188">
        <v>31630.81</v>
      </c>
      <c r="AD600" s="188">
        <v>32386.560000000001</v>
      </c>
      <c r="AE600" s="65"/>
      <c r="AF600" s="65"/>
      <c r="AG600" s="65"/>
      <c r="AH600" s="188">
        <v>26896.6</v>
      </c>
      <c r="AI600" s="128"/>
      <c r="AJ600" s="128"/>
      <c r="AK600" s="128"/>
      <c r="AL600" s="128"/>
      <c r="AM600" s="188">
        <v>25604.1</v>
      </c>
      <c r="AN600" s="135"/>
      <c r="AO600" s="135"/>
      <c r="AP600" s="135"/>
    </row>
    <row r="601" spans="1:42" x14ac:dyDescent="0.25">
      <c r="A601" t="s">
        <v>107</v>
      </c>
      <c r="B601" t="s">
        <v>40</v>
      </c>
      <c r="C601" s="212" t="str">
        <f t="shared" si="9"/>
        <v>Sumter Juvenile Delinquency</v>
      </c>
      <c r="D601" s="188">
        <v>542.5</v>
      </c>
      <c r="E601" s="188">
        <v>542.5</v>
      </c>
      <c r="F601" s="188">
        <v>542.5</v>
      </c>
      <c r="G601" s="188">
        <v>542.5</v>
      </c>
      <c r="H601" s="128"/>
      <c r="I601" s="188">
        <v>76.5</v>
      </c>
      <c r="J601" s="188">
        <v>384.5</v>
      </c>
      <c r="K601" s="188">
        <v>474.5</v>
      </c>
      <c r="L601" s="188">
        <v>492.5</v>
      </c>
      <c r="M601" s="58"/>
      <c r="N601" s="188">
        <v>1571.5</v>
      </c>
      <c r="O601" s="188">
        <v>1571.5</v>
      </c>
      <c r="P601" s="188">
        <v>1571.5</v>
      </c>
      <c r="Q601" s="128"/>
      <c r="R601" s="128"/>
      <c r="S601" s="188">
        <v>763.5</v>
      </c>
      <c r="T601" s="188">
        <v>1352.5</v>
      </c>
      <c r="U601" s="188">
        <v>1367.5</v>
      </c>
      <c r="V601" s="65"/>
      <c r="W601" s="58"/>
      <c r="X601" s="188">
        <v>4023.5</v>
      </c>
      <c r="Y601" s="188">
        <v>4023.5</v>
      </c>
      <c r="Z601" s="128"/>
      <c r="AA601" s="128"/>
      <c r="AB601" s="128"/>
      <c r="AC601" s="188">
        <v>586.49</v>
      </c>
      <c r="AD601" s="188">
        <v>1008.83</v>
      </c>
      <c r="AE601" s="65"/>
      <c r="AF601" s="65"/>
      <c r="AG601" s="65"/>
      <c r="AH601" s="188">
        <v>1288</v>
      </c>
      <c r="AI601" s="128"/>
      <c r="AJ601" s="128"/>
      <c r="AK601" s="128"/>
      <c r="AL601" s="128"/>
      <c r="AM601" s="188">
        <v>281</v>
      </c>
      <c r="AN601" s="135"/>
      <c r="AO601" s="135"/>
      <c r="AP601" s="135"/>
    </row>
    <row r="602" spans="1:42" x14ac:dyDescent="0.25">
      <c r="A602" t="s">
        <v>107</v>
      </c>
      <c r="B602" t="s">
        <v>45</v>
      </c>
      <c r="C602" s="212" t="str">
        <f t="shared" si="9"/>
        <v>Sumter Probate</v>
      </c>
      <c r="D602" s="188">
        <v>34902</v>
      </c>
      <c r="E602" s="188">
        <v>34902</v>
      </c>
      <c r="F602" s="188">
        <v>34902</v>
      </c>
      <c r="G602" s="188">
        <v>34902</v>
      </c>
      <c r="H602" s="128"/>
      <c r="I602" s="188">
        <v>34606</v>
      </c>
      <c r="J602" s="188">
        <v>34902</v>
      </c>
      <c r="K602" s="188">
        <v>34902</v>
      </c>
      <c r="L602" s="188">
        <v>34902</v>
      </c>
      <c r="M602" s="58"/>
      <c r="N602" s="188">
        <v>43147.5</v>
      </c>
      <c r="O602" s="188">
        <v>43147.5</v>
      </c>
      <c r="P602" s="188">
        <v>43147.5</v>
      </c>
      <c r="Q602" s="128"/>
      <c r="R602" s="128"/>
      <c r="S602" s="188">
        <v>41441.5</v>
      </c>
      <c r="T602" s="188">
        <v>43097.5</v>
      </c>
      <c r="U602" s="188">
        <v>43097.5</v>
      </c>
      <c r="V602" s="65"/>
      <c r="W602" s="58"/>
      <c r="X602" s="188">
        <v>46790</v>
      </c>
      <c r="Y602" s="188">
        <v>46790</v>
      </c>
      <c r="Z602" s="128"/>
      <c r="AA602" s="128"/>
      <c r="AB602" s="128"/>
      <c r="AC602" s="188">
        <v>46296</v>
      </c>
      <c r="AD602" s="188">
        <v>46771</v>
      </c>
      <c r="AE602" s="65"/>
      <c r="AF602" s="65"/>
      <c r="AG602" s="65"/>
      <c r="AH602" s="188">
        <v>36491.03</v>
      </c>
      <c r="AI602" s="128"/>
      <c r="AJ602" s="128"/>
      <c r="AK602" s="128"/>
      <c r="AL602" s="128"/>
      <c r="AM602" s="188">
        <v>34841.03</v>
      </c>
      <c r="AN602" s="135"/>
      <c r="AO602" s="135"/>
      <c r="AP602" s="135"/>
    </row>
    <row r="603" spans="1:42" x14ac:dyDescent="0.25">
      <c r="A603" t="s">
        <v>108</v>
      </c>
      <c r="B603" t="s">
        <v>42</v>
      </c>
      <c r="C603" s="212" t="str">
        <f t="shared" si="9"/>
        <v>Suwannee Circuit Civil</v>
      </c>
      <c r="D603" s="188">
        <v>41250</v>
      </c>
      <c r="E603" s="188">
        <v>40850</v>
      </c>
      <c r="F603" s="188">
        <v>39945</v>
      </c>
      <c r="G603" s="188">
        <v>39945</v>
      </c>
      <c r="H603" s="128"/>
      <c r="I603" s="188">
        <v>39250</v>
      </c>
      <c r="J603" s="188">
        <v>39250</v>
      </c>
      <c r="K603" s="188">
        <v>39250</v>
      </c>
      <c r="L603" s="188">
        <v>39250</v>
      </c>
      <c r="M603" s="58"/>
      <c r="N603" s="188">
        <v>38549</v>
      </c>
      <c r="O603" s="188">
        <v>38549</v>
      </c>
      <c r="P603" s="188">
        <v>38549</v>
      </c>
      <c r="Q603" s="128"/>
      <c r="R603" s="128"/>
      <c r="S603" s="188">
        <v>36149</v>
      </c>
      <c r="T603" s="188">
        <v>36149</v>
      </c>
      <c r="U603" s="188">
        <v>36149</v>
      </c>
      <c r="V603" s="65"/>
      <c r="W603" s="58"/>
      <c r="X603" s="188">
        <v>45405.5</v>
      </c>
      <c r="Y603" s="188">
        <v>45005.5</v>
      </c>
      <c r="Z603" s="128"/>
      <c r="AA603" s="128"/>
      <c r="AB603" s="128"/>
      <c r="AC603" s="188">
        <v>41320.5</v>
      </c>
      <c r="AD603" s="188">
        <v>41805.5</v>
      </c>
      <c r="AE603" s="65"/>
      <c r="AF603" s="65"/>
      <c r="AG603" s="65"/>
      <c r="AH603" s="188">
        <v>39335</v>
      </c>
      <c r="AI603" s="128"/>
      <c r="AJ603" s="128"/>
      <c r="AK603" s="128"/>
      <c r="AL603" s="128"/>
      <c r="AM603" s="188">
        <v>36535</v>
      </c>
      <c r="AN603" s="135"/>
      <c r="AO603" s="135"/>
      <c r="AP603" s="135"/>
    </row>
    <row r="604" spans="1:42" x14ac:dyDescent="0.25">
      <c r="A604" t="s">
        <v>108</v>
      </c>
      <c r="B604" t="s">
        <v>38</v>
      </c>
      <c r="C604" s="212" t="str">
        <f t="shared" si="9"/>
        <v>Suwannee Circuit Criminal</v>
      </c>
      <c r="D604" s="188">
        <v>144239.10999999999</v>
      </c>
      <c r="E604" s="188">
        <v>144239.10999999999</v>
      </c>
      <c r="F604" s="188">
        <v>144239.10999999999</v>
      </c>
      <c r="G604" s="188">
        <v>144239.10999999999</v>
      </c>
      <c r="H604" s="128"/>
      <c r="I604" s="188">
        <v>4471.8100000000004</v>
      </c>
      <c r="J604" s="188">
        <v>8373.76</v>
      </c>
      <c r="K604" s="188">
        <v>10233.629999999999</v>
      </c>
      <c r="L604" s="188">
        <v>11870.15</v>
      </c>
      <c r="M604" s="58"/>
      <c r="N604" s="188">
        <v>523836.77</v>
      </c>
      <c r="O604" s="188">
        <v>523836.77</v>
      </c>
      <c r="P604" s="188">
        <v>523836.77</v>
      </c>
      <c r="Q604" s="128"/>
      <c r="R604" s="128"/>
      <c r="S604" s="188">
        <v>7948.73</v>
      </c>
      <c r="T604" s="188">
        <v>13629.99</v>
      </c>
      <c r="U604" s="188">
        <v>19410.14</v>
      </c>
      <c r="V604" s="65"/>
      <c r="W604" s="58"/>
      <c r="X604" s="188">
        <v>199461.2</v>
      </c>
      <c r="Y604" s="188">
        <v>199461.2</v>
      </c>
      <c r="Z604" s="128"/>
      <c r="AA604" s="128"/>
      <c r="AB604" s="128"/>
      <c r="AC604" s="188">
        <v>2402.7399999999998</v>
      </c>
      <c r="AD604" s="188">
        <v>8274.86</v>
      </c>
      <c r="AE604" s="65"/>
      <c r="AF604" s="65"/>
      <c r="AG604" s="65"/>
      <c r="AH604" s="188">
        <v>192032.29</v>
      </c>
      <c r="AI604" s="128"/>
      <c r="AJ604" s="128"/>
      <c r="AK604" s="128"/>
      <c r="AL604" s="128"/>
      <c r="AM604" s="188">
        <v>5733.13</v>
      </c>
      <c r="AN604" s="135"/>
      <c r="AO604" s="135"/>
      <c r="AP604" s="135"/>
    </row>
    <row r="605" spans="1:42" x14ac:dyDescent="0.25">
      <c r="A605" t="s">
        <v>108</v>
      </c>
      <c r="B605" t="s">
        <v>265</v>
      </c>
      <c r="C605" s="212" t="str">
        <f t="shared" si="9"/>
        <v>Suwannee Circuit Criminal Drug Cases</v>
      </c>
      <c r="D605" s="188">
        <v>0</v>
      </c>
      <c r="E605" s="188">
        <v>0</v>
      </c>
      <c r="F605" s="188">
        <v>0</v>
      </c>
      <c r="G605" s="188">
        <v>0</v>
      </c>
      <c r="H605" s="63"/>
      <c r="I605" s="188">
        <v>0</v>
      </c>
      <c r="J605" s="188">
        <v>0</v>
      </c>
      <c r="K605" s="188">
        <v>0</v>
      </c>
      <c r="L605" s="188">
        <v>0</v>
      </c>
      <c r="M605" s="56"/>
      <c r="N605" s="188">
        <v>324787</v>
      </c>
      <c r="O605" s="188">
        <v>324787</v>
      </c>
      <c r="P605" s="188">
        <v>324787</v>
      </c>
      <c r="Q605" s="63"/>
      <c r="R605" s="63"/>
      <c r="S605" s="188">
        <v>0</v>
      </c>
      <c r="T605" s="188">
        <v>0</v>
      </c>
      <c r="U605" s="188">
        <v>0</v>
      </c>
      <c r="V605" s="63"/>
      <c r="X605" s="188">
        <v>0</v>
      </c>
      <c r="Y605" s="188">
        <v>0</v>
      </c>
      <c r="Z605" s="63"/>
      <c r="AB605" s="63"/>
      <c r="AC605" s="188">
        <v>0</v>
      </c>
      <c r="AD605" s="188">
        <v>0</v>
      </c>
      <c r="AE605" s="63"/>
      <c r="AG605" s="63"/>
      <c r="AH605" s="188">
        <v>54338.37</v>
      </c>
      <c r="AI605" s="63"/>
      <c r="AL605" s="63"/>
      <c r="AM605" s="188">
        <v>0</v>
      </c>
    </row>
    <row r="606" spans="1:42" x14ac:dyDescent="0.25">
      <c r="A606" t="s">
        <v>108</v>
      </c>
      <c r="B606" t="s">
        <v>44</v>
      </c>
      <c r="C606" s="212" t="str">
        <f t="shared" si="9"/>
        <v>Suwannee Civil Traffic</v>
      </c>
      <c r="D606" s="188">
        <v>129920.48</v>
      </c>
      <c r="E606" s="188">
        <v>127204.73</v>
      </c>
      <c r="F606" s="188">
        <v>126636.73</v>
      </c>
      <c r="G606" s="188">
        <v>126613.73</v>
      </c>
      <c r="H606" s="125"/>
      <c r="I606" s="188">
        <v>58835.68</v>
      </c>
      <c r="J606" s="188">
        <v>105114.43</v>
      </c>
      <c r="K606" s="188">
        <v>113318.45</v>
      </c>
      <c r="L606" s="188">
        <v>114267.7</v>
      </c>
      <c r="M606" s="70"/>
      <c r="N606" s="188">
        <v>153545.5</v>
      </c>
      <c r="O606" s="188">
        <v>145150</v>
      </c>
      <c r="P606" s="188">
        <v>145150</v>
      </c>
      <c r="Q606" s="129"/>
      <c r="R606" s="67"/>
      <c r="S606" s="188">
        <v>67550.75</v>
      </c>
      <c r="T606" s="188">
        <v>110482.52</v>
      </c>
      <c r="U606" s="188">
        <v>123530.22</v>
      </c>
      <c r="V606" s="61"/>
      <c r="W606" s="58"/>
      <c r="X606" s="188">
        <v>230770.23</v>
      </c>
      <c r="Y606" s="188">
        <v>228002.63</v>
      </c>
      <c r="Z606" s="129"/>
      <c r="AA606" s="128"/>
      <c r="AB606" s="67"/>
      <c r="AC606" s="188">
        <v>94137.23</v>
      </c>
      <c r="AD606" s="188">
        <v>173071.83</v>
      </c>
      <c r="AE606" s="61"/>
      <c r="AF606" s="65"/>
      <c r="AG606" s="58"/>
      <c r="AH606" s="188">
        <v>191454.15</v>
      </c>
      <c r="AI606" s="129"/>
      <c r="AJ606" s="128"/>
      <c r="AK606" s="128"/>
      <c r="AL606" s="67"/>
      <c r="AM606" s="188">
        <v>96622.15</v>
      </c>
      <c r="AN606" s="135"/>
      <c r="AO606" s="135"/>
      <c r="AP606" s="135"/>
    </row>
    <row r="607" spans="1:42" x14ac:dyDescent="0.25">
      <c r="A607" t="s">
        <v>108</v>
      </c>
      <c r="B607" t="s">
        <v>43</v>
      </c>
      <c r="C607" s="212" t="str">
        <f t="shared" si="9"/>
        <v>Suwannee County Civil</v>
      </c>
      <c r="D607" s="188">
        <v>27731</v>
      </c>
      <c r="E607" s="188">
        <v>27731</v>
      </c>
      <c r="F607" s="188">
        <v>27731</v>
      </c>
      <c r="G607" s="188">
        <v>27731</v>
      </c>
      <c r="H607" s="236"/>
      <c r="I607" s="188">
        <v>26355</v>
      </c>
      <c r="J607" s="188">
        <v>26355</v>
      </c>
      <c r="K607" s="188">
        <v>26355</v>
      </c>
      <c r="L607" s="188">
        <v>26355</v>
      </c>
      <c r="M607" s="70"/>
      <c r="N607" s="188">
        <v>27522</v>
      </c>
      <c r="O607" s="188">
        <v>26967</v>
      </c>
      <c r="P607" s="188">
        <v>26967</v>
      </c>
      <c r="Q607" s="125"/>
      <c r="R607" s="125"/>
      <c r="S607" s="188">
        <v>26967</v>
      </c>
      <c r="T607" s="188">
        <v>26967</v>
      </c>
      <c r="U607" s="188">
        <v>26967</v>
      </c>
      <c r="V607" s="70"/>
      <c r="W607" s="240"/>
      <c r="X607" s="188">
        <v>32350</v>
      </c>
      <c r="Y607" s="188">
        <v>32350</v>
      </c>
      <c r="Z607" s="125"/>
      <c r="AA607" s="242"/>
      <c r="AB607" s="236"/>
      <c r="AC607" s="188">
        <v>31370</v>
      </c>
      <c r="AD607" s="188">
        <v>31970</v>
      </c>
      <c r="AE607" s="240"/>
      <c r="AF607" s="245"/>
      <c r="AG607" s="70"/>
      <c r="AH607" s="188">
        <v>23515</v>
      </c>
      <c r="AI607" s="242"/>
      <c r="AJ607" s="128"/>
      <c r="AK607" s="128"/>
      <c r="AL607" s="67"/>
      <c r="AM607" s="188">
        <v>22235</v>
      </c>
      <c r="AN607" s="135"/>
      <c r="AO607" s="135"/>
      <c r="AP607" s="135"/>
    </row>
    <row r="608" spans="1:42" x14ac:dyDescent="0.25">
      <c r="A608" t="s">
        <v>108</v>
      </c>
      <c r="B608" t="s">
        <v>39</v>
      </c>
      <c r="C608" s="212" t="str">
        <f t="shared" si="9"/>
        <v>Suwannee County Criminal</v>
      </c>
      <c r="D608" s="188">
        <v>42221.1</v>
      </c>
      <c r="E608" s="188">
        <v>42221.1</v>
      </c>
      <c r="F608" s="188">
        <v>42221.1</v>
      </c>
      <c r="G608" s="188">
        <v>42221.1</v>
      </c>
      <c r="H608" s="125"/>
      <c r="I608" s="188">
        <v>4177.6000000000004</v>
      </c>
      <c r="J608" s="188">
        <v>10795.6</v>
      </c>
      <c r="K608" s="188">
        <v>17088.599999999999</v>
      </c>
      <c r="L608" s="188">
        <v>18939.5</v>
      </c>
      <c r="M608" s="70"/>
      <c r="N608" s="188">
        <v>40995.81</v>
      </c>
      <c r="O608" s="188">
        <v>39750.81</v>
      </c>
      <c r="P608" s="188">
        <v>39750.81</v>
      </c>
      <c r="Q608" s="129"/>
      <c r="R608" s="67"/>
      <c r="S608" s="188">
        <v>8522.5</v>
      </c>
      <c r="T608" s="188">
        <v>11886.5</v>
      </c>
      <c r="U608" s="188">
        <v>21612.5</v>
      </c>
      <c r="V608" s="61"/>
      <c r="W608" s="58"/>
      <c r="X608" s="188">
        <v>29008.44</v>
      </c>
      <c r="Y608" s="188">
        <v>27685.439999999999</v>
      </c>
      <c r="Z608" s="129"/>
      <c r="AA608" s="128"/>
      <c r="AB608" s="67"/>
      <c r="AC608" s="188">
        <v>6565.44</v>
      </c>
      <c r="AD608" s="188">
        <v>11056.44</v>
      </c>
      <c r="AE608" s="61"/>
      <c r="AF608" s="65"/>
      <c r="AG608" s="58"/>
      <c r="AH608" s="188">
        <v>42154.559999999998</v>
      </c>
      <c r="AI608" s="129"/>
      <c r="AJ608" s="128"/>
      <c r="AK608" s="128"/>
      <c r="AL608" s="67"/>
      <c r="AM608" s="188">
        <v>7431.56</v>
      </c>
      <c r="AN608" s="135"/>
      <c r="AO608" s="135"/>
      <c r="AP608" s="135"/>
    </row>
    <row r="609" spans="1:42" x14ac:dyDescent="0.25">
      <c r="A609" t="s">
        <v>108</v>
      </c>
      <c r="B609" t="s">
        <v>41</v>
      </c>
      <c r="C609" s="212" t="str">
        <f t="shared" si="9"/>
        <v>Suwannee Criminal Traffic</v>
      </c>
      <c r="D609" s="188">
        <v>62470</v>
      </c>
      <c r="E609" s="188">
        <v>61972</v>
      </c>
      <c r="F609" s="188">
        <v>59714.32</v>
      </c>
      <c r="G609" s="188">
        <v>59714.32</v>
      </c>
      <c r="H609" s="125"/>
      <c r="I609" s="188">
        <v>15949.1</v>
      </c>
      <c r="J609" s="188">
        <v>28798.1</v>
      </c>
      <c r="K609" s="188">
        <v>38128.42</v>
      </c>
      <c r="L609" s="188">
        <v>40656.14</v>
      </c>
      <c r="M609" s="70"/>
      <c r="N609" s="188">
        <v>75208</v>
      </c>
      <c r="O609" s="188">
        <v>75208</v>
      </c>
      <c r="P609" s="188">
        <v>75208</v>
      </c>
      <c r="Q609" s="129"/>
      <c r="R609" s="67"/>
      <c r="S609" s="188">
        <v>17477</v>
      </c>
      <c r="T609" s="188">
        <v>26965</v>
      </c>
      <c r="U609" s="188">
        <v>40906</v>
      </c>
      <c r="V609" s="61"/>
      <c r="W609" s="58"/>
      <c r="X609" s="188">
        <v>68336.899999999994</v>
      </c>
      <c r="Y609" s="188">
        <v>67626.19</v>
      </c>
      <c r="Z609" s="129"/>
      <c r="AA609" s="128"/>
      <c r="AB609" s="67"/>
      <c r="AC609" s="188">
        <v>19095</v>
      </c>
      <c r="AD609" s="188">
        <v>32340.19</v>
      </c>
      <c r="AE609" s="61"/>
      <c r="AF609" s="65"/>
      <c r="AG609" s="58"/>
      <c r="AH609" s="188">
        <v>70160</v>
      </c>
      <c r="AI609" s="129"/>
      <c r="AJ609" s="128"/>
      <c r="AK609" s="128"/>
      <c r="AL609" s="67"/>
      <c r="AM609" s="188">
        <v>13364</v>
      </c>
      <c r="AN609" s="135"/>
      <c r="AO609" s="135"/>
      <c r="AP609" s="135"/>
    </row>
    <row r="610" spans="1:42" x14ac:dyDescent="0.25">
      <c r="A610" t="s">
        <v>108</v>
      </c>
      <c r="B610" t="s">
        <v>46</v>
      </c>
      <c r="C610" s="212" t="str">
        <f t="shared" si="9"/>
        <v>Suwannee Family</v>
      </c>
      <c r="D610" s="188">
        <v>16168</v>
      </c>
      <c r="E610" s="188">
        <v>16168</v>
      </c>
      <c r="F610" s="188">
        <v>16168</v>
      </c>
      <c r="G610" s="188">
        <v>16168</v>
      </c>
      <c r="H610" s="125"/>
      <c r="I610" s="188">
        <v>15296</v>
      </c>
      <c r="J610" s="188">
        <v>15296</v>
      </c>
      <c r="K610" s="188">
        <v>15296</v>
      </c>
      <c r="L610" s="188">
        <v>15296</v>
      </c>
      <c r="M610" s="70"/>
      <c r="N610" s="188">
        <v>25328.5</v>
      </c>
      <c r="O610" s="188">
        <v>24468.5</v>
      </c>
      <c r="P610" s="188">
        <v>24468.5</v>
      </c>
      <c r="Q610" s="129"/>
      <c r="R610" s="67"/>
      <c r="S610" s="188">
        <v>24476.5</v>
      </c>
      <c r="T610" s="188">
        <v>24476.5</v>
      </c>
      <c r="U610" s="188">
        <v>24476.5</v>
      </c>
      <c r="V610" s="61"/>
      <c r="W610" s="58"/>
      <c r="X610" s="188">
        <v>19218.5</v>
      </c>
      <c r="Y610" s="188">
        <v>19218.5</v>
      </c>
      <c r="Z610" s="129"/>
      <c r="AA610" s="128"/>
      <c r="AB610" s="67"/>
      <c r="AC610" s="188">
        <v>19218.5</v>
      </c>
      <c r="AD610" s="188">
        <v>19218.5</v>
      </c>
      <c r="AE610" s="61"/>
      <c r="AF610" s="65"/>
      <c r="AG610" s="58"/>
      <c r="AH610" s="188">
        <v>12252</v>
      </c>
      <c r="AI610" s="129"/>
      <c r="AJ610" s="128"/>
      <c r="AK610" s="128"/>
      <c r="AL610" s="67"/>
      <c r="AM610" s="188">
        <v>12252</v>
      </c>
      <c r="AN610" s="135"/>
      <c r="AO610" s="135"/>
      <c r="AP610" s="135"/>
    </row>
    <row r="611" spans="1:42" x14ac:dyDescent="0.25">
      <c r="A611" t="s">
        <v>108</v>
      </c>
      <c r="B611" t="s">
        <v>40</v>
      </c>
      <c r="C611" s="212" t="str">
        <f t="shared" si="9"/>
        <v>Suwannee Juvenile Delinquency</v>
      </c>
      <c r="D611" s="188">
        <v>2756</v>
      </c>
      <c r="E611" s="188">
        <v>2756</v>
      </c>
      <c r="F611" s="188">
        <v>2756</v>
      </c>
      <c r="G611" s="188">
        <v>2756</v>
      </c>
      <c r="H611" s="125"/>
      <c r="I611" s="188">
        <v>376</v>
      </c>
      <c r="J611" s="188">
        <v>376</v>
      </c>
      <c r="K611" s="188">
        <v>869</v>
      </c>
      <c r="L611" s="188">
        <v>869</v>
      </c>
      <c r="M611" s="70"/>
      <c r="N611" s="188">
        <v>3698</v>
      </c>
      <c r="O611" s="188">
        <v>3698</v>
      </c>
      <c r="P611" s="188">
        <v>3698</v>
      </c>
      <c r="Q611" s="129"/>
      <c r="R611" s="67"/>
      <c r="S611" s="188">
        <v>882</v>
      </c>
      <c r="T611" s="188">
        <v>1341.24</v>
      </c>
      <c r="U611" s="188">
        <v>1646</v>
      </c>
      <c r="V611" s="61"/>
      <c r="W611" s="58"/>
      <c r="X611" s="188">
        <v>4694</v>
      </c>
      <c r="Y611" s="188">
        <v>4694</v>
      </c>
      <c r="Z611" s="129"/>
      <c r="AA611" s="128"/>
      <c r="AB611" s="67"/>
      <c r="AC611" s="188">
        <v>474</v>
      </c>
      <c r="AD611" s="188">
        <v>2128</v>
      </c>
      <c r="AE611" s="61"/>
      <c r="AF611" s="65"/>
      <c r="AG611" s="58"/>
      <c r="AH611" s="188">
        <v>6552</v>
      </c>
      <c r="AI611" s="129"/>
      <c r="AJ611" s="128"/>
      <c r="AK611" s="128"/>
      <c r="AL611" s="67"/>
      <c r="AM611" s="188">
        <v>724</v>
      </c>
      <c r="AN611" s="135"/>
      <c r="AO611" s="135"/>
      <c r="AP611" s="135"/>
    </row>
    <row r="612" spans="1:42" x14ac:dyDescent="0.25">
      <c r="A612" t="s">
        <v>108</v>
      </c>
      <c r="B612" t="s">
        <v>45</v>
      </c>
      <c r="C612" s="212" t="str">
        <f t="shared" si="9"/>
        <v>Suwannee Probate</v>
      </c>
      <c r="D612" s="188">
        <v>11581</v>
      </c>
      <c r="E612" s="188">
        <v>11581</v>
      </c>
      <c r="F612" s="188">
        <v>11581</v>
      </c>
      <c r="G612" s="188">
        <v>11581</v>
      </c>
      <c r="H612" s="125"/>
      <c r="I612" s="188">
        <v>11581</v>
      </c>
      <c r="J612" s="188">
        <v>11581</v>
      </c>
      <c r="K612" s="188">
        <v>11581</v>
      </c>
      <c r="L612" s="188">
        <v>11581</v>
      </c>
      <c r="M612" s="70"/>
      <c r="N612" s="188">
        <v>13599</v>
      </c>
      <c r="O612" s="188">
        <v>12968</v>
      </c>
      <c r="P612" s="188">
        <v>12968</v>
      </c>
      <c r="Q612" s="129"/>
      <c r="R612" s="67"/>
      <c r="S612" s="188">
        <v>12568</v>
      </c>
      <c r="T612" s="188">
        <v>12968</v>
      </c>
      <c r="U612" s="188">
        <v>12968</v>
      </c>
      <c r="V612" s="61"/>
      <c r="W612" s="58"/>
      <c r="X612" s="188">
        <v>14553</v>
      </c>
      <c r="Y612" s="188">
        <v>14553</v>
      </c>
      <c r="Z612" s="129"/>
      <c r="AA612" s="128"/>
      <c r="AB612" s="67"/>
      <c r="AC612" s="188">
        <v>14553</v>
      </c>
      <c r="AD612" s="188">
        <v>14553</v>
      </c>
      <c r="AE612" s="61"/>
      <c r="AF612" s="65"/>
      <c r="AG612" s="58"/>
      <c r="AH612" s="188">
        <v>12081</v>
      </c>
      <c r="AI612" s="129"/>
      <c r="AJ612" s="128"/>
      <c r="AK612" s="128"/>
      <c r="AL612" s="67"/>
      <c r="AM612" s="188">
        <v>11850</v>
      </c>
      <c r="AN612" s="135"/>
      <c r="AO612" s="135"/>
      <c r="AP612" s="135"/>
    </row>
    <row r="613" spans="1:42" x14ac:dyDescent="0.25">
      <c r="A613" t="s">
        <v>109</v>
      </c>
      <c r="B613" t="s">
        <v>42</v>
      </c>
      <c r="C613" s="212" t="str">
        <f t="shared" si="9"/>
        <v>Taylor Circuit Civil</v>
      </c>
      <c r="D613" s="188">
        <v>16772</v>
      </c>
      <c r="E613" s="188">
        <v>16772</v>
      </c>
      <c r="F613" s="188">
        <v>16380</v>
      </c>
      <c r="G613" s="188">
        <v>16380</v>
      </c>
      <c r="H613" s="125"/>
      <c r="I613" s="188">
        <v>16552</v>
      </c>
      <c r="J613" s="188">
        <v>16522</v>
      </c>
      <c r="K613" s="188">
        <v>16380</v>
      </c>
      <c r="L613" s="188">
        <v>16380</v>
      </c>
      <c r="M613" s="70"/>
      <c r="N613" s="188">
        <v>20273.5</v>
      </c>
      <c r="O613" s="188">
        <v>18030</v>
      </c>
      <c r="P613" s="188">
        <v>18072</v>
      </c>
      <c r="Q613" s="129"/>
      <c r="R613" s="67"/>
      <c r="S613" s="188">
        <v>14558.5</v>
      </c>
      <c r="T613" s="188">
        <v>17630</v>
      </c>
      <c r="U613" s="188">
        <v>17672</v>
      </c>
      <c r="V613" s="61"/>
      <c r="W613" s="58"/>
      <c r="X613" s="188">
        <v>18974</v>
      </c>
      <c r="Y613" s="188">
        <v>18974</v>
      </c>
      <c r="Z613" s="129"/>
      <c r="AA613" s="128"/>
      <c r="AB613" s="67"/>
      <c r="AC613" s="188">
        <v>16524</v>
      </c>
      <c r="AD613" s="188">
        <v>16524</v>
      </c>
      <c r="AE613" s="61"/>
      <c r="AF613" s="65"/>
      <c r="AG613" s="58"/>
      <c r="AH613" s="188">
        <v>25709</v>
      </c>
      <c r="AI613" s="129"/>
      <c r="AJ613" s="128"/>
      <c r="AK613" s="128"/>
      <c r="AL613" s="67"/>
      <c r="AM613" s="188">
        <v>23359</v>
      </c>
      <c r="AN613" s="135"/>
      <c r="AO613" s="135"/>
      <c r="AP613" s="135"/>
    </row>
    <row r="614" spans="1:42" x14ac:dyDescent="0.25">
      <c r="A614" t="s">
        <v>109</v>
      </c>
      <c r="B614" t="s">
        <v>38</v>
      </c>
      <c r="C614" s="212" t="str">
        <f t="shared" si="9"/>
        <v>Taylor Circuit Criminal</v>
      </c>
      <c r="D614" s="188">
        <v>100093.4</v>
      </c>
      <c r="E614" s="188">
        <v>100183.4</v>
      </c>
      <c r="F614" s="188">
        <v>100333.4</v>
      </c>
      <c r="G614" s="188">
        <v>100283.4</v>
      </c>
      <c r="H614" s="125"/>
      <c r="I614" s="188">
        <v>2795.78</v>
      </c>
      <c r="J614" s="188">
        <v>5037.6400000000003</v>
      </c>
      <c r="K614" s="188">
        <v>6906.1</v>
      </c>
      <c r="L614" s="188">
        <v>9097.83</v>
      </c>
      <c r="M614" s="70"/>
      <c r="N614" s="188">
        <v>145163.20000000001</v>
      </c>
      <c r="O614" s="188">
        <v>145163.20000000001</v>
      </c>
      <c r="P614" s="188">
        <v>146610.70000000001</v>
      </c>
      <c r="Q614" s="129"/>
      <c r="R614" s="67"/>
      <c r="S614" s="188">
        <v>8979.42</v>
      </c>
      <c r="T614" s="188">
        <v>13223.27</v>
      </c>
      <c r="U614" s="188">
        <v>18027.25</v>
      </c>
      <c r="V614" s="61"/>
      <c r="W614" s="58"/>
      <c r="X614" s="188">
        <v>97811.63</v>
      </c>
      <c r="Y614" s="188">
        <v>97811.63</v>
      </c>
      <c r="Z614" s="129"/>
      <c r="AA614" s="128"/>
      <c r="AB614" s="67"/>
      <c r="AC614" s="188">
        <v>2662.09</v>
      </c>
      <c r="AD614" s="188">
        <v>4304.0600000000004</v>
      </c>
      <c r="AE614" s="61"/>
      <c r="AF614" s="65"/>
      <c r="AG614" s="58"/>
      <c r="AH614" s="188">
        <v>104089.25</v>
      </c>
      <c r="AI614" s="129"/>
      <c r="AJ614" s="128"/>
      <c r="AK614" s="128"/>
      <c r="AL614" s="67"/>
      <c r="AM614" s="188">
        <v>2521.84</v>
      </c>
      <c r="AN614" s="135"/>
      <c r="AO614" s="135"/>
      <c r="AP614" s="135"/>
    </row>
    <row r="615" spans="1:42" x14ac:dyDescent="0.25">
      <c r="A615" t="s">
        <v>109</v>
      </c>
      <c r="B615" t="s">
        <v>265</v>
      </c>
      <c r="C615" s="212" t="str">
        <f t="shared" si="9"/>
        <v>Taylor Circuit Criminal Drug Cases</v>
      </c>
    </row>
    <row r="616" spans="1:42" x14ac:dyDescent="0.25">
      <c r="A616" t="s">
        <v>109</v>
      </c>
      <c r="B616" t="s">
        <v>44</v>
      </c>
      <c r="C616" s="212" t="str">
        <f t="shared" si="9"/>
        <v>Taylor Civil Traffic</v>
      </c>
      <c r="D616" s="188">
        <v>78899</v>
      </c>
      <c r="E616" s="188">
        <v>76709.3</v>
      </c>
      <c r="F616" s="188">
        <v>76501.8</v>
      </c>
      <c r="G616" s="188">
        <v>76048.800000000003</v>
      </c>
      <c r="H616" s="125"/>
      <c r="I616" s="188">
        <v>31282</v>
      </c>
      <c r="J616" s="188">
        <v>59142.9</v>
      </c>
      <c r="K616" s="188">
        <v>67045.7</v>
      </c>
      <c r="L616" s="188">
        <v>67192.7</v>
      </c>
      <c r="M616" s="70"/>
      <c r="N616" s="188">
        <v>66586</v>
      </c>
      <c r="O616" s="188">
        <v>62700</v>
      </c>
      <c r="P616" s="188">
        <v>61792</v>
      </c>
      <c r="Q616" s="129"/>
      <c r="R616" s="67"/>
      <c r="S616" s="188">
        <v>30063</v>
      </c>
      <c r="T616" s="188">
        <v>48595.9</v>
      </c>
      <c r="U616" s="188">
        <v>51780.9</v>
      </c>
      <c r="V616" s="61"/>
      <c r="W616" s="58"/>
      <c r="X616" s="188">
        <v>66583</v>
      </c>
      <c r="Y616" s="188">
        <v>62821</v>
      </c>
      <c r="Z616" s="129"/>
      <c r="AA616" s="128"/>
      <c r="AB616" s="67"/>
      <c r="AC616" s="188">
        <v>28729</v>
      </c>
      <c r="AD616" s="188">
        <v>46728</v>
      </c>
      <c r="AE616" s="61"/>
      <c r="AF616" s="65"/>
      <c r="AG616" s="58"/>
      <c r="AH616" s="188">
        <v>86685.5</v>
      </c>
      <c r="AI616" s="129"/>
      <c r="AJ616" s="128"/>
      <c r="AK616" s="128"/>
      <c r="AL616" s="67"/>
      <c r="AM616" s="188">
        <v>38190</v>
      </c>
      <c r="AN616" s="135"/>
      <c r="AO616" s="135"/>
      <c r="AP616" s="135"/>
    </row>
    <row r="617" spans="1:42" x14ac:dyDescent="0.25">
      <c r="A617" t="s">
        <v>109</v>
      </c>
      <c r="B617" t="s">
        <v>43</v>
      </c>
      <c r="C617" s="212" t="str">
        <f t="shared" si="9"/>
        <v>Taylor County Civil</v>
      </c>
      <c r="D617" s="188">
        <v>13530</v>
      </c>
      <c r="E617" s="188">
        <v>13790</v>
      </c>
      <c r="F617" s="188">
        <v>13650</v>
      </c>
      <c r="G617" s="188">
        <v>13910</v>
      </c>
      <c r="H617" s="125"/>
      <c r="I617" s="188">
        <v>13360</v>
      </c>
      <c r="J617" s="188">
        <v>13445</v>
      </c>
      <c r="K617" s="188">
        <v>13305</v>
      </c>
      <c r="L617" s="188">
        <v>13565</v>
      </c>
      <c r="M617" s="70"/>
      <c r="N617" s="188">
        <v>11142</v>
      </c>
      <c r="O617" s="188">
        <v>10840</v>
      </c>
      <c r="P617" s="188">
        <v>11142</v>
      </c>
      <c r="Q617" s="129"/>
      <c r="R617" s="67"/>
      <c r="S617" s="188">
        <v>9522</v>
      </c>
      <c r="T617" s="188">
        <v>10840</v>
      </c>
      <c r="U617" s="188">
        <v>11142</v>
      </c>
      <c r="V617" s="61"/>
      <c r="W617" s="58"/>
      <c r="X617" s="188">
        <v>16255</v>
      </c>
      <c r="Y617" s="188">
        <v>16550</v>
      </c>
      <c r="Z617" s="129"/>
      <c r="AA617" s="128"/>
      <c r="AB617" s="67"/>
      <c r="AC617" s="188">
        <v>15255</v>
      </c>
      <c r="AD617" s="188">
        <v>16120</v>
      </c>
      <c r="AE617" s="61"/>
      <c r="AF617" s="65"/>
      <c r="AG617" s="58"/>
      <c r="AH617" s="188">
        <v>12091</v>
      </c>
      <c r="AI617" s="129"/>
      <c r="AJ617" s="128"/>
      <c r="AK617" s="128"/>
      <c r="AL617" s="67"/>
      <c r="AM617" s="188">
        <v>12091</v>
      </c>
      <c r="AN617" s="135"/>
      <c r="AO617" s="135"/>
      <c r="AP617" s="135"/>
    </row>
    <row r="618" spans="1:42" x14ac:dyDescent="0.25">
      <c r="A618" t="s">
        <v>109</v>
      </c>
      <c r="B618" t="s">
        <v>39</v>
      </c>
      <c r="C618" s="212" t="str">
        <f t="shared" si="9"/>
        <v>Taylor County Criminal</v>
      </c>
      <c r="D618" s="188">
        <v>48077.48</v>
      </c>
      <c r="E618" s="188">
        <v>45064.480000000003</v>
      </c>
      <c r="F618" s="188">
        <v>44591.48</v>
      </c>
      <c r="G618" s="188">
        <v>43903.48</v>
      </c>
      <c r="H618" s="125"/>
      <c r="I618" s="188">
        <v>16675.13</v>
      </c>
      <c r="J618" s="188">
        <v>20129.98</v>
      </c>
      <c r="K618" s="188">
        <v>22476.48</v>
      </c>
      <c r="L618" s="188">
        <v>25550.98</v>
      </c>
      <c r="M618" s="70"/>
      <c r="N618" s="188">
        <v>47643.85</v>
      </c>
      <c r="O618" s="188">
        <v>45994.85</v>
      </c>
      <c r="P618" s="188">
        <v>44473.85</v>
      </c>
      <c r="Q618" s="129"/>
      <c r="R618" s="67"/>
      <c r="S618" s="188">
        <v>13979.02</v>
      </c>
      <c r="T618" s="188">
        <v>17900.59</v>
      </c>
      <c r="U618" s="188">
        <v>22187.11</v>
      </c>
      <c r="V618" s="61"/>
      <c r="W618" s="58"/>
      <c r="X618" s="188">
        <v>51270.18</v>
      </c>
      <c r="Y618" s="188">
        <v>50877.18</v>
      </c>
      <c r="Z618" s="129"/>
      <c r="AA618" s="128"/>
      <c r="AB618" s="67"/>
      <c r="AC618" s="188">
        <v>16508.2</v>
      </c>
      <c r="AD618" s="188">
        <v>22383.200000000001</v>
      </c>
      <c r="AE618" s="61"/>
      <c r="AF618" s="65"/>
      <c r="AG618" s="58"/>
      <c r="AH618" s="188">
        <v>47304.35</v>
      </c>
      <c r="AI618" s="129"/>
      <c r="AJ618" s="128"/>
      <c r="AK618" s="128"/>
      <c r="AL618" s="67"/>
      <c r="AM618" s="188">
        <v>15894.85</v>
      </c>
      <c r="AN618" s="135"/>
      <c r="AO618" s="135"/>
      <c r="AP618" s="135"/>
    </row>
    <row r="619" spans="1:42" x14ac:dyDescent="0.25">
      <c r="A619" t="s">
        <v>109</v>
      </c>
      <c r="B619" t="s">
        <v>41</v>
      </c>
      <c r="C619" s="212" t="str">
        <f t="shared" si="9"/>
        <v>Taylor Criminal Traffic</v>
      </c>
      <c r="D619" s="188">
        <v>49904</v>
      </c>
      <c r="E619" s="188">
        <v>50309</v>
      </c>
      <c r="F619" s="188">
        <v>48179.5</v>
      </c>
      <c r="G619" s="188">
        <v>48081.5</v>
      </c>
      <c r="H619" s="125"/>
      <c r="I619" s="188">
        <v>13493</v>
      </c>
      <c r="J619" s="188">
        <v>17905.5</v>
      </c>
      <c r="K619" s="188">
        <v>32985.160000000003</v>
      </c>
      <c r="L619" s="188">
        <v>36369.160000000003</v>
      </c>
      <c r="M619" s="70"/>
      <c r="N619" s="188">
        <v>43279.3</v>
      </c>
      <c r="O619" s="188">
        <v>41944.3</v>
      </c>
      <c r="P619" s="188">
        <v>39811.800000000003</v>
      </c>
      <c r="Q619" s="129"/>
      <c r="R619" s="67"/>
      <c r="S619" s="188">
        <v>13736.8</v>
      </c>
      <c r="T619" s="188">
        <v>22232.3</v>
      </c>
      <c r="U619" s="188">
        <v>24908.3</v>
      </c>
      <c r="V619" s="61"/>
      <c r="W619" s="58"/>
      <c r="X619" s="188">
        <v>30278</v>
      </c>
      <c r="Y619" s="188">
        <v>29117</v>
      </c>
      <c r="Z619" s="129"/>
      <c r="AA619" s="128"/>
      <c r="AB619" s="67"/>
      <c r="AC619" s="188">
        <v>9474.6200000000008</v>
      </c>
      <c r="AD619" s="188">
        <v>13799.37</v>
      </c>
      <c r="AE619" s="61"/>
      <c r="AF619" s="65"/>
      <c r="AG619" s="58"/>
      <c r="AH619" s="188">
        <v>46992.5</v>
      </c>
      <c r="AI619" s="129"/>
      <c r="AJ619" s="128"/>
      <c r="AK619" s="128"/>
      <c r="AL619" s="67"/>
      <c r="AM619" s="188">
        <v>9805.5</v>
      </c>
      <c r="AN619" s="135"/>
      <c r="AO619" s="135"/>
      <c r="AP619" s="135"/>
    </row>
    <row r="620" spans="1:42" x14ac:dyDescent="0.25">
      <c r="A620" t="s">
        <v>109</v>
      </c>
      <c r="B620" t="s">
        <v>46</v>
      </c>
      <c r="C620" s="212" t="str">
        <f t="shared" si="9"/>
        <v>Taylor Family</v>
      </c>
      <c r="D620" s="188">
        <v>12425</v>
      </c>
      <c r="E620" s="188">
        <v>12425</v>
      </c>
      <c r="F620" s="188">
        <v>12425</v>
      </c>
      <c r="G620" s="188">
        <v>12425</v>
      </c>
      <c r="H620" s="125"/>
      <c r="I620" s="188">
        <v>11530</v>
      </c>
      <c r="J620" s="188">
        <v>11530</v>
      </c>
      <c r="K620" s="188">
        <v>11530</v>
      </c>
      <c r="L620" s="188">
        <v>11530</v>
      </c>
      <c r="M620" s="70"/>
      <c r="N620" s="188">
        <v>13530</v>
      </c>
      <c r="O620" s="188">
        <v>13480</v>
      </c>
      <c r="P620" s="188">
        <v>13480</v>
      </c>
      <c r="Q620" s="129"/>
      <c r="R620" s="67"/>
      <c r="S620" s="188">
        <v>10846</v>
      </c>
      <c r="T620" s="188">
        <v>13080</v>
      </c>
      <c r="U620" s="188">
        <v>13080</v>
      </c>
      <c r="V620" s="61"/>
      <c r="W620" s="58"/>
      <c r="X620" s="188">
        <v>17187</v>
      </c>
      <c r="Y620" s="188">
        <v>17187</v>
      </c>
      <c r="Z620" s="129"/>
      <c r="AA620" s="128"/>
      <c r="AB620" s="67"/>
      <c r="AC620" s="188">
        <v>13818</v>
      </c>
      <c r="AD620" s="188">
        <v>14118</v>
      </c>
      <c r="AE620" s="61"/>
      <c r="AF620" s="65"/>
      <c r="AG620" s="58"/>
      <c r="AH620" s="188">
        <v>11542</v>
      </c>
      <c r="AI620" s="129"/>
      <c r="AJ620" s="128"/>
      <c r="AK620" s="128"/>
      <c r="AL620" s="67"/>
      <c r="AM620" s="188">
        <v>10882</v>
      </c>
      <c r="AN620" s="135"/>
      <c r="AO620" s="135"/>
      <c r="AP620" s="135"/>
    </row>
    <row r="621" spans="1:42" x14ac:dyDescent="0.25">
      <c r="A621" t="s">
        <v>109</v>
      </c>
      <c r="B621" t="s">
        <v>40</v>
      </c>
      <c r="C621" s="212" t="str">
        <f t="shared" si="9"/>
        <v>Taylor Juvenile Delinquency</v>
      </c>
      <c r="D621" s="188">
        <v>3657</v>
      </c>
      <c r="E621" s="188">
        <v>3088</v>
      </c>
      <c r="F621" s="188">
        <v>3088</v>
      </c>
      <c r="G621" s="188">
        <v>1315</v>
      </c>
      <c r="H621" s="125"/>
      <c r="I621" s="188">
        <v>10</v>
      </c>
      <c r="J621" s="188">
        <v>10</v>
      </c>
      <c r="K621" s="188">
        <v>432</v>
      </c>
      <c r="L621" s="188">
        <v>485.5</v>
      </c>
      <c r="M621" s="70"/>
      <c r="N621" s="188">
        <v>2689</v>
      </c>
      <c r="O621" s="188">
        <v>2689</v>
      </c>
      <c r="P621" s="188">
        <v>2401</v>
      </c>
      <c r="Q621" s="129"/>
      <c r="R621" s="67"/>
      <c r="S621" s="188">
        <v>195</v>
      </c>
      <c r="T621" s="188">
        <v>483</v>
      </c>
      <c r="U621" s="188">
        <v>483</v>
      </c>
      <c r="V621" s="61"/>
      <c r="W621" s="58"/>
      <c r="X621" s="188">
        <v>1985</v>
      </c>
      <c r="Y621" s="188">
        <v>1985</v>
      </c>
      <c r="Z621" s="129"/>
      <c r="AA621" s="128"/>
      <c r="AB621" s="67"/>
      <c r="AC621" s="188">
        <v>3.5</v>
      </c>
      <c r="AD621" s="188">
        <v>3.5</v>
      </c>
      <c r="AE621" s="61"/>
      <c r="AF621" s="65"/>
      <c r="AG621" s="58"/>
      <c r="AH621" s="188">
        <v>616.5</v>
      </c>
      <c r="AI621" s="129"/>
      <c r="AJ621" s="128"/>
      <c r="AK621" s="128"/>
      <c r="AL621" s="67"/>
      <c r="AM621" s="188">
        <v>70.5</v>
      </c>
      <c r="AN621" s="135"/>
      <c r="AO621" s="135"/>
      <c r="AP621" s="135"/>
    </row>
    <row r="622" spans="1:42" x14ac:dyDescent="0.25">
      <c r="A622" t="s">
        <v>109</v>
      </c>
      <c r="B622" t="s">
        <v>45</v>
      </c>
      <c r="C622" s="212" t="str">
        <f t="shared" si="9"/>
        <v>Taylor Probate</v>
      </c>
      <c r="D622" s="188">
        <v>7037</v>
      </c>
      <c r="E622" s="188">
        <v>7037</v>
      </c>
      <c r="F622" s="188">
        <v>6766</v>
      </c>
      <c r="G622" s="188">
        <v>7037</v>
      </c>
      <c r="H622" s="125"/>
      <c r="I622" s="188">
        <v>7037</v>
      </c>
      <c r="J622" s="188">
        <v>7037</v>
      </c>
      <c r="K622" s="188">
        <v>6766</v>
      </c>
      <c r="L622" s="188">
        <v>7037</v>
      </c>
      <c r="M622" s="70"/>
      <c r="N622" s="188">
        <v>8002</v>
      </c>
      <c r="O622" s="188">
        <v>7271</v>
      </c>
      <c r="P622" s="188">
        <v>8002</v>
      </c>
      <c r="Q622" s="129"/>
      <c r="R622" s="67"/>
      <c r="S622" s="188">
        <v>7207</v>
      </c>
      <c r="T622" s="188">
        <v>7271</v>
      </c>
      <c r="U622" s="188">
        <v>7552</v>
      </c>
      <c r="V622" s="61"/>
      <c r="W622" s="58"/>
      <c r="X622" s="188">
        <v>7392</v>
      </c>
      <c r="Y622" s="188">
        <v>7622</v>
      </c>
      <c r="Z622" s="129"/>
      <c r="AA622" s="128"/>
      <c r="AB622" s="67"/>
      <c r="AC622" s="188">
        <v>6876</v>
      </c>
      <c r="AD622" s="188">
        <v>6991</v>
      </c>
      <c r="AE622" s="61"/>
      <c r="AF622" s="65"/>
      <c r="AG622" s="58"/>
      <c r="AH622" s="188">
        <v>7531</v>
      </c>
      <c r="AI622" s="129"/>
      <c r="AJ622" s="128"/>
      <c r="AK622" s="128"/>
      <c r="AL622" s="67"/>
      <c r="AM622" s="188">
        <v>7131</v>
      </c>
      <c r="AN622" s="135"/>
      <c r="AO622" s="135"/>
      <c r="AP622" s="135"/>
    </row>
    <row r="623" spans="1:42" x14ac:dyDescent="0.25">
      <c r="A623" t="s">
        <v>110</v>
      </c>
      <c r="B623" t="s">
        <v>42</v>
      </c>
      <c r="C623" s="212" t="str">
        <f t="shared" si="9"/>
        <v>Union Circuit Civil</v>
      </c>
      <c r="D623" s="188">
        <v>9145</v>
      </c>
      <c r="E623" s="188">
        <v>8745</v>
      </c>
      <c r="F623" s="188">
        <v>8745</v>
      </c>
      <c r="G623" s="188">
        <v>8745</v>
      </c>
      <c r="H623" s="125"/>
      <c r="I623" s="188">
        <v>7545</v>
      </c>
      <c r="J623" s="188">
        <v>7545</v>
      </c>
      <c r="K623" s="188">
        <v>7545</v>
      </c>
      <c r="L623" s="188">
        <v>7545</v>
      </c>
      <c r="M623" s="70"/>
      <c r="N623" s="188">
        <v>12416</v>
      </c>
      <c r="O623" s="188">
        <v>12416</v>
      </c>
      <c r="P623" s="188">
        <v>12416</v>
      </c>
      <c r="Q623" s="129"/>
      <c r="R623" s="67"/>
      <c r="S623" s="188">
        <v>9084</v>
      </c>
      <c r="T623" s="188">
        <v>9108.5</v>
      </c>
      <c r="U623" s="188">
        <v>9108.5</v>
      </c>
      <c r="V623" s="61"/>
      <c r="W623" s="58"/>
      <c r="X623" s="188">
        <v>20944</v>
      </c>
      <c r="Y623" s="188">
        <v>20944</v>
      </c>
      <c r="Z623" s="129"/>
      <c r="AA623" s="128"/>
      <c r="AB623" s="67"/>
      <c r="AC623" s="188">
        <v>17744</v>
      </c>
      <c r="AD623" s="188">
        <v>17744</v>
      </c>
      <c r="AE623" s="61"/>
      <c r="AF623" s="65"/>
      <c r="AG623" s="58"/>
      <c r="AH623" s="188">
        <v>10546.52</v>
      </c>
      <c r="AI623" s="129"/>
      <c r="AJ623" s="128"/>
      <c r="AK623" s="128"/>
      <c r="AL623" s="67"/>
      <c r="AM623" s="188">
        <v>8096.52</v>
      </c>
      <c r="AN623" s="135"/>
      <c r="AO623" s="135"/>
      <c r="AP623" s="135"/>
    </row>
    <row r="624" spans="1:42" x14ac:dyDescent="0.25">
      <c r="A624" t="s">
        <v>110</v>
      </c>
      <c r="B624" t="s">
        <v>38</v>
      </c>
      <c r="C624" s="212" t="str">
        <f t="shared" si="9"/>
        <v>Union Circuit Criminal</v>
      </c>
      <c r="D624" s="188">
        <v>26937.75</v>
      </c>
      <c r="E624" s="188">
        <v>26887.75</v>
      </c>
      <c r="F624" s="188">
        <v>27037.75</v>
      </c>
      <c r="G624" s="188">
        <v>26987.75</v>
      </c>
      <c r="H624" s="125"/>
      <c r="I624" s="188">
        <v>170.8</v>
      </c>
      <c r="J624" s="188">
        <v>1034.6600000000001</v>
      </c>
      <c r="K624" s="188">
        <v>1690.9</v>
      </c>
      <c r="L624" s="188">
        <v>2161.85</v>
      </c>
      <c r="M624" s="70"/>
      <c r="N624" s="188">
        <v>17091.75</v>
      </c>
      <c r="O624" s="188">
        <v>16891.75</v>
      </c>
      <c r="P624" s="188">
        <v>16641.75</v>
      </c>
      <c r="Q624" s="129"/>
      <c r="R624" s="67"/>
      <c r="S624" s="188">
        <v>40.83</v>
      </c>
      <c r="T624" s="188">
        <v>186.99</v>
      </c>
      <c r="U624" s="188">
        <v>695.63</v>
      </c>
      <c r="V624" s="61"/>
      <c r="W624" s="58"/>
      <c r="X624" s="188">
        <v>33523.5</v>
      </c>
      <c r="Y624" s="188">
        <v>33373.5</v>
      </c>
      <c r="Z624" s="129"/>
      <c r="AA624" s="128"/>
      <c r="AB624" s="67"/>
      <c r="AC624" s="188">
        <v>561.54</v>
      </c>
      <c r="AD624" s="188">
        <v>1951.92</v>
      </c>
      <c r="AE624" s="61"/>
      <c r="AF624" s="65"/>
      <c r="AG624" s="58"/>
      <c r="AH624" s="188">
        <v>24271.5</v>
      </c>
      <c r="AI624" s="129"/>
      <c r="AJ624" s="128"/>
      <c r="AK624" s="128"/>
      <c r="AL624" s="67"/>
      <c r="AM624" s="188">
        <v>0</v>
      </c>
      <c r="AN624" s="135"/>
      <c r="AO624" s="135"/>
      <c r="AP624" s="135"/>
    </row>
    <row r="625" spans="1:42" x14ac:dyDescent="0.25">
      <c r="A625" t="s">
        <v>110</v>
      </c>
      <c r="B625" t="s">
        <v>265</v>
      </c>
      <c r="C625" s="212" t="str">
        <f t="shared" si="9"/>
        <v>Union Circuit Criminal Drug Cases</v>
      </c>
      <c r="D625" s="188">
        <v>0</v>
      </c>
      <c r="I625" s="188">
        <v>0</v>
      </c>
    </row>
    <row r="626" spans="1:42" x14ac:dyDescent="0.25">
      <c r="A626" t="s">
        <v>110</v>
      </c>
      <c r="B626" t="s">
        <v>44</v>
      </c>
      <c r="C626" s="212" t="str">
        <f t="shared" si="9"/>
        <v>Union Civil Traffic</v>
      </c>
      <c r="D626" s="188">
        <v>43376.25</v>
      </c>
      <c r="E626" s="188">
        <v>41399.550000000003</v>
      </c>
      <c r="F626" s="188">
        <v>41326.550000000003</v>
      </c>
      <c r="G626" s="188">
        <v>41236.550000000003</v>
      </c>
      <c r="H626" s="125"/>
      <c r="I626" s="188">
        <v>24742.75</v>
      </c>
      <c r="J626" s="188">
        <v>34861.050000000003</v>
      </c>
      <c r="K626" s="188">
        <v>36755.050000000003</v>
      </c>
      <c r="L626" s="188">
        <v>37769.050000000003</v>
      </c>
      <c r="M626" s="70"/>
      <c r="N626" s="188">
        <v>35373.5</v>
      </c>
      <c r="O626" s="188">
        <v>34642.75</v>
      </c>
      <c r="P626" s="188">
        <v>34769.75</v>
      </c>
      <c r="Q626" s="129"/>
      <c r="R626" s="67"/>
      <c r="S626" s="188">
        <v>18225.5</v>
      </c>
      <c r="T626" s="188">
        <v>29107.75</v>
      </c>
      <c r="U626" s="188">
        <v>30237.75</v>
      </c>
      <c r="V626" s="61"/>
      <c r="W626" s="58"/>
      <c r="X626" s="188">
        <v>50375.5</v>
      </c>
      <c r="Y626" s="188">
        <v>48045.4</v>
      </c>
      <c r="Z626" s="129"/>
      <c r="AA626" s="128"/>
      <c r="AB626" s="67"/>
      <c r="AC626" s="188">
        <v>22886.5</v>
      </c>
      <c r="AD626" s="188">
        <v>37478.400000000001</v>
      </c>
      <c r="AE626" s="61"/>
      <c r="AF626" s="65"/>
      <c r="AG626" s="58"/>
      <c r="AH626" s="188">
        <v>40349.5</v>
      </c>
      <c r="AI626" s="129"/>
      <c r="AJ626" s="128"/>
      <c r="AK626" s="128"/>
      <c r="AL626" s="67"/>
      <c r="AM626" s="188">
        <v>18126.5</v>
      </c>
      <c r="AN626" s="135"/>
      <c r="AO626" s="135"/>
      <c r="AP626" s="135"/>
    </row>
    <row r="627" spans="1:42" x14ac:dyDescent="0.25">
      <c r="A627" t="s">
        <v>110</v>
      </c>
      <c r="B627" t="s">
        <v>43</v>
      </c>
      <c r="C627" s="212" t="str">
        <f t="shared" si="9"/>
        <v>Union County Civil</v>
      </c>
      <c r="D627" s="188">
        <v>10522</v>
      </c>
      <c r="E627" s="188">
        <v>10522</v>
      </c>
      <c r="F627" s="188">
        <v>10522</v>
      </c>
      <c r="G627" s="188">
        <v>10522</v>
      </c>
      <c r="H627" s="125"/>
      <c r="I627" s="188">
        <v>9919.5300000000007</v>
      </c>
      <c r="J627" s="188">
        <v>9921.0300000000007</v>
      </c>
      <c r="K627" s="188">
        <v>9921.0300000000007</v>
      </c>
      <c r="L627" s="188">
        <v>9921.0300000000007</v>
      </c>
      <c r="M627" s="70"/>
      <c r="N627" s="188">
        <v>7679.2</v>
      </c>
      <c r="O627" s="188">
        <v>7679.2</v>
      </c>
      <c r="P627" s="188">
        <v>7679.2</v>
      </c>
      <c r="Q627" s="129"/>
      <c r="R627" s="67"/>
      <c r="S627" s="188">
        <v>7324.2</v>
      </c>
      <c r="T627" s="188">
        <v>7324.2</v>
      </c>
      <c r="U627" s="188">
        <v>7324.2</v>
      </c>
      <c r="V627" s="61"/>
      <c r="W627" s="58"/>
      <c r="X627" s="188">
        <v>8618.75</v>
      </c>
      <c r="Y627" s="188">
        <v>8618.75</v>
      </c>
      <c r="Z627" s="129"/>
      <c r="AA627" s="128"/>
      <c r="AB627" s="67"/>
      <c r="AC627" s="188">
        <v>7493.75</v>
      </c>
      <c r="AD627" s="188">
        <v>7493.75</v>
      </c>
      <c r="AE627" s="61"/>
      <c r="AF627" s="65"/>
      <c r="AG627" s="58"/>
      <c r="AH627" s="188">
        <v>6618</v>
      </c>
      <c r="AI627" s="129"/>
      <c r="AJ627" s="128"/>
      <c r="AK627" s="128"/>
      <c r="AL627" s="67"/>
      <c r="AM627" s="188">
        <v>6308</v>
      </c>
      <c r="AN627" s="135"/>
      <c r="AO627" s="135"/>
      <c r="AP627" s="135"/>
    </row>
    <row r="628" spans="1:42" x14ac:dyDescent="0.25">
      <c r="A628" t="s">
        <v>110</v>
      </c>
      <c r="B628" t="s">
        <v>39</v>
      </c>
      <c r="C628" s="212" t="str">
        <f t="shared" si="9"/>
        <v>Union County Criminal</v>
      </c>
      <c r="D628" s="188">
        <v>9559</v>
      </c>
      <c r="E628" s="188">
        <v>9509</v>
      </c>
      <c r="F628" s="188">
        <v>9509</v>
      </c>
      <c r="G628" s="188">
        <v>9459</v>
      </c>
      <c r="H628" s="125"/>
      <c r="I628" s="188">
        <v>1877.75</v>
      </c>
      <c r="J628" s="188">
        <v>4780.75</v>
      </c>
      <c r="K628" s="188">
        <v>6488.5</v>
      </c>
      <c r="L628" s="188">
        <v>7044.5</v>
      </c>
      <c r="M628" s="70"/>
      <c r="N628" s="188">
        <v>4696.5</v>
      </c>
      <c r="O628" s="188">
        <v>4696.5</v>
      </c>
      <c r="P628" s="188">
        <v>4696.5</v>
      </c>
      <c r="Q628" s="129"/>
      <c r="R628" s="67"/>
      <c r="S628" s="188">
        <v>2149</v>
      </c>
      <c r="T628" s="188">
        <v>2606.5</v>
      </c>
      <c r="U628" s="188">
        <v>2746.5</v>
      </c>
      <c r="V628" s="61"/>
      <c r="W628" s="58"/>
      <c r="X628" s="188">
        <v>5387.75</v>
      </c>
      <c r="Y628" s="188">
        <v>5237.75</v>
      </c>
      <c r="Z628" s="129"/>
      <c r="AA628" s="128"/>
      <c r="AB628" s="67"/>
      <c r="AC628" s="188">
        <v>1282.75</v>
      </c>
      <c r="AD628" s="188">
        <v>2434</v>
      </c>
      <c r="AE628" s="61"/>
      <c r="AF628" s="65"/>
      <c r="AG628" s="58"/>
      <c r="AH628" s="188">
        <v>4824.75</v>
      </c>
      <c r="AI628" s="129"/>
      <c r="AJ628" s="128"/>
      <c r="AK628" s="128"/>
      <c r="AL628" s="67"/>
      <c r="AM628" s="188">
        <v>1096</v>
      </c>
      <c r="AN628" s="135"/>
      <c r="AO628" s="135"/>
      <c r="AP628" s="135"/>
    </row>
    <row r="629" spans="1:42" x14ac:dyDescent="0.25">
      <c r="A629" t="s">
        <v>110</v>
      </c>
      <c r="B629" t="s">
        <v>41</v>
      </c>
      <c r="C629" s="212" t="str">
        <f t="shared" si="9"/>
        <v>Union Criminal Traffic</v>
      </c>
      <c r="D629" s="188">
        <v>9394</v>
      </c>
      <c r="E629" s="188">
        <v>9394</v>
      </c>
      <c r="F629" s="188">
        <v>9394</v>
      </c>
      <c r="G629" s="188">
        <v>9394</v>
      </c>
      <c r="H629" s="125"/>
      <c r="I629" s="188">
        <v>2351.5</v>
      </c>
      <c r="J629" s="188">
        <v>5271</v>
      </c>
      <c r="K629" s="188">
        <v>5860.25</v>
      </c>
      <c r="L629" s="188">
        <v>6309</v>
      </c>
      <c r="M629" s="70"/>
      <c r="N629" s="188">
        <v>11285</v>
      </c>
      <c r="O629" s="188">
        <v>11285</v>
      </c>
      <c r="P629" s="188">
        <v>11285</v>
      </c>
      <c r="Q629" s="129"/>
      <c r="R629" s="67"/>
      <c r="S629" s="188">
        <v>3013.5</v>
      </c>
      <c r="T629" s="188">
        <v>5014.25</v>
      </c>
      <c r="U629" s="188">
        <v>5245.5</v>
      </c>
      <c r="V629" s="61"/>
      <c r="W629" s="58"/>
      <c r="X629" s="188">
        <v>14450</v>
      </c>
      <c r="Y629" s="188">
        <v>14400</v>
      </c>
      <c r="Z629" s="129"/>
      <c r="AA629" s="128"/>
      <c r="AB629" s="67"/>
      <c r="AC629" s="188">
        <v>3558.56</v>
      </c>
      <c r="AD629" s="188">
        <v>5142.3100000000004</v>
      </c>
      <c r="AE629" s="61"/>
      <c r="AF629" s="65"/>
      <c r="AG629" s="58"/>
      <c r="AH629" s="188">
        <v>9813.75</v>
      </c>
      <c r="AI629" s="129"/>
      <c r="AJ629" s="128"/>
      <c r="AK629" s="128"/>
      <c r="AL629" s="67"/>
      <c r="AM629" s="188">
        <v>2403.75</v>
      </c>
      <c r="AN629" s="135"/>
      <c r="AO629" s="135"/>
      <c r="AP629" s="135"/>
    </row>
    <row r="630" spans="1:42" x14ac:dyDescent="0.25">
      <c r="A630" t="s">
        <v>110</v>
      </c>
      <c r="B630" t="s">
        <v>46</v>
      </c>
      <c r="C630" s="212" t="str">
        <f t="shared" si="9"/>
        <v>Union Family</v>
      </c>
      <c r="D630" s="188">
        <v>6431</v>
      </c>
      <c r="E630" s="188">
        <v>6431</v>
      </c>
      <c r="F630" s="188">
        <v>6431</v>
      </c>
      <c r="G630" s="188">
        <v>6431</v>
      </c>
      <c r="H630" s="125"/>
      <c r="I630" s="188">
        <v>6431</v>
      </c>
      <c r="J630" s="188">
        <v>6431</v>
      </c>
      <c r="K630" s="188">
        <v>6431</v>
      </c>
      <c r="L630" s="188">
        <v>6431</v>
      </c>
      <c r="M630" s="70"/>
      <c r="N630" s="188">
        <v>9516</v>
      </c>
      <c r="O630" s="188">
        <v>9516</v>
      </c>
      <c r="P630" s="188">
        <v>9516</v>
      </c>
      <c r="Q630" s="129"/>
      <c r="R630" s="67"/>
      <c r="S630" s="188">
        <v>7884</v>
      </c>
      <c r="T630" s="188">
        <v>8367</v>
      </c>
      <c r="U630" s="188">
        <v>8367</v>
      </c>
      <c r="V630" s="61"/>
      <c r="W630" s="58"/>
      <c r="X630" s="188">
        <v>7445</v>
      </c>
      <c r="Y630" s="188">
        <v>7445</v>
      </c>
      <c r="Z630" s="129"/>
      <c r="AA630" s="128"/>
      <c r="AB630" s="67"/>
      <c r="AC630" s="188">
        <v>6594</v>
      </c>
      <c r="AD630" s="188">
        <v>6624.01</v>
      </c>
      <c r="AE630" s="61"/>
      <c r="AF630" s="65"/>
      <c r="AG630" s="58"/>
      <c r="AH630" s="188">
        <v>6838</v>
      </c>
      <c r="AI630" s="129"/>
      <c r="AJ630" s="128"/>
      <c r="AK630" s="128"/>
      <c r="AL630" s="67"/>
      <c r="AM630" s="188">
        <v>6838</v>
      </c>
      <c r="AN630" s="135"/>
      <c r="AO630" s="135"/>
      <c r="AP630" s="135"/>
    </row>
    <row r="631" spans="1:42" x14ac:dyDescent="0.25">
      <c r="A631" t="s">
        <v>110</v>
      </c>
      <c r="B631" t="s">
        <v>40</v>
      </c>
      <c r="C631" s="212" t="str">
        <f t="shared" si="9"/>
        <v>Union Juvenile Delinquency</v>
      </c>
      <c r="D631" s="188">
        <v>35.5</v>
      </c>
      <c r="E631" s="188">
        <v>35.5</v>
      </c>
      <c r="F631" s="188">
        <v>35.5</v>
      </c>
      <c r="G631" s="188">
        <v>35.5</v>
      </c>
      <c r="H631" s="125"/>
      <c r="I631" s="188">
        <v>35.5</v>
      </c>
      <c r="J631" s="188">
        <v>35.5</v>
      </c>
      <c r="K631" s="188">
        <v>35.5</v>
      </c>
      <c r="L631" s="188">
        <v>35.5</v>
      </c>
      <c r="M631" s="70"/>
      <c r="N631" s="188">
        <v>437.5</v>
      </c>
      <c r="O631" s="188">
        <v>437.5</v>
      </c>
      <c r="P631" s="188">
        <v>437.5</v>
      </c>
      <c r="Q631" s="129"/>
      <c r="R631" s="67"/>
      <c r="S631" s="188">
        <v>0</v>
      </c>
      <c r="T631" s="188">
        <v>0</v>
      </c>
      <c r="U631" s="188">
        <v>218.75</v>
      </c>
      <c r="V631" s="61"/>
      <c r="W631" s="58"/>
      <c r="X631" s="188">
        <v>1180.75</v>
      </c>
      <c r="Y631" s="188">
        <v>1180.75</v>
      </c>
      <c r="Z631" s="129"/>
      <c r="AA631" s="128"/>
      <c r="AB631" s="67"/>
      <c r="AC631" s="188">
        <v>7</v>
      </c>
      <c r="AD631" s="188">
        <v>7</v>
      </c>
      <c r="AE631" s="61"/>
      <c r="AF631" s="65"/>
      <c r="AG631" s="58"/>
      <c r="AH631" s="188">
        <v>1773</v>
      </c>
      <c r="AI631" s="129"/>
      <c r="AJ631" s="128"/>
      <c r="AK631" s="128"/>
      <c r="AL631" s="67"/>
      <c r="AM631" s="188">
        <v>309.25</v>
      </c>
      <c r="AN631" s="135"/>
      <c r="AO631" s="135"/>
      <c r="AP631" s="135"/>
    </row>
    <row r="632" spans="1:42" x14ac:dyDescent="0.25">
      <c r="A632" t="s">
        <v>110</v>
      </c>
      <c r="B632" t="s">
        <v>45</v>
      </c>
      <c r="C632" s="212" t="str">
        <f t="shared" si="9"/>
        <v>Union Probate</v>
      </c>
      <c r="D632" s="188">
        <v>1122</v>
      </c>
      <c r="E632" s="188">
        <v>1122</v>
      </c>
      <c r="F632" s="188">
        <v>1122</v>
      </c>
      <c r="G632" s="188">
        <v>1122</v>
      </c>
      <c r="H632" s="125"/>
      <c r="I632" s="188">
        <v>1122</v>
      </c>
      <c r="J632" s="188">
        <v>1122</v>
      </c>
      <c r="K632" s="188">
        <v>1122</v>
      </c>
      <c r="L632" s="188">
        <v>1122</v>
      </c>
      <c r="M632" s="70"/>
      <c r="N632" s="188">
        <v>1235</v>
      </c>
      <c r="O632" s="188">
        <v>1235</v>
      </c>
      <c r="P632" s="188">
        <v>1235</v>
      </c>
      <c r="Q632" s="129"/>
      <c r="R632" s="67"/>
      <c r="S632" s="188">
        <v>1235</v>
      </c>
      <c r="T632" s="188">
        <v>1235</v>
      </c>
      <c r="U632" s="188">
        <v>1235</v>
      </c>
      <c r="V632" s="61"/>
      <c r="W632" s="58"/>
      <c r="X632" s="188">
        <v>4727</v>
      </c>
      <c r="Y632" s="188">
        <v>4727</v>
      </c>
      <c r="Z632" s="129"/>
      <c r="AA632" s="128"/>
      <c r="AB632" s="67"/>
      <c r="AC632" s="188">
        <v>4727</v>
      </c>
      <c r="AD632" s="188">
        <v>4727</v>
      </c>
      <c r="AE632" s="61"/>
      <c r="AF632" s="65"/>
      <c r="AG632" s="58"/>
      <c r="AH632" s="188">
        <v>2838</v>
      </c>
      <c r="AI632" s="129"/>
      <c r="AJ632" s="128"/>
      <c r="AK632" s="128"/>
      <c r="AL632" s="67"/>
      <c r="AM632" s="188">
        <v>2838</v>
      </c>
      <c r="AN632" s="135"/>
      <c r="AO632" s="135"/>
      <c r="AP632" s="135"/>
    </row>
    <row r="633" spans="1:42" x14ac:dyDescent="0.25">
      <c r="A633" t="s">
        <v>111</v>
      </c>
      <c r="B633" t="s">
        <v>42</v>
      </c>
      <c r="C633" s="212" t="str">
        <f t="shared" si="9"/>
        <v>Volusia Circuit Civil</v>
      </c>
      <c r="D633" s="188">
        <v>1246161.72</v>
      </c>
      <c r="E633" s="188">
        <v>1239272.6200000001</v>
      </c>
      <c r="F633" s="188">
        <v>1232897.6200000001</v>
      </c>
      <c r="G633" s="188">
        <v>1223572.6200000001</v>
      </c>
      <c r="H633" s="125"/>
      <c r="I633" s="188">
        <v>1128058.92</v>
      </c>
      <c r="J633" s="188">
        <v>1210496.3700000001</v>
      </c>
      <c r="K633" s="188">
        <v>1219209.3700000001</v>
      </c>
      <c r="L633" s="188">
        <v>1213490.3700000001</v>
      </c>
      <c r="M633" s="70"/>
      <c r="N633" s="188">
        <v>1275536</v>
      </c>
      <c r="O633" s="188">
        <v>1270102.08</v>
      </c>
      <c r="P633" s="188">
        <v>1267172.58</v>
      </c>
      <c r="Q633" s="129"/>
      <c r="R633" s="67"/>
      <c r="S633" s="188">
        <v>1114337.05</v>
      </c>
      <c r="T633" s="188">
        <v>1247799.98</v>
      </c>
      <c r="U633" s="188">
        <v>1250438.48</v>
      </c>
      <c r="V633" s="61"/>
      <c r="W633" s="58"/>
      <c r="X633" s="188">
        <v>1340342.67</v>
      </c>
      <c r="Y633" s="188">
        <v>1335571.67</v>
      </c>
      <c r="Z633" s="129"/>
      <c r="AA633" s="128"/>
      <c r="AB633" s="67"/>
      <c r="AC633" s="188">
        <v>1231738.57</v>
      </c>
      <c r="AD633" s="188">
        <v>1313017.57</v>
      </c>
      <c r="AE633" s="61"/>
      <c r="AF633" s="65"/>
      <c r="AG633" s="58"/>
      <c r="AH633" s="188">
        <v>1385215.17</v>
      </c>
      <c r="AI633" s="129"/>
      <c r="AJ633" s="128"/>
      <c r="AK633" s="128"/>
      <c r="AL633" s="67"/>
      <c r="AM633" s="188">
        <v>1282516.21</v>
      </c>
      <c r="AN633" s="135"/>
      <c r="AO633" s="135"/>
      <c r="AP633" s="135"/>
    </row>
    <row r="634" spans="1:42" x14ac:dyDescent="0.25">
      <c r="A634" t="s">
        <v>111</v>
      </c>
      <c r="B634" t="s">
        <v>38</v>
      </c>
      <c r="C634" s="212" t="str">
        <f t="shared" si="9"/>
        <v>Volusia Circuit Criminal</v>
      </c>
      <c r="D634" s="188">
        <v>1439490.82</v>
      </c>
      <c r="E634" s="188">
        <v>1438290.82</v>
      </c>
      <c r="F634" s="188">
        <v>1437690.82</v>
      </c>
      <c r="G634" s="188">
        <v>1437590.82</v>
      </c>
      <c r="H634" s="125"/>
      <c r="I634" s="188">
        <v>10690.53</v>
      </c>
      <c r="J634" s="188">
        <v>28207.83</v>
      </c>
      <c r="K634" s="188">
        <v>40938.239999999998</v>
      </c>
      <c r="L634" s="188">
        <v>50201.86</v>
      </c>
      <c r="M634" s="70"/>
      <c r="N634" s="188">
        <v>1427505.46</v>
      </c>
      <c r="O634" s="188">
        <v>1425409.46</v>
      </c>
      <c r="P634" s="188">
        <v>1425009.46</v>
      </c>
      <c r="Q634" s="129"/>
      <c r="R634" s="67"/>
      <c r="S634" s="188">
        <v>18973</v>
      </c>
      <c r="T634" s="188">
        <v>36691.339999999997</v>
      </c>
      <c r="U634" s="188">
        <v>51218.34</v>
      </c>
      <c r="V634" s="61"/>
      <c r="W634" s="58"/>
      <c r="X634" s="188">
        <v>1119734.2</v>
      </c>
      <c r="Y634" s="188">
        <v>1116599.2</v>
      </c>
      <c r="Z634" s="129"/>
      <c r="AA634" s="128"/>
      <c r="AB634" s="67"/>
      <c r="AC634" s="188">
        <v>22521.599999999999</v>
      </c>
      <c r="AD634" s="188">
        <v>40755.800000000003</v>
      </c>
      <c r="AE634" s="61"/>
      <c r="AF634" s="65"/>
      <c r="AG634" s="58"/>
      <c r="AH634" s="188">
        <v>1054978.8</v>
      </c>
      <c r="AI634" s="129"/>
      <c r="AJ634" s="128"/>
      <c r="AK634" s="128"/>
      <c r="AL634" s="67"/>
      <c r="AM634" s="188">
        <v>14867.08</v>
      </c>
      <c r="AN634" s="135"/>
      <c r="AO634" s="135"/>
      <c r="AP634" s="135"/>
    </row>
    <row r="635" spans="1:42" x14ac:dyDescent="0.25">
      <c r="A635" t="s">
        <v>111</v>
      </c>
      <c r="B635" t="s">
        <v>265</v>
      </c>
      <c r="C635" s="212" t="str">
        <f t="shared" si="9"/>
        <v>Volusia Circuit Criminal Drug Cases</v>
      </c>
      <c r="D635" s="188">
        <v>729461</v>
      </c>
      <c r="E635" s="188">
        <v>729461</v>
      </c>
      <c r="F635" s="188">
        <v>729461</v>
      </c>
      <c r="G635" s="188">
        <v>729561</v>
      </c>
      <c r="I635" s="188">
        <v>0</v>
      </c>
      <c r="J635" s="188">
        <v>0</v>
      </c>
      <c r="K635" s="188">
        <v>0</v>
      </c>
      <c r="L635" s="188">
        <v>27.46</v>
      </c>
      <c r="N635" s="188">
        <v>688156</v>
      </c>
      <c r="O635" s="188">
        <v>688256</v>
      </c>
      <c r="P635" s="188">
        <v>688356</v>
      </c>
      <c r="S635" s="188">
        <v>0</v>
      </c>
      <c r="T635" s="188">
        <v>0</v>
      </c>
      <c r="U635" s="188">
        <v>418</v>
      </c>
      <c r="X635" s="188">
        <v>429227.42</v>
      </c>
      <c r="Y635" s="188">
        <v>429277.42</v>
      </c>
      <c r="AC635" s="188">
        <v>52.42</v>
      </c>
      <c r="AD635" s="188">
        <v>52.42</v>
      </c>
      <c r="AH635" s="188">
        <v>476920.26</v>
      </c>
      <c r="AM635" s="188">
        <v>66.260000000000005</v>
      </c>
    </row>
    <row r="636" spans="1:42" x14ac:dyDescent="0.25">
      <c r="A636" t="s">
        <v>111</v>
      </c>
      <c r="B636" t="s">
        <v>44</v>
      </c>
      <c r="C636" s="212" t="str">
        <f t="shared" si="9"/>
        <v>Volusia Civil Traffic</v>
      </c>
      <c r="D636" s="188">
        <v>2646772.4</v>
      </c>
      <c r="E636" s="188">
        <v>1887700.5</v>
      </c>
      <c r="F636" s="188">
        <v>1871047</v>
      </c>
      <c r="G636" s="188">
        <v>1867394</v>
      </c>
      <c r="H636" s="125"/>
      <c r="I636" s="188">
        <v>1061393.93</v>
      </c>
      <c r="J636" s="188">
        <v>1589869.45</v>
      </c>
      <c r="K636" s="188">
        <v>1703182.31</v>
      </c>
      <c r="L636" s="188">
        <v>1733426.98</v>
      </c>
      <c r="M636" s="70"/>
      <c r="N636" s="188">
        <v>2485510.2000000002</v>
      </c>
      <c r="O636" s="188">
        <v>1998805.25</v>
      </c>
      <c r="P636" s="188">
        <v>1986202.25</v>
      </c>
      <c r="Q636" s="129"/>
      <c r="R636" s="67"/>
      <c r="S636" s="188">
        <v>1110226.5</v>
      </c>
      <c r="T636" s="188">
        <v>1674478.75</v>
      </c>
      <c r="U636" s="188">
        <v>1787587.65</v>
      </c>
      <c r="V636" s="61"/>
      <c r="W636" s="58"/>
      <c r="X636" s="188">
        <v>2493321.75</v>
      </c>
      <c r="Y636" s="188">
        <v>2009871.15</v>
      </c>
      <c r="Z636" s="129"/>
      <c r="AA636" s="128"/>
      <c r="AB636" s="67"/>
      <c r="AC636" s="188">
        <v>1147576.95</v>
      </c>
      <c r="AD636" s="188">
        <v>1656148.64</v>
      </c>
      <c r="AE636" s="61"/>
      <c r="AF636" s="65"/>
      <c r="AG636" s="58"/>
      <c r="AH636" s="188">
        <v>2704004.05</v>
      </c>
      <c r="AI636" s="129"/>
      <c r="AJ636" s="128"/>
      <c r="AK636" s="128"/>
      <c r="AL636" s="67"/>
      <c r="AM636" s="188">
        <v>1044804.41</v>
      </c>
      <c r="AN636" s="135"/>
      <c r="AO636" s="135"/>
      <c r="AP636" s="135"/>
    </row>
    <row r="637" spans="1:42" x14ac:dyDescent="0.25">
      <c r="A637" t="s">
        <v>111</v>
      </c>
      <c r="B637" t="s">
        <v>43</v>
      </c>
      <c r="C637" s="212" t="str">
        <f t="shared" si="9"/>
        <v>Volusia County Civil</v>
      </c>
      <c r="D637" s="188">
        <v>523445.2</v>
      </c>
      <c r="E637" s="188">
        <v>516846.2</v>
      </c>
      <c r="F637" s="188">
        <v>515296.2</v>
      </c>
      <c r="G637" s="188">
        <v>514916.2</v>
      </c>
      <c r="H637" s="125"/>
      <c r="I637" s="188">
        <v>484518.2</v>
      </c>
      <c r="J637" s="188">
        <v>510666.2</v>
      </c>
      <c r="K637" s="188">
        <v>510641.2</v>
      </c>
      <c r="L637" s="188">
        <v>511021.2</v>
      </c>
      <c r="M637" s="70"/>
      <c r="N637" s="188">
        <v>510524.05</v>
      </c>
      <c r="O637" s="188">
        <v>510064.05</v>
      </c>
      <c r="P637" s="188">
        <v>509642.05</v>
      </c>
      <c r="Q637" s="129"/>
      <c r="R637" s="67"/>
      <c r="S637" s="188">
        <v>444812.05</v>
      </c>
      <c r="T637" s="188">
        <v>507497.05</v>
      </c>
      <c r="U637" s="188">
        <v>507167.55</v>
      </c>
      <c r="V637" s="61"/>
      <c r="W637" s="58"/>
      <c r="X637" s="188">
        <v>534737.15</v>
      </c>
      <c r="Y637" s="188">
        <v>533142.15</v>
      </c>
      <c r="Z637" s="129"/>
      <c r="AA637" s="128"/>
      <c r="AB637" s="67"/>
      <c r="AC637" s="188">
        <v>488555.57</v>
      </c>
      <c r="AD637" s="188">
        <v>529261.15</v>
      </c>
      <c r="AE637" s="61"/>
      <c r="AF637" s="65"/>
      <c r="AG637" s="58"/>
      <c r="AH637" s="188">
        <v>565677.74</v>
      </c>
      <c r="AI637" s="129"/>
      <c r="AJ637" s="128"/>
      <c r="AK637" s="128"/>
      <c r="AL637" s="67"/>
      <c r="AM637" s="188">
        <v>526904.74</v>
      </c>
      <c r="AN637" s="135"/>
      <c r="AO637" s="135"/>
      <c r="AP637" s="135"/>
    </row>
    <row r="638" spans="1:42" x14ac:dyDescent="0.25">
      <c r="A638" t="s">
        <v>111</v>
      </c>
      <c r="B638" t="s">
        <v>39</v>
      </c>
      <c r="C638" s="212" t="str">
        <f t="shared" si="9"/>
        <v>Volusia County Criminal</v>
      </c>
      <c r="D638" s="188">
        <v>875923.2</v>
      </c>
      <c r="E638" s="188">
        <v>860403.19999999995</v>
      </c>
      <c r="F638" s="188">
        <v>852004.95</v>
      </c>
      <c r="G638" s="188">
        <v>850054.45</v>
      </c>
      <c r="H638" s="125"/>
      <c r="I638" s="188">
        <v>153788.67000000001</v>
      </c>
      <c r="J638" s="188">
        <v>207090.05</v>
      </c>
      <c r="K638" s="188">
        <v>240075.7</v>
      </c>
      <c r="L638" s="188">
        <v>255433.65</v>
      </c>
      <c r="M638" s="70"/>
      <c r="N638" s="188">
        <v>1066783.02</v>
      </c>
      <c r="O638" s="188">
        <v>1055532.02</v>
      </c>
      <c r="P638" s="188">
        <v>1046633.52</v>
      </c>
      <c r="Q638" s="129"/>
      <c r="R638" s="67"/>
      <c r="S638" s="188">
        <v>144617.57999999999</v>
      </c>
      <c r="T638" s="188">
        <v>200700.05</v>
      </c>
      <c r="U638" s="188">
        <v>234919.01</v>
      </c>
      <c r="V638" s="61"/>
      <c r="W638" s="58"/>
      <c r="X638" s="188">
        <v>862060.75</v>
      </c>
      <c r="Y638" s="188">
        <v>848655.75</v>
      </c>
      <c r="Z638" s="129"/>
      <c r="AA638" s="128"/>
      <c r="AB638" s="67"/>
      <c r="AC638" s="188">
        <v>143306.04999999999</v>
      </c>
      <c r="AD638" s="188">
        <v>193984.99</v>
      </c>
      <c r="AE638" s="61"/>
      <c r="AF638" s="65"/>
      <c r="AG638" s="58"/>
      <c r="AH638" s="188">
        <v>674912.85</v>
      </c>
      <c r="AI638" s="129"/>
      <c r="AJ638" s="128"/>
      <c r="AK638" s="128"/>
      <c r="AL638" s="67"/>
      <c r="AM638" s="188">
        <v>98234.39</v>
      </c>
      <c r="AN638" s="135"/>
      <c r="AO638" s="135"/>
      <c r="AP638" s="135"/>
    </row>
    <row r="639" spans="1:42" x14ac:dyDescent="0.25">
      <c r="A639" t="s">
        <v>111</v>
      </c>
      <c r="B639" t="s">
        <v>41</v>
      </c>
      <c r="C639" s="212" t="str">
        <f t="shared" si="9"/>
        <v>Volusia Criminal Traffic</v>
      </c>
      <c r="D639" s="188">
        <v>900310.14</v>
      </c>
      <c r="E639" s="188">
        <v>739869.05</v>
      </c>
      <c r="F639" s="188">
        <v>680723.95</v>
      </c>
      <c r="G639" s="188">
        <v>666300.55000000005</v>
      </c>
      <c r="H639" s="125"/>
      <c r="I639" s="188">
        <v>190787.53</v>
      </c>
      <c r="J639" s="188">
        <v>329198.53999999998</v>
      </c>
      <c r="K639" s="188">
        <v>393507.02</v>
      </c>
      <c r="L639" s="188">
        <v>424602.11</v>
      </c>
      <c r="M639" s="70"/>
      <c r="N639" s="188">
        <v>915844.2</v>
      </c>
      <c r="O639" s="188">
        <v>743094.2</v>
      </c>
      <c r="P639" s="188">
        <v>696276.71</v>
      </c>
      <c r="Q639" s="129"/>
      <c r="R639" s="67"/>
      <c r="S639" s="188">
        <v>216961.73</v>
      </c>
      <c r="T639" s="188">
        <v>342993.82</v>
      </c>
      <c r="U639" s="188">
        <v>401520.79</v>
      </c>
      <c r="V639" s="61"/>
      <c r="W639" s="58"/>
      <c r="X639" s="188">
        <v>915060.56</v>
      </c>
      <c r="Y639" s="188">
        <v>759437.96</v>
      </c>
      <c r="Z639" s="129"/>
      <c r="AA639" s="128"/>
      <c r="AB639" s="67"/>
      <c r="AC639" s="188">
        <v>227404.95</v>
      </c>
      <c r="AD639" s="188">
        <v>333341.01</v>
      </c>
      <c r="AE639" s="61"/>
      <c r="AF639" s="65"/>
      <c r="AG639" s="58"/>
      <c r="AH639" s="188">
        <v>964938.23</v>
      </c>
      <c r="AI639" s="129"/>
      <c r="AJ639" s="128"/>
      <c r="AK639" s="128"/>
      <c r="AL639" s="67"/>
      <c r="AM639" s="188">
        <v>187342.51</v>
      </c>
      <c r="AN639" s="135"/>
      <c r="AO639" s="135"/>
      <c r="AP639" s="135"/>
    </row>
    <row r="640" spans="1:42" x14ac:dyDescent="0.25">
      <c r="A640" t="s">
        <v>111</v>
      </c>
      <c r="B640" t="s">
        <v>46</v>
      </c>
      <c r="C640" s="212" t="str">
        <f t="shared" si="9"/>
        <v>Volusia Family</v>
      </c>
      <c r="D640" s="188">
        <v>214125</v>
      </c>
      <c r="E640" s="188">
        <v>211287.5</v>
      </c>
      <c r="F640" s="188">
        <v>211287.5</v>
      </c>
      <c r="G640" s="188">
        <v>211287.5</v>
      </c>
      <c r="H640" s="125"/>
      <c r="I640" s="188">
        <v>196776.7</v>
      </c>
      <c r="J640" s="188">
        <v>204664.36</v>
      </c>
      <c r="K640" s="188">
        <v>204886.02</v>
      </c>
      <c r="L640" s="188">
        <v>204886.02</v>
      </c>
      <c r="M640" s="70"/>
      <c r="N640" s="188">
        <v>239821.74</v>
      </c>
      <c r="O640" s="188">
        <v>238387.74</v>
      </c>
      <c r="P640" s="188">
        <v>238387.74</v>
      </c>
      <c r="Q640" s="129"/>
      <c r="R640" s="67"/>
      <c r="S640" s="188">
        <v>208070.28</v>
      </c>
      <c r="T640" s="188">
        <v>228960.53</v>
      </c>
      <c r="U640" s="188">
        <v>229694.53</v>
      </c>
      <c r="V640" s="61"/>
      <c r="W640" s="58"/>
      <c r="X640" s="188">
        <v>254843.05</v>
      </c>
      <c r="Y640" s="188">
        <v>252046.05</v>
      </c>
      <c r="Z640" s="129"/>
      <c r="AA640" s="128"/>
      <c r="AB640" s="67"/>
      <c r="AC640" s="188">
        <v>223701.25</v>
      </c>
      <c r="AD640" s="188">
        <v>239063.75</v>
      </c>
      <c r="AE640" s="61"/>
      <c r="AF640" s="65"/>
      <c r="AG640" s="58"/>
      <c r="AH640" s="188">
        <v>248916.77</v>
      </c>
      <c r="AI640" s="129"/>
      <c r="AJ640" s="128"/>
      <c r="AK640" s="128"/>
      <c r="AL640" s="67"/>
      <c r="AM640" s="188">
        <v>222281.42</v>
      </c>
      <c r="AN640" s="135"/>
      <c r="AO640" s="135"/>
      <c r="AP640" s="135"/>
    </row>
    <row r="641" spans="1:42" x14ac:dyDescent="0.25">
      <c r="A641" t="s">
        <v>111</v>
      </c>
      <c r="B641" t="s">
        <v>40</v>
      </c>
      <c r="C641" s="212" t="str">
        <f t="shared" si="9"/>
        <v>Volusia Juvenile Delinquency</v>
      </c>
      <c r="D641" s="188">
        <v>39784</v>
      </c>
      <c r="E641" s="188">
        <v>38931</v>
      </c>
      <c r="F641" s="188">
        <v>38281</v>
      </c>
      <c r="G641" s="188">
        <v>38131</v>
      </c>
      <c r="H641" s="125"/>
      <c r="I641" s="188">
        <v>1416</v>
      </c>
      <c r="J641" s="188">
        <v>3126</v>
      </c>
      <c r="K641" s="188">
        <v>3976</v>
      </c>
      <c r="L641" s="188">
        <v>4955</v>
      </c>
      <c r="M641" s="70"/>
      <c r="N641" s="188">
        <v>38855</v>
      </c>
      <c r="O641" s="188">
        <v>37717</v>
      </c>
      <c r="P641" s="188">
        <v>37264</v>
      </c>
      <c r="Q641" s="129"/>
      <c r="R641" s="67"/>
      <c r="S641" s="188">
        <v>1648</v>
      </c>
      <c r="T641" s="188">
        <v>3215</v>
      </c>
      <c r="U641" s="188">
        <v>3500</v>
      </c>
      <c r="V641" s="61"/>
      <c r="W641" s="58"/>
      <c r="X641" s="188">
        <v>40129.800000000003</v>
      </c>
      <c r="Y641" s="188">
        <v>37632.800000000003</v>
      </c>
      <c r="Z641" s="129"/>
      <c r="AA641" s="128"/>
      <c r="AB641" s="67"/>
      <c r="AC641" s="188">
        <v>2038.8</v>
      </c>
      <c r="AD641" s="188">
        <v>2388.8000000000002</v>
      </c>
      <c r="AE641" s="61"/>
      <c r="AF641" s="65"/>
      <c r="AG641" s="58"/>
      <c r="AH641" s="188">
        <v>32603.5</v>
      </c>
      <c r="AI641" s="129"/>
      <c r="AJ641" s="128"/>
      <c r="AK641" s="128"/>
      <c r="AL641" s="67"/>
      <c r="AM641" s="188">
        <v>1882.5</v>
      </c>
      <c r="AN641" s="135"/>
      <c r="AO641" s="135"/>
      <c r="AP641" s="135"/>
    </row>
    <row r="642" spans="1:42" x14ac:dyDescent="0.25">
      <c r="A642" t="s">
        <v>111</v>
      </c>
      <c r="B642" t="s">
        <v>45</v>
      </c>
      <c r="C642" s="212" t="str">
        <f t="shared" si="9"/>
        <v>Volusia Probate</v>
      </c>
      <c r="D642" s="188">
        <v>207078.5</v>
      </c>
      <c r="E642" s="188">
        <v>205728.5</v>
      </c>
      <c r="F642" s="188">
        <v>205008.5</v>
      </c>
      <c r="G642" s="188">
        <v>204663.5</v>
      </c>
      <c r="H642" s="125"/>
      <c r="I642" s="188">
        <v>193926.5</v>
      </c>
      <c r="J642" s="188">
        <v>204167.5</v>
      </c>
      <c r="K642" s="188">
        <v>204668.5</v>
      </c>
      <c r="L642" s="188">
        <v>204323.5</v>
      </c>
      <c r="M642" s="70"/>
      <c r="N642" s="188">
        <v>231574.45</v>
      </c>
      <c r="O642" s="188">
        <v>229849.45</v>
      </c>
      <c r="P642" s="188">
        <v>229849.45</v>
      </c>
      <c r="Q642" s="129"/>
      <c r="R642" s="67"/>
      <c r="S642" s="188">
        <v>211853.24</v>
      </c>
      <c r="T642" s="188">
        <v>228984.24</v>
      </c>
      <c r="U642" s="188">
        <v>229329.24</v>
      </c>
      <c r="V642" s="61"/>
      <c r="W642" s="58"/>
      <c r="X642" s="188">
        <v>257467.3</v>
      </c>
      <c r="Y642" s="188">
        <v>255681.3</v>
      </c>
      <c r="Z642" s="129"/>
      <c r="AA642" s="128"/>
      <c r="AB642" s="67"/>
      <c r="AC642" s="188">
        <v>235264.29</v>
      </c>
      <c r="AD642" s="188">
        <v>252528.29</v>
      </c>
      <c r="AE642" s="61"/>
      <c r="AF642" s="65"/>
      <c r="AG642" s="58"/>
      <c r="AH642" s="188">
        <v>229140.43</v>
      </c>
      <c r="AI642" s="129"/>
      <c r="AJ642" s="128"/>
      <c r="AK642" s="128"/>
      <c r="AL642" s="67"/>
      <c r="AM642" s="188">
        <v>222136.43</v>
      </c>
      <c r="AN642" s="135"/>
      <c r="AO642" s="135"/>
      <c r="AP642" s="135"/>
    </row>
    <row r="643" spans="1:42" x14ac:dyDescent="0.25">
      <c r="A643" t="s">
        <v>112</v>
      </c>
      <c r="B643" t="s">
        <v>42</v>
      </c>
      <c r="C643" s="212" t="str">
        <f t="shared" ref="C643:C672" si="10">A643&amp;" "&amp;B643</f>
        <v>Wakulla Circuit Civil</v>
      </c>
      <c r="D643" s="188">
        <v>47264.33</v>
      </c>
      <c r="E643" s="188">
        <v>47264.33</v>
      </c>
      <c r="F643" s="188">
        <v>47264.33</v>
      </c>
      <c r="G643" s="188">
        <v>47264.33</v>
      </c>
      <c r="H643" s="125"/>
      <c r="I643" s="188">
        <v>46422.33</v>
      </c>
      <c r="J643" s="188">
        <v>46422.33</v>
      </c>
      <c r="K643" s="188">
        <v>46422.33</v>
      </c>
      <c r="L643" s="188">
        <v>46422.33</v>
      </c>
      <c r="M643" s="70"/>
      <c r="N643" s="188">
        <v>49804.78</v>
      </c>
      <c r="O643" s="188">
        <v>49804.78</v>
      </c>
      <c r="P643" s="188">
        <v>49804.78</v>
      </c>
      <c r="Q643" s="129"/>
      <c r="R643" s="67"/>
      <c r="S643" s="188">
        <v>49384.78</v>
      </c>
      <c r="T643" s="188">
        <v>49804.78</v>
      </c>
      <c r="U643" s="188">
        <v>49804.78</v>
      </c>
      <c r="V643" s="61"/>
      <c r="W643" s="58"/>
      <c r="X643" s="188">
        <v>66679.3</v>
      </c>
      <c r="Y643" s="188">
        <v>66629.3</v>
      </c>
      <c r="Z643" s="129"/>
      <c r="AA643" s="128"/>
      <c r="AB643" s="67"/>
      <c r="AC643" s="188">
        <v>66679.3</v>
      </c>
      <c r="AD643" s="188">
        <v>66629.3</v>
      </c>
      <c r="AE643" s="61"/>
      <c r="AF643" s="65"/>
      <c r="AG643" s="58"/>
      <c r="AH643" s="188">
        <v>47187</v>
      </c>
      <c r="AI643" s="129"/>
      <c r="AJ643" s="128"/>
      <c r="AK643" s="128"/>
      <c r="AL643" s="67"/>
      <c r="AM643" s="188">
        <v>46777</v>
      </c>
      <c r="AN643" s="135"/>
      <c r="AO643" s="135"/>
      <c r="AP643" s="135"/>
    </row>
    <row r="644" spans="1:42" x14ac:dyDescent="0.25">
      <c r="A644" t="s">
        <v>112</v>
      </c>
      <c r="B644" t="s">
        <v>38</v>
      </c>
      <c r="C644" s="212" t="str">
        <f t="shared" si="10"/>
        <v>Wakulla Circuit Criminal</v>
      </c>
      <c r="D644" s="188">
        <v>75821.84</v>
      </c>
      <c r="E644" s="188">
        <v>75821.84</v>
      </c>
      <c r="F644" s="188">
        <v>75821.84</v>
      </c>
      <c r="G644" s="188">
        <v>75821.84</v>
      </c>
      <c r="H644" s="125"/>
      <c r="I644" s="188">
        <v>8254.84</v>
      </c>
      <c r="J644" s="188">
        <v>11139.84</v>
      </c>
      <c r="K644" s="188">
        <v>17467.84</v>
      </c>
      <c r="L644" s="188">
        <v>20922.84</v>
      </c>
      <c r="M644" s="70"/>
      <c r="N644" s="188">
        <v>62534</v>
      </c>
      <c r="O644" s="188">
        <v>62373</v>
      </c>
      <c r="P644" s="188">
        <v>62373</v>
      </c>
      <c r="Q644" s="129"/>
      <c r="R644" s="67"/>
      <c r="S644" s="188">
        <v>960</v>
      </c>
      <c r="T644" s="188">
        <v>2200</v>
      </c>
      <c r="U644" s="188">
        <v>3575</v>
      </c>
      <c r="V644" s="61"/>
      <c r="W644" s="58"/>
      <c r="X644" s="188">
        <v>58454.02</v>
      </c>
      <c r="Y644" s="188">
        <v>58204.02</v>
      </c>
      <c r="Z644" s="129"/>
      <c r="AA644" s="128"/>
      <c r="AB644" s="67"/>
      <c r="AC644" s="188">
        <v>1178.02</v>
      </c>
      <c r="AD644" s="188">
        <v>4743.0200000000004</v>
      </c>
      <c r="AE644" s="61"/>
      <c r="AF644" s="65"/>
      <c r="AG644" s="58"/>
      <c r="AH644" s="188">
        <v>75505.5</v>
      </c>
      <c r="AI644" s="129"/>
      <c r="AJ644" s="128"/>
      <c r="AK644" s="128"/>
      <c r="AL644" s="67"/>
      <c r="AM644" s="188">
        <v>1999.5</v>
      </c>
      <c r="AN644" s="135"/>
      <c r="AO644" s="135"/>
      <c r="AP644" s="135"/>
    </row>
    <row r="645" spans="1:42" x14ac:dyDescent="0.25">
      <c r="A645" t="s">
        <v>112</v>
      </c>
      <c r="B645" t="s">
        <v>265</v>
      </c>
      <c r="C645" s="212" t="str">
        <f t="shared" si="10"/>
        <v>Wakulla Circuit Criminal Drug Cases</v>
      </c>
      <c r="D645" s="188">
        <v>0</v>
      </c>
      <c r="E645" s="188">
        <v>0</v>
      </c>
      <c r="F645" s="188">
        <v>0</v>
      </c>
      <c r="G645" s="188">
        <v>0</v>
      </c>
      <c r="I645" s="188">
        <v>0</v>
      </c>
      <c r="J645" s="188">
        <v>0</v>
      </c>
      <c r="K645" s="188">
        <v>0</v>
      </c>
      <c r="L645" s="188">
        <v>0</v>
      </c>
      <c r="N645" s="188">
        <v>0</v>
      </c>
      <c r="O645" s="188">
        <v>0</v>
      </c>
      <c r="P645" s="188">
        <v>0</v>
      </c>
      <c r="S645" s="188">
        <v>0</v>
      </c>
      <c r="T645" s="188">
        <v>0</v>
      </c>
      <c r="U645" s="188">
        <v>0</v>
      </c>
      <c r="X645" s="188">
        <v>0</v>
      </c>
      <c r="Y645" s="188">
        <v>0</v>
      </c>
      <c r="AC645" s="188">
        <v>0</v>
      </c>
      <c r="AD645" s="188">
        <v>0</v>
      </c>
      <c r="AH645" s="188">
        <v>0</v>
      </c>
      <c r="AM645" s="188">
        <v>0</v>
      </c>
    </row>
    <row r="646" spans="1:42" x14ac:dyDescent="0.25">
      <c r="A646" t="s">
        <v>112</v>
      </c>
      <c r="B646" t="s">
        <v>44</v>
      </c>
      <c r="C646" s="212" t="str">
        <f t="shared" si="10"/>
        <v>Wakulla Civil Traffic</v>
      </c>
      <c r="D646" s="188">
        <v>96489</v>
      </c>
      <c r="E646" s="188">
        <v>91382</v>
      </c>
      <c r="F646" s="188">
        <v>91233</v>
      </c>
      <c r="G646" s="188">
        <v>91047</v>
      </c>
      <c r="H646" s="125"/>
      <c r="I646" s="188">
        <v>55068.5</v>
      </c>
      <c r="J646" s="188">
        <v>82227.5</v>
      </c>
      <c r="K646" s="188">
        <v>83372.5</v>
      </c>
      <c r="L646" s="188">
        <v>84532.5</v>
      </c>
      <c r="M646" s="70"/>
      <c r="N646" s="188">
        <v>98330.75</v>
      </c>
      <c r="O646" s="188">
        <v>93636.5</v>
      </c>
      <c r="P646" s="188">
        <v>93314.5</v>
      </c>
      <c r="Q646" s="129"/>
      <c r="R646" s="67"/>
      <c r="S646" s="188">
        <v>57069.75</v>
      </c>
      <c r="T646" s="188">
        <v>81713</v>
      </c>
      <c r="U646" s="188">
        <v>83503</v>
      </c>
      <c r="V646" s="61"/>
      <c r="W646" s="58"/>
      <c r="X646" s="188">
        <v>98306</v>
      </c>
      <c r="Y646" s="188">
        <v>94548</v>
      </c>
      <c r="Z646" s="129"/>
      <c r="AA646" s="128"/>
      <c r="AB646" s="67"/>
      <c r="AC646" s="188">
        <v>59462</v>
      </c>
      <c r="AD646" s="188">
        <v>80917.5</v>
      </c>
      <c r="AE646" s="61"/>
      <c r="AF646" s="65"/>
      <c r="AG646" s="58"/>
      <c r="AH646" s="188">
        <v>206534.25</v>
      </c>
      <c r="AI646" s="129"/>
      <c r="AJ646" s="128"/>
      <c r="AK646" s="128"/>
      <c r="AL646" s="67"/>
      <c r="AM646" s="188">
        <v>126691.25</v>
      </c>
      <c r="AN646" s="135"/>
      <c r="AO646" s="135"/>
      <c r="AP646" s="135"/>
    </row>
    <row r="647" spans="1:42" x14ac:dyDescent="0.25">
      <c r="A647" t="s">
        <v>112</v>
      </c>
      <c r="B647" t="s">
        <v>43</v>
      </c>
      <c r="C647" s="212" t="str">
        <f t="shared" si="10"/>
        <v>Wakulla County Civil</v>
      </c>
      <c r="D647" s="188">
        <v>18203.62</v>
      </c>
      <c r="E647" s="188">
        <v>18203.62</v>
      </c>
      <c r="F647" s="188">
        <v>18203.62</v>
      </c>
      <c r="G647" s="188">
        <v>18203.62</v>
      </c>
      <c r="H647" s="125"/>
      <c r="I647" s="188">
        <v>17833.62</v>
      </c>
      <c r="J647" s="188">
        <v>17833.62</v>
      </c>
      <c r="K647" s="188">
        <v>17833.62</v>
      </c>
      <c r="L647" s="188">
        <v>17833.62</v>
      </c>
      <c r="M647" s="70"/>
      <c r="N647" s="188">
        <v>21662</v>
      </c>
      <c r="O647" s="188">
        <v>21662</v>
      </c>
      <c r="P647" s="188">
        <v>21662</v>
      </c>
      <c r="Q647" s="129"/>
      <c r="R647" s="67"/>
      <c r="S647" s="188">
        <v>21377</v>
      </c>
      <c r="T647" s="188">
        <v>21377</v>
      </c>
      <c r="U647" s="188">
        <v>21377</v>
      </c>
      <c r="V647" s="61"/>
      <c r="W647" s="58"/>
      <c r="X647" s="188">
        <v>18385</v>
      </c>
      <c r="Y647" s="188">
        <v>18385</v>
      </c>
      <c r="Z647" s="129"/>
      <c r="AA647" s="128"/>
      <c r="AB647" s="67"/>
      <c r="AC647" s="188">
        <v>17535</v>
      </c>
      <c r="AD647" s="188">
        <v>17845</v>
      </c>
      <c r="AE647" s="61"/>
      <c r="AF647" s="65"/>
      <c r="AG647" s="58"/>
      <c r="AH647" s="188">
        <v>19725</v>
      </c>
      <c r="AI647" s="129"/>
      <c r="AJ647" s="128"/>
      <c r="AK647" s="128"/>
      <c r="AL647" s="67"/>
      <c r="AM647" s="188">
        <v>19115</v>
      </c>
      <c r="AN647" s="135"/>
      <c r="AO647" s="135"/>
      <c r="AP647" s="135"/>
    </row>
    <row r="648" spans="1:42" x14ac:dyDescent="0.25">
      <c r="A648" t="s">
        <v>112</v>
      </c>
      <c r="B648" t="s">
        <v>39</v>
      </c>
      <c r="C648" s="212" t="str">
        <f t="shared" si="10"/>
        <v>Wakulla County Criminal</v>
      </c>
      <c r="D648" s="188">
        <v>17486.5</v>
      </c>
      <c r="E648" s="188">
        <v>17397.95</v>
      </c>
      <c r="F648" s="188">
        <v>17247.95</v>
      </c>
      <c r="G648" s="188">
        <v>17247.95</v>
      </c>
      <c r="H648" s="125"/>
      <c r="I648" s="188">
        <v>4376.5</v>
      </c>
      <c r="J648" s="188">
        <v>6573.5</v>
      </c>
      <c r="K648" s="188">
        <v>7474.5</v>
      </c>
      <c r="L648" s="188">
        <v>7734.5</v>
      </c>
      <c r="M648" s="70"/>
      <c r="N648" s="188">
        <v>17734</v>
      </c>
      <c r="O648" s="188">
        <v>17325</v>
      </c>
      <c r="P648" s="188">
        <v>16091</v>
      </c>
      <c r="Q648" s="129"/>
      <c r="R648" s="67"/>
      <c r="S648" s="188">
        <v>3838.5</v>
      </c>
      <c r="T648" s="188">
        <v>7037.5</v>
      </c>
      <c r="U648" s="188">
        <v>8340</v>
      </c>
      <c r="V648" s="61"/>
      <c r="W648" s="58"/>
      <c r="X648" s="188">
        <v>24788.400000000001</v>
      </c>
      <c r="Y648" s="188">
        <v>24164.55</v>
      </c>
      <c r="Z648" s="129"/>
      <c r="AA648" s="128"/>
      <c r="AB648" s="67"/>
      <c r="AC648" s="188">
        <v>6398.9</v>
      </c>
      <c r="AD648" s="188">
        <v>11610.8</v>
      </c>
      <c r="AE648" s="61"/>
      <c r="AF648" s="65"/>
      <c r="AG648" s="58"/>
      <c r="AH648" s="188">
        <v>37422.9</v>
      </c>
      <c r="AI648" s="129"/>
      <c r="AJ648" s="128"/>
      <c r="AK648" s="128"/>
      <c r="AL648" s="67"/>
      <c r="AM648" s="188">
        <v>9434.2000000000007</v>
      </c>
      <c r="AN648" s="135"/>
      <c r="AO648" s="135"/>
      <c r="AP648" s="135"/>
    </row>
    <row r="649" spans="1:42" x14ac:dyDescent="0.25">
      <c r="A649" t="s">
        <v>112</v>
      </c>
      <c r="B649" t="s">
        <v>41</v>
      </c>
      <c r="C649" s="212" t="str">
        <f t="shared" si="10"/>
        <v>Wakulla Criminal Traffic</v>
      </c>
      <c r="D649" s="188">
        <v>42880.07</v>
      </c>
      <c r="E649" s="188">
        <v>42660.75</v>
      </c>
      <c r="F649" s="188">
        <v>42510.75</v>
      </c>
      <c r="G649" s="188">
        <v>42460.75</v>
      </c>
      <c r="H649" s="125"/>
      <c r="I649" s="188">
        <v>7526.75</v>
      </c>
      <c r="J649" s="188">
        <v>16744.75</v>
      </c>
      <c r="K649" s="188">
        <v>20717.75</v>
      </c>
      <c r="L649" s="188">
        <v>23110.75</v>
      </c>
      <c r="M649" s="70"/>
      <c r="N649" s="188">
        <v>47919.5</v>
      </c>
      <c r="O649" s="188">
        <v>47838.5</v>
      </c>
      <c r="P649" s="188">
        <v>47838.5</v>
      </c>
      <c r="Q649" s="129"/>
      <c r="R649" s="67"/>
      <c r="S649" s="188">
        <v>10871.5</v>
      </c>
      <c r="T649" s="188">
        <v>18073.5</v>
      </c>
      <c r="U649" s="188">
        <v>22899.58</v>
      </c>
      <c r="V649" s="61"/>
      <c r="W649" s="58"/>
      <c r="X649" s="188">
        <v>36666</v>
      </c>
      <c r="Y649" s="188">
        <v>35441.06</v>
      </c>
      <c r="Z649" s="129"/>
      <c r="AA649" s="128"/>
      <c r="AB649" s="67"/>
      <c r="AC649" s="188">
        <v>7077</v>
      </c>
      <c r="AD649" s="188">
        <v>13417.6</v>
      </c>
      <c r="AE649" s="61"/>
      <c r="AF649" s="65"/>
      <c r="AG649" s="58"/>
      <c r="AH649" s="188">
        <v>69211.55</v>
      </c>
      <c r="AI649" s="129"/>
      <c r="AJ649" s="128"/>
      <c r="AK649" s="128"/>
      <c r="AL649" s="67"/>
      <c r="AM649" s="188">
        <v>10737.55</v>
      </c>
      <c r="AN649" s="135"/>
      <c r="AO649" s="135"/>
      <c r="AP649" s="135"/>
    </row>
    <row r="650" spans="1:42" x14ac:dyDescent="0.25">
      <c r="A650" t="s">
        <v>112</v>
      </c>
      <c r="B650" t="s">
        <v>46</v>
      </c>
      <c r="C650" s="212" t="str">
        <f t="shared" si="10"/>
        <v>Wakulla Family</v>
      </c>
      <c r="D650" s="188">
        <v>15805</v>
      </c>
      <c r="E650" s="188">
        <v>15805</v>
      </c>
      <c r="F650" s="188">
        <v>15805</v>
      </c>
      <c r="G650" s="188">
        <v>15805</v>
      </c>
      <c r="H650" s="125"/>
      <c r="I650" s="188">
        <v>12069</v>
      </c>
      <c r="J650" s="188">
        <v>12069</v>
      </c>
      <c r="K650" s="188">
        <v>12069</v>
      </c>
      <c r="L650" s="188">
        <v>12069</v>
      </c>
      <c r="M650" s="70"/>
      <c r="N650" s="188">
        <v>16060</v>
      </c>
      <c r="O650" s="188">
        <v>15704</v>
      </c>
      <c r="P650" s="188">
        <v>15704</v>
      </c>
      <c r="Q650" s="129"/>
      <c r="R650" s="67"/>
      <c r="S650" s="188">
        <v>13620</v>
      </c>
      <c r="T650" s="188">
        <v>13680</v>
      </c>
      <c r="U650" s="188">
        <v>13680</v>
      </c>
      <c r="V650" s="61"/>
      <c r="W650" s="58"/>
      <c r="X650" s="188">
        <v>14118.5</v>
      </c>
      <c r="Y650" s="188">
        <v>14118.5</v>
      </c>
      <c r="Z650" s="129"/>
      <c r="AA650" s="128"/>
      <c r="AB650" s="67"/>
      <c r="AC650" s="188">
        <v>13662.5</v>
      </c>
      <c r="AD650" s="188">
        <v>13662.5</v>
      </c>
      <c r="AE650" s="61"/>
      <c r="AF650" s="65"/>
      <c r="AG650" s="58"/>
      <c r="AH650" s="188">
        <v>14875.4</v>
      </c>
      <c r="AI650" s="129"/>
      <c r="AJ650" s="128"/>
      <c r="AK650" s="128"/>
      <c r="AL650" s="67"/>
      <c r="AM650" s="188">
        <v>13668.9</v>
      </c>
      <c r="AN650" s="135"/>
      <c r="AO650" s="135"/>
      <c r="AP650" s="135"/>
    </row>
    <row r="651" spans="1:42" x14ac:dyDescent="0.25">
      <c r="A651" t="s">
        <v>112</v>
      </c>
      <c r="B651" t="s">
        <v>40</v>
      </c>
      <c r="C651" s="212" t="str">
        <f t="shared" si="10"/>
        <v>Wakulla Juvenile Delinquency</v>
      </c>
      <c r="D651" s="188">
        <v>1547</v>
      </c>
      <c r="E651" s="188">
        <v>1547</v>
      </c>
      <c r="F651" s="188">
        <v>1547</v>
      </c>
      <c r="G651" s="188">
        <v>1547</v>
      </c>
      <c r="H651" s="125"/>
      <c r="I651" s="188">
        <v>327</v>
      </c>
      <c r="J651" s="188">
        <v>427</v>
      </c>
      <c r="K651" s="188">
        <v>427</v>
      </c>
      <c r="L651" s="188">
        <v>487</v>
      </c>
      <c r="M651" s="70"/>
      <c r="N651" s="188">
        <v>1012</v>
      </c>
      <c r="O651" s="188">
        <v>1012</v>
      </c>
      <c r="P651" s="188">
        <v>762</v>
      </c>
      <c r="Q651" s="129"/>
      <c r="R651" s="67"/>
      <c r="S651" s="188">
        <v>192</v>
      </c>
      <c r="T651" s="188">
        <v>192</v>
      </c>
      <c r="U651" s="188">
        <v>292</v>
      </c>
      <c r="V651" s="61"/>
      <c r="W651" s="58"/>
      <c r="X651" s="188">
        <v>1000</v>
      </c>
      <c r="Y651" s="188">
        <v>1000</v>
      </c>
      <c r="Z651" s="129"/>
      <c r="AA651" s="128"/>
      <c r="AB651" s="67"/>
      <c r="AC651" s="188">
        <v>0</v>
      </c>
      <c r="AD651" s="188">
        <v>0</v>
      </c>
      <c r="AE651" s="61"/>
      <c r="AF651" s="65"/>
      <c r="AG651" s="58"/>
      <c r="AH651" s="188">
        <v>3626</v>
      </c>
      <c r="AI651" s="129"/>
      <c r="AJ651" s="128"/>
      <c r="AK651" s="128"/>
      <c r="AL651" s="67"/>
      <c r="AM651" s="188">
        <v>406</v>
      </c>
      <c r="AN651" s="135"/>
      <c r="AO651" s="135"/>
      <c r="AP651" s="135"/>
    </row>
    <row r="652" spans="1:42" x14ac:dyDescent="0.25">
      <c r="A652" t="s">
        <v>112</v>
      </c>
      <c r="B652" t="s">
        <v>45</v>
      </c>
      <c r="C652" s="212" t="str">
        <f t="shared" si="10"/>
        <v>Wakulla Probate</v>
      </c>
      <c r="D652" s="188">
        <v>7523</v>
      </c>
      <c r="E652" s="188">
        <v>7523</v>
      </c>
      <c r="F652" s="188">
        <v>7523</v>
      </c>
      <c r="G652" s="188">
        <v>7523</v>
      </c>
      <c r="H652" s="125"/>
      <c r="I652" s="188">
        <v>7523</v>
      </c>
      <c r="J652" s="188">
        <v>7523</v>
      </c>
      <c r="K652" s="188">
        <v>7523</v>
      </c>
      <c r="L652" s="188">
        <v>7523</v>
      </c>
      <c r="M652" s="70"/>
      <c r="N652" s="188">
        <v>11778</v>
      </c>
      <c r="O652" s="188">
        <v>11778</v>
      </c>
      <c r="P652" s="188">
        <v>11778</v>
      </c>
      <c r="Q652" s="129"/>
      <c r="R652" s="67"/>
      <c r="S652" s="188">
        <v>11778</v>
      </c>
      <c r="T652" s="188">
        <v>11778</v>
      </c>
      <c r="U652" s="188">
        <v>11778</v>
      </c>
      <c r="V652" s="61"/>
      <c r="W652" s="58"/>
      <c r="X652" s="188">
        <v>9716</v>
      </c>
      <c r="Y652" s="188">
        <v>9716</v>
      </c>
      <c r="Z652" s="129"/>
      <c r="AA652" s="128"/>
      <c r="AB652" s="67"/>
      <c r="AC652" s="188">
        <v>9716</v>
      </c>
      <c r="AD652" s="188">
        <v>9716</v>
      </c>
      <c r="AE652" s="61"/>
      <c r="AF652" s="65"/>
      <c r="AG652" s="58"/>
      <c r="AH652" s="188">
        <v>6928</v>
      </c>
      <c r="AI652" s="129"/>
      <c r="AJ652" s="128"/>
      <c r="AK652" s="128"/>
      <c r="AL652" s="67"/>
      <c r="AM652" s="188">
        <v>6928</v>
      </c>
      <c r="AN652" s="135"/>
      <c r="AO652" s="135"/>
      <c r="AP652" s="135"/>
    </row>
    <row r="653" spans="1:42" x14ac:dyDescent="0.25">
      <c r="A653" t="s">
        <v>113</v>
      </c>
      <c r="B653" t="s">
        <v>42</v>
      </c>
      <c r="C653" s="212" t="str">
        <f t="shared" si="10"/>
        <v>Walton Circuit Civil</v>
      </c>
      <c r="D653" s="188">
        <v>17161</v>
      </c>
      <c r="E653" s="188">
        <v>171161</v>
      </c>
      <c r="F653" s="188">
        <v>171161</v>
      </c>
      <c r="G653" s="188">
        <v>171160</v>
      </c>
      <c r="H653" s="125"/>
      <c r="I653" s="188">
        <v>170761</v>
      </c>
      <c r="J653" s="188">
        <v>170761</v>
      </c>
      <c r="K653" s="188">
        <v>170761</v>
      </c>
      <c r="L653" s="188">
        <v>170761</v>
      </c>
      <c r="M653" s="70"/>
      <c r="N653" s="188">
        <v>185898</v>
      </c>
      <c r="O653" s="188">
        <v>185898</v>
      </c>
      <c r="P653" s="188">
        <v>185898</v>
      </c>
      <c r="Q653" s="129"/>
      <c r="R653" s="67"/>
      <c r="S653" s="188">
        <v>185428</v>
      </c>
      <c r="T653" s="188">
        <v>185898</v>
      </c>
      <c r="U653" s="188">
        <v>185898</v>
      </c>
      <c r="V653" s="61"/>
      <c r="W653" s="58"/>
      <c r="X653" s="188">
        <v>180352</v>
      </c>
      <c r="Y653" s="188">
        <v>179951</v>
      </c>
      <c r="Z653" s="129"/>
      <c r="AA653" s="128"/>
      <c r="AB653" s="67"/>
      <c r="AC653" s="188">
        <v>178967</v>
      </c>
      <c r="AD653" s="188">
        <v>179952</v>
      </c>
      <c r="AE653" s="61"/>
      <c r="AF653" s="65"/>
      <c r="AG653" s="58"/>
      <c r="AI653" s="129"/>
      <c r="AJ653" s="128"/>
      <c r="AK653" s="128"/>
      <c r="AL653" s="67"/>
      <c r="AN653" s="135"/>
      <c r="AO653" s="135"/>
      <c r="AP653" s="135"/>
    </row>
    <row r="654" spans="1:42" x14ac:dyDescent="0.25">
      <c r="A654" t="s">
        <v>113</v>
      </c>
      <c r="B654" t="s">
        <v>38</v>
      </c>
      <c r="C654" s="212" t="str">
        <f t="shared" si="10"/>
        <v>Walton Circuit Criminal</v>
      </c>
      <c r="D654" s="188">
        <v>190740</v>
      </c>
      <c r="E654" s="188">
        <v>190560</v>
      </c>
      <c r="F654" s="188">
        <v>190360</v>
      </c>
      <c r="G654" s="188">
        <v>190360</v>
      </c>
      <c r="H654" s="125"/>
      <c r="I654" s="188">
        <v>8098</v>
      </c>
      <c r="J654" s="188">
        <v>12779</v>
      </c>
      <c r="K654" s="188">
        <v>15749</v>
      </c>
      <c r="L654" s="188">
        <v>18951</v>
      </c>
      <c r="M654" s="70"/>
      <c r="N654" s="188">
        <v>268496</v>
      </c>
      <c r="O654" s="188">
        <v>270301</v>
      </c>
      <c r="P654" s="188">
        <v>270301</v>
      </c>
      <c r="Q654" s="129"/>
      <c r="R654" s="67"/>
      <c r="S654" s="188">
        <v>4517</v>
      </c>
      <c r="T654" s="188">
        <v>10354</v>
      </c>
      <c r="U654" s="188">
        <v>15215</v>
      </c>
      <c r="V654" s="61"/>
      <c r="W654" s="58"/>
      <c r="X654" s="188">
        <v>250997</v>
      </c>
      <c r="Y654" s="188">
        <v>250651</v>
      </c>
      <c r="Z654" s="129"/>
      <c r="AA654" s="128"/>
      <c r="AB654" s="67"/>
      <c r="AC654" s="188">
        <v>9455</v>
      </c>
      <c r="AD654" s="188">
        <v>14046</v>
      </c>
      <c r="AE654" s="61"/>
      <c r="AF654" s="65"/>
      <c r="AG654" s="58"/>
      <c r="AH654" s="188">
        <v>262846</v>
      </c>
      <c r="AI654" s="129"/>
      <c r="AJ654" s="128"/>
      <c r="AK654" s="128"/>
      <c r="AL654" s="67"/>
      <c r="AM654" s="188">
        <v>9943</v>
      </c>
      <c r="AN654" s="135"/>
      <c r="AO654" s="135"/>
      <c r="AP654" s="135"/>
    </row>
    <row r="655" spans="1:42" x14ac:dyDescent="0.25">
      <c r="A655" t="s">
        <v>113</v>
      </c>
      <c r="B655" t="s">
        <v>265</v>
      </c>
      <c r="C655" s="212" t="str">
        <f t="shared" si="10"/>
        <v>Walton Circuit Criminal Drug Cases</v>
      </c>
      <c r="D655" s="188">
        <v>50000</v>
      </c>
      <c r="E655" s="188">
        <v>50000</v>
      </c>
      <c r="F655" s="188">
        <v>50000</v>
      </c>
      <c r="G655" s="188">
        <v>50000</v>
      </c>
      <c r="I655" s="188">
        <v>0</v>
      </c>
      <c r="J655" s="188">
        <v>0</v>
      </c>
      <c r="K655" s="188">
        <v>0</v>
      </c>
      <c r="L655" s="188">
        <v>0</v>
      </c>
      <c r="N655" s="188">
        <v>100000</v>
      </c>
      <c r="O655" s="188">
        <v>100000</v>
      </c>
      <c r="P655" s="188">
        <v>100000</v>
      </c>
      <c r="S655" s="188">
        <v>0</v>
      </c>
      <c r="T655" s="188">
        <v>0</v>
      </c>
      <c r="U655" s="188">
        <v>0</v>
      </c>
      <c r="X655" s="188">
        <v>100000</v>
      </c>
      <c r="Y655" s="188">
        <v>100000</v>
      </c>
      <c r="AC655" s="188">
        <v>0</v>
      </c>
      <c r="AD655" s="188">
        <v>0</v>
      </c>
      <c r="AH655" s="188">
        <v>150000</v>
      </c>
      <c r="AM655" s="188">
        <v>0</v>
      </c>
    </row>
    <row r="656" spans="1:42" x14ac:dyDescent="0.25">
      <c r="A656" t="s">
        <v>113</v>
      </c>
      <c r="B656" t="s">
        <v>44</v>
      </c>
      <c r="C656" s="212" t="str">
        <f t="shared" si="10"/>
        <v>Walton Civil Traffic</v>
      </c>
      <c r="D656" s="188">
        <v>199740</v>
      </c>
      <c r="E656" s="188">
        <v>195829</v>
      </c>
      <c r="F656" s="188">
        <v>195705</v>
      </c>
      <c r="G656" s="188">
        <v>195581</v>
      </c>
      <c r="H656" s="125"/>
      <c r="I656" s="188">
        <v>98488</v>
      </c>
      <c r="J656" s="188">
        <v>170316</v>
      </c>
      <c r="K656" s="188">
        <v>179375</v>
      </c>
      <c r="L656" s="188">
        <v>182740</v>
      </c>
      <c r="M656" s="70"/>
      <c r="N656" s="188">
        <v>203996</v>
      </c>
      <c r="O656" s="188">
        <v>202091</v>
      </c>
      <c r="P656" s="188">
        <v>202252</v>
      </c>
      <c r="Q656" s="129"/>
      <c r="R656" s="67"/>
      <c r="S656" s="188">
        <v>103392</v>
      </c>
      <c r="T656" s="188">
        <v>171907</v>
      </c>
      <c r="U656" s="188">
        <v>178685</v>
      </c>
      <c r="V656" s="61"/>
      <c r="W656" s="58"/>
      <c r="X656" s="188">
        <v>201133</v>
      </c>
      <c r="Y656" s="188">
        <v>197576</v>
      </c>
      <c r="Z656" s="129"/>
      <c r="AA656" s="128"/>
      <c r="AB656" s="67"/>
      <c r="AC656" s="188">
        <v>104065</v>
      </c>
      <c r="AD656" s="188">
        <v>167967</v>
      </c>
      <c r="AE656" s="61"/>
      <c r="AF656" s="65"/>
      <c r="AG656" s="58"/>
      <c r="AH656" s="188">
        <v>204786</v>
      </c>
      <c r="AI656" s="129"/>
      <c r="AJ656" s="128"/>
      <c r="AK656" s="128"/>
      <c r="AL656" s="67"/>
      <c r="AM656" s="188">
        <v>100548</v>
      </c>
      <c r="AN656" s="135"/>
      <c r="AO656" s="135"/>
      <c r="AP656" s="135"/>
    </row>
    <row r="657" spans="1:43" x14ac:dyDescent="0.25">
      <c r="A657" t="s">
        <v>113</v>
      </c>
      <c r="B657" t="s">
        <v>43</v>
      </c>
      <c r="C657" s="212" t="str">
        <f t="shared" si="10"/>
        <v>Walton County Civil</v>
      </c>
      <c r="D657" s="188">
        <v>39965</v>
      </c>
      <c r="E657" s="188">
        <v>39965</v>
      </c>
      <c r="F657" s="188">
        <v>39965</v>
      </c>
      <c r="G657" s="188">
        <v>39965</v>
      </c>
      <c r="H657" s="125"/>
      <c r="I657" s="188">
        <v>39965</v>
      </c>
      <c r="J657" s="188">
        <v>39965</v>
      </c>
      <c r="K657" s="188">
        <v>39965</v>
      </c>
      <c r="L657" s="188">
        <v>39965</v>
      </c>
      <c r="M657" s="70"/>
      <c r="N657" s="188">
        <v>49065</v>
      </c>
      <c r="O657" s="188">
        <v>49065</v>
      </c>
      <c r="P657" s="188">
        <v>49065</v>
      </c>
      <c r="Q657" s="129"/>
      <c r="R657" s="67"/>
      <c r="S657" s="188">
        <v>48825</v>
      </c>
      <c r="T657" s="188">
        <v>49010</v>
      </c>
      <c r="U657" s="188">
        <v>49010</v>
      </c>
      <c r="V657" s="61"/>
      <c r="W657" s="58"/>
      <c r="X657" s="188">
        <v>60483</v>
      </c>
      <c r="Y657" s="188">
        <v>60483</v>
      </c>
      <c r="Z657" s="129"/>
      <c r="AA657" s="128"/>
      <c r="AB657" s="67"/>
      <c r="AC657" s="188">
        <v>59988</v>
      </c>
      <c r="AD657" s="188">
        <v>60483</v>
      </c>
      <c r="AE657" s="61"/>
      <c r="AF657" s="65"/>
      <c r="AG657" s="58"/>
      <c r="AI657" s="129"/>
      <c r="AJ657" s="128"/>
      <c r="AK657" s="128"/>
      <c r="AL657" s="67"/>
      <c r="AN657" s="135"/>
      <c r="AO657" s="135"/>
      <c r="AP657" s="135"/>
    </row>
    <row r="658" spans="1:43" x14ac:dyDescent="0.25">
      <c r="A658" t="s">
        <v>113</v>
      </c>
      <c r="B658" t="s">
        <v>39</v>
      </c>
      <c r="C658" s="212" t="str">
        <f t="shared" si="10"/>
        <v>Walton County Criminal</v>
      </c>
      <c r="D658" s="188">
        <v>156306</v>
      </c>
      <c r="E658" s="188">
        <v>155778</v>
      </c>
      <c r="F658" s="188">
        <v>155048</v>
      </c>
      <c r="G658" s="188">
        <v>155378</v>
      </c>
      <c r="H658" s="125"/>
      <c r="I658" s="188">
        <v>48782</v>
      </c>
      <c r="J658" s="188">
        <v>71038</v>
      </c>
      <c r="K658" s="188">
        <v>87082</v>
      </c>
      <c r="L658" s="188">
        <v>93277</v>
      </c>
      <c r="M658" s="70"/>
      <c r="N658" s="188">
        <v>167986</v>
      </c>
      <c r="O658" s="188">
        <v>169064</v>
      </c>
      <c r="P658" s="188">
        <v>168793</v>
      </c>
      <c r="Q658" s="129"/>
      <c r="R658" s="67"/>
      <c r="S658" s="188">
        <v>49690</v>
      </c>
      <c r="T658" s="188">
        <v>83157</v>
      </c>
      <c r="U658" s="188">
        <v>103288</v>
      </c>
      <c r="V658" s="61"/>
      <c r="W658" s="58"/>
      <c r="X658" s="188">
        <v>273789</v>
      </c>
      <c r="Y658" s="188">
        <v>276732</v>
      </c>
      <c r="Z658" s="129"/>
      <c r="AA658" s="128"/>
      <c r="AB658" s="67"/>
      <c r="AC658" s="188">
        <v>151929</v>
      </c>
      <c r="AD658" s="188">
        <v>192555</v>
      </c>
      <c r="AE658" s="61"/>
      <c r="AF658" s="65"/>
      <c r="AG658" s="58"/>
      <c r="AH658" s="188">
        <v>158066</v>
      </c>
      <c r="AI658" s="129"/>
      <c r="AJ658" s="128"/>
      <c r="AK658" s="128"/>
      <c r="AL658" s="67"/>
      <c r="AM658" s="188">
        <v>61796</v>
      </c>
      <c r="AN658" s="135"/>
      <c r="AO658" s="135"/>
      <c r="AP658" s="135"/>
    </row>
    <row r="659" spans="1:43" x14ac:dyDescent="0.25">
      <c r="A659" t="s">
        <v>113</v>
      </c>
      <c r="B659" t="s">
        <v>41</v>
      </c>
      <c r="C659" s="212" t="str">
        <f t="shared" si="10"/>
        <v>Walton Criminal Traffic</v>
      </c>
      <c r="D659" s="188">
        <v>49396</v>
      </c>
      <c r="E659" s="188">
        <v>49296</v>
      </c>
      <c r="F659" s="188">
        <v>49627</v>
      </c>
      <c r="G659" s="188">
        <v>49627</v>
      </c>
      <c r="H659" s="125"/>
      <c r="I659" s="188">
        <v>18698</v>
      </c>
      <c r="J659" s="188">
        <v>27946</v>
      </c>
      <c r="K659" s="188">
        <v>32128</v>
      </c>
      <c r="L659" s="188">
        <v>33216</v>
      </c>
      <c r="M659" s="70"/>
      <c r="N659" s="188">
        <v>61467</v>
      </c>
      <c r="O659" s="188">
        <v>60760</v>
      </c>
      <c r="P659" s="188">
        <v>60660</v>
      </c>
      <c r="Q659" s="129"/>
      <c r="R659" s="67"/>
      <c r="S659" s="188">
        <v>24891</v>
      </c>
      <c r="T659" s="188">
        <v>33643</v>
      </c>
      <c r="U659" s="188">
        <v>39202</v>
      </c>
      <c r="V659" s="61"/>
      <c r="W659" s="58"/>
      <c r="X659" s="188">
        <v>54030</v>
      </c>
      <c r="Y659" s="188">
        <v>54030</v>
      </c>
      <c r="Z659" s="129"/>
      <c r="AA659" s="128"/>
      <c r="AB659" s="67"/>
      <c r="AC659" s="188">
        <v>23219</v>
      </c>
      <c r="AD659" s="188">
        <v>32053</v>
      </c>
      <c r="AE659" s="61"/>
      <c r="AF659" s="65"/>
      <c r="AG659" s="58"/>
      <c r="AH659" s="188">
        <v>70127</v>
      </c>
      <c r="AI659" s="129"/>
      <c r="AJ659" s="128"/>
      <c r="AK659" s="128"/>
      <c r="AL659" s="67"/>
      <c r="AM659" s="188">
        <v>30343</v>
      </c>
      <c r="AN659" s="135"/>
      <c r="AO659" s="135"/>
      <c r="AP659" s="135"/>
    </row>
    <row r="660" spans="1:43" x14ac:dyDescent="0.25">
      <c r="A660" t="s">
        <v>113</v>
      </c>
      <c r="B660" t="s">
        <v>46</v>
      </c>
      <c r="C660" s="212" t="str">
        <f t="shared" si="10"/>
        <v>Walton Family</v>
      </c>
      <c r="D660" s="188">
        <v>36742</v>
      </c>
      <c r="E660" s="188">
        <v>36742</v>
      </c>
      <c r="F660" s="188">
        <v>36742</v>
      </c>
      <c r="G660" s="188">
        <v>36742</v>
      </c>
      <c r="H660" s="125"/>
      <c r="I660" s="188">
        <v>36742</v>
      </c>
      <c r="J660" s="188">
        <v>36742</v>
      </c>
      <c r="K660" s="188">
        <v>36742</v>
      </c>
      <c r="L660" s="188">
        <v>36742</v>
      </c>
      <c r="M660" s="70"/>
      <c r="N660" s="188">
        <v>40280</v>
      </c>
      <c r="O660" s="188">
        <v>40280</v>
      </c>
      <c r="P660" s="188">
        <v>40280</v>
      </c>
      <c r="Q660" s="129"/>
      <c r="R660" s="67"/>
      <c r="S660" s="188">
        <v>39862</v>
      </c>
      <c r="T660" s="188">
        <v>40280</v>
      </c>
      <c r="U660" s="188">
        <v>40280</v>
      </c>
      <c r="V660" s="61"/>
      <c r="W660" s="58"/>
      <c r="X660" s="188">
        <v>31376</v>
      </c>
      <c r="Y660" s="188">
        <v>31376</v>
      </c>
      <c r="Z660" s="129"/>
      <c r="AA660" s="128"/>
      <c r="AB660" s="67"/>
      <c r="AC660" s="188">
        <v>31376</v>
      </c>
      <c r="AD660" s="188">
        <v>31376</v>
      </c>
      <c r="AE660" s="61"/>
      <c r="AF660" s="65"/>
      <c r="AG660" s="58"/>
      <c r="AI660" s="129"/>
      <c r="AJ660" s="128"/>
      <c r="AK660" s="128"/>
      <c r="AL660" s="67"/>
      <c r="AN660" s="135"/>
      <c r="AO660" s="135"/>
      <c r="AP660" s="135"/>
    </row>
    <row r="661" spans="1:43" x14ac:dyDescent="0.25">
      <c r="A661" t="s">
        <v>113</v>
      </c>
      <c r="B661" t="s">
        <v>40</v>
      </c>
      <c r="C661" s="212" t="str">
        <f t="shared" si="10"/>
        <v>Walton Juvenile Delinquency</v>
      </c>
      <c r="D661" s="188">
        <v>342</v>
      </c>
      <c r="E661" s="188">
        <v>342</v>
      </c>
      <c r="F661" s="188">
        <v>342</v>
      </c>
      <c r="G661" s="188">
        <v>342</v>
      </c>
      <c r="H661" s="125"/>
      <c r="I661" s="188">
        <v>342</v>
      </c>
      <c r="J661" s="188">
        <v>342</v>
      </c>
      <c r="K661" s="188">
        <v>342</v>
      </c>
      <c r="L661" s="188">
        <v>342</v>
      </c>
      <c r="M661" s="70"/>
      <c r="N661" s="188">
        <v>1194</v>
      </c>
      <c r="O661" s="188">
        <v>1194</v>
      </c>
      <c r="P661" s="188">
        <v>1194</v>
      </c>
      <c r="Q661" s="129"/>
      <c r="R661" s="67"/>
      <c r="S661" s="188">
        <v>944</v>
      </c>
      <c r="T661" s="188">
        <v>1194</v>
      </c>
      <c r="U661" s="188">
        <v>1194</v>
      </c>
      <c r="V661" s="61"/>
      <c r="W661" s="58"/>
      <c r="X661" s="188">
        <v>32544</v>
      </c>
      <c r="Y661" s="188">
        <v>32794</v>
      </c>
      <c r="Z661" s="129"/>
      <c r="AA661" s="128"/>
      <c r="AB661" s="67"/>
      <c r="AC661" s="188">
        <v>30890</v>
      </c>
      <c r="AD661" s="188">
        <v>32140</v>
      </c>
      <c r="AE661" s="61"/>
      <c r="AF661" s="65"/>
      <c r="AG661" s="58"/>
      <c r="AH661" s="188">
        <v>9018</v>
      </c>
      <c r="AI661" s="129"/>
      <c r="AJ661" s="128"/>
      <c r="AK661" s="128"/>
      <c r="AL661" s="67"/>
      <c r="AM661" s="188">
        <v>7359</v>
      </c>
      <c r="AN661" s="135"/>
      <c r="AO661" s="135"/>
      <c r="AP661" s="135"/>
    </row>
    <row r="662" spans="1:43" x14ac:dyDescent="0.25">
      <c r="A662" t="s">
        <v>113</v>
      </c>
      <c r="B662" t="s">
        <v>45</v>
      </c>
      <c r="C662" s="212" t="str">
        <f t="shared" si="10"/>
        <v>Walton Probate</v>
      </c>
      <c r="D662" s="188">
        <v>23163</v>
      </c>
      <c r="E662" s="188">
        <v>23163</v>
      </c>
      <c r="F662" s="188">
        <v>23163</v>
      </c>
      <c r="G662" s="188">
        <v>23163</v>
      </c>
      <c r="H662" s="125"/>
      <c r="I662" s="188">
        <v>23163</v>
      </c>
      <c r="J662" s="188">
        <v>23163</v>
      </c>
      <c r="K662" s="188">
        <v>23163</v>
      </c>
      <c r="L662" s="188">
        <v>23163</v>
      </c>
      <c r="M662" s="70"/>
      <c r="N662" s="188">
        <v>27478</v>
      </c>
      <c r="O662" s="188">
        <v>27478</v>
      </c>
      <c r="P662" s="188">
        <v>27478</v>
      </c>
      <c r="Q662" s="129"/>
      <c r="R662" s="67"/>
      <c r="S662" s="188">
        <v>27478</v>
      </c>
      <c r="T662" s="188">
        <v>27478</v>
      </c>
      <c r="U662" s="188">
        <v>27478</v>
      </c>
      <c r="V662" s="61"/>
      <c r="W662" s="58"/>
      <c r="X662" s="188">
        <v>26538</v>
      </c>
      <c r="Y662" s="188">
        <v>26538</v>
      </c>
      <c r="Z662" s="129"/>
      <c r="AA662" s="128"/>
      <c r="AB662" s="67"/>
      <c r="AC662" s="188">
        <v>26138</v>
      </c>
      <c r="AD662" s="188">
        <v>26538</v>
      </c>
      <c r="AE662" s="61"/>
      <c r="AF662" s="65"/>
      <c r="AG662" s="58"/>
      <c r="AI662" s="129"/>
      <c r="AJ662" s="128"/>
      <c r="AK662" s="128"/>
      <c r="AL662" s="67"/>
      <c r="AN662" s="135"/>
      <c r="AO662" s="135"/>
      <c r="AP662" s="135"/>
    </row>
    <row r="663" spans="1:43" x14ac:dyDescent="0.25">
      <c r="A663" t="s">
        <v>114</v>
      </c>
      <c r="B663" t="s">
        <v>42</v>
      </c>
      <c r="C663" s="212" t="str">
        <f t="shared" si="10"/>
        <v>Washington Circuit Civil</v>
      </c>
      <c r="D663" s="188">
        <v>28095</v>
      </c>
      <c r="E663" s="188">
        <v>28095</v>
      </c>
      <c r="F663" s="188">
        <v>28095</v>
      </c>
      <c r="G663" s="188">
        <v>28095</v>
      </c>
      <c r="H663" s="125"/>
      <c r="I663" s="188">
        <v>25362.6</v>
      </c>
      <c r="J663" s="188">
        <v>25362</v>
      </c>
      <c r="K663" s="188">
        <v>25362</v>
      </c>
      <c r="L663" s="188">
        <v>25362</v>
      </c>
      <c r="M663" s="70"/>
      <c r="N663" s="188">
        <v>30667.49</v>
      </c>
      <c r="O663" s="188">
        <v>30667.49</v>
      </c>
      <c r="P663" s="188">
        <v>31152.49</v>
      </c>
      <c r="Q663" s="129"/>
      <c r="R663" s="67"/>
      <c r="S663" s="188">
        <v>29712.49</v>
      </c>
      <c r="T663" s="188">
        <v>29712.49</v>
      </c>
      <c r="U663" s="188">
        <v>29712.49</v>
      </c>
      <c r="V663" s="61"/>
      <c r="W663" s="58"/>
      <c r="X663" s="188">
        <v>25980</v>
      </c>
      <c r="Y663" s="188">
        <v>25980</v>
      </c>
      <c r="Z663" s="129"/>
      <c r="AA663" s="128"/>
      <c r="AB663" s="67"/>
      <c r="AC663" s="188">
        <v>25180</v>
      </c>
      <c r="AD663" s="188">
        <v>25180</v>
      </c>
      <c r="AE663" s="61"/>
      <c r="AF663" s="135"/>
      <c r="AH663" s="188">
        <v>25903.7</v>
      </c>
      <c r="AI663" s="246"/>
      <c r="AJ663"/>
      <c r="AK663"/>
      <c r="AL663" s="247"/>
      <c r="AM663" s="188">
        <v>25503.7</v>
      </c>
      <c r="AN663"/>
      <c r="AO663"/>
      <c r="AP663"/>
      <c r="AQ663"/>
    </row>
    <row r="664" spans="1:43" x14ac:dyDescent="0.25">
      <c r="A664" t="s">
        <v>114</v>
      </c>
      <c r="B664" t="s">
        <v>38</v>
      </c>
      <c r="C664" s="212" t="str">
        <f t="shared" si="10"/>
        <v>Washington Circuit Criminal</v>
      </c>
      <c r="D664" s="188">
        <v>80867.649999999994</v>
      </c>
      <c r="E664" s="188">
        <v>87391.15</v>
      </c>
      <c r="F664" s="188">
        <v>87741.15</v>
      </c>
      <c r="G664" s="188">
        <v>88841.15</v>
      </c>
      <c r="H664" s="125"/>
      <c r="I664" s="188">
        <v>1229.47</v>
      </c>
      <c r="J664" s="188">
        <v>2180.89</v>
      </c>
      <c r="K664" s="188">
        <v>3916.02</v>
      </c>
      <c r="L664" s="188">
        <v>5203.3999999999996</v>
      </c>
      <c r="M664" s="70"/>
      <c r="N664" s="188">
        <v>120114.13</v>
      </c>
      <c r="O664" s="188">
        <v>120614.13</v>
      </c>
      <c r="P664" s="188">
        <v>120149.13</v>
      </c>
      <c r="Q664" s="129"/>
      <c r="R664" s="67"/>
      <c r="S664" s="188">
        <v>3631.53</v>
      </c>
      <c r="T664" s="188">
        <v>6277.85</v>
      </c>
      <c r="U664" s="188">
        <v>7833.4</v>
      </c>
      <c r="V664" s="61"/>
      <c r="W664" s="58"/>
      <c r="X664" s="188">
        <v>137985.5</v>
      </c>
      <c r="Y664" s="188">
        <v>137602.5</v>
      </c>
      <c r="Z664" s="129"/>
      <c r="AA664" s="128"/>
      <c r="AB664" s="67"/>
      <c r="AC664" s="188">
        <v>2297.89</v>
      </c>
      <c r="AD664" s="188">
        <v>5907.46</v>
      </c>
      <c r="AE664" s="61"/>
      <c r="AF664" s="135"/>
      <c r="AH664" s="188">
        <v>192831</v>
      </c>
      <c r="AI664" s="246"/>
      <c r="AJ664"/>
      <c r="AK664"/>
      <c r="AL664" s="247"/>
      <c r="AM664" s="188">
        <v>2022.77</v>
      </c>
      <c r="AN664"/>
      <c r="AO664"/>
      <c r="AP664"/>
      <c r="AQ664"/>
    </row>
    <row r="665" spans="1:43" x14ac:dyDescent="0.25">
      <c r="A665" t="s">
        <v>114</v>
      </c>
      <c r="B665" t="s">
        <v>265</v>
      </c>
      <c r="C665" s="212" t="str">
        <f t="shared" si="10"/>
        <v>Washington Circuit Criminal Drug Cases</v>
      </c>
    </row>
    <row r="666" spans="1:43" x14ac:dyDescent="0.25">
      <c r="A666" t="s">
        <v>114</v>
      </c>
      <c r="B666" t="s">
        <v>44</v>
      </c>
      <c r="C666" s="212" t="str">
        <f t="shared" si="10"/>
        <v>Washington Civil Traffic</v>
      </c>
      <c r="D666" s="188">
        <v>96030.3</v>
      </c>
      <c r="E666" s="188">
        <v>93925.3</v>
      </c>
      <c r="F666" s="188">
        <v>94088.3</v>
      </c>
      <c r="G666" s="188">
        <v>94088.3</v>
      </c>
      <c r="H666" s="125"/>
      <c r="I666" s="188">
        <v>53265</v>
      </c>
      <c r="J666" s="188">
        <v>82770.3</v>
      </c>
      <c r="K666" s="188">
        <v>85256.3</v>
      </c>
      <c r="L666" s="188">
        <v>86199.3</v>
      </c>
      <c r="M666" s="70"/>
      <c r="N666" s="188">
        <v>104004.9</v>
      </c>
      <c r="O666" s="188">
        <v>103406.39999999999</v>
      </c>
      <c r="P666" s="188">
        <v>103854.39999999999</v>
      </c>
      <c r="Q666" s="129"/>
      <c r="R666" s="67"/>
      <c r="S666" s="188">
        <v>55326.7</v>
      </c>
      <c r="T666" s="188">
        <v>85298.2</v>
      </c>
      <c r="U666" s="188">
        <v>89585.2</v>
      </c>
      <c r="V666" s="61"/>
      <c r="W666" s="58"/>
      <c r="X666" s="188">
        <v>89693.5</v>
      </c>
      <c r="Y666" s="188">
        <v>87909.57</v>
      </c>
      <c r="Z666" s="129"/>
      <c r="AA666" s="128"/>
      <c r="AB666" s="67"/>
      <c r="AC666" s="188">
        <v>44844</v>
      </c>
      <c r="AD666" s="188">
        <v>70383.070000000007</v>
      </c>
      <c r="AE666" s="61"/>
      <c r="AF666" s="135"/>
      <c r="AH666" s="188">
        <v>140159.79999999999</v>
      </c>
      <c r="AI666" s="246"/>
      <c r="AJ666"/>
      <c r="AK666"/>
      <c r="AL666" s="247"/>
      <c r="AM666" s="188">
        <v>76859.8</v>
      </c>
      <c r="AN666"/>
      <c r="AO666"/>
      <c r="AP666"/>
      <c r="AQ666"/>
    </row>
    <row r="667" spans="1:43" x14ac:dyDescent="0.25">
      <c r="A667" t="s">
        <v>114</v>
      </c>
      <c r="B667" t="s">
        <v>43</v>
      </c>
      <c r="C667" s="212" t="str">
        <f t="shared" si="10"/>
        <v>Washington County Civil</v>
      </c>
      <c r="D667" s="188">
        <v>20379.5</v>
      </c>
      <c r="E667" s="188">
        <v>20249.5</v>
      </c>
      <c r="F667" s="188">
        <v>20249.5</v>
      </c>
      <c r="G667" s="188">
        <v>20249.5</v>
      </c>
      <c r="H667" s="125"/>
      <c r="I667" s="188">
        <v>20069.5</v>
      </c>
      <c r="J667" s="188">
        <v>20249.5</v>
      </c>
      <c r="K667" s="188">
        <v>20249.5</v>
      </c>
      <c r="L667" s="188">
        <v>20249.5</v>
      </c>
      <c r="M667" s="70"/>
      <c r="N667" s="188">
        <v>12561</v>
      </c>
      <c r="O667" s="188">
        <v>12561</v>
      </c>
      <c r="P667" s="188">
        <v>12561</v>
      </c>
      <c r="Q667" s="129"/>
      <c r="R667" s="67"/>
      <c r="S667" s="188">
        <v>12561</v>
      </c>
      <c r="T667" s="188">
        <v>12561</v>
      </c>
      <c r="U667" s="188">
        <v>12561</v>
      </c>
      <c r="V667" s="61"/>
      <c r="W667" s="58"/>
      <c r="X667" s="188">
        <v>20164</v>
      </c>
      <c r="Y667" s="188">
        <v>19894</v>
      </c>
      <c r="Z667" s="129"/>
      <c r="AA667" s="128"/>
      <c r="AB667" s="67"/>
      <c r="AC667" s="188">
        <v>19984</v>
      </c>
      <c r="AD667" s="188">
        <v>19884</v>
      </c>
      <c r="AE667" s="61"/>
      <c r="AF667" s="135"/>
      <c r="AH667" s="188">
        <v>16392</v>
      </c>
      <c r="AI667" s="246"/>
      <c r="AJ667"/>
      <c r="AK667"/>
      <c r="AL667" s="247"/>
      <c r="AM667" s="188">
        <v>16392</v>
      </c>
      <c r="AN667"/>
      <c r="AO667"/>
      <c r="AP667"/>
      <c r="AQ667"/>
    </row>
    <row r="668" spans="1:43" x14ac:dyDescent="0.25">
      <c r="A668" t="s">
        <v>114</v>
      </c>
      <c r="B668" t="s">
        <v>39</v>
      </c>
      <c r="C668" s="212" t="str">
        <f t="shared" si="10"/>
        <v>Washington County Criminal</v>
      </c>
      <c r="D668" s="188">
        <v>35218.01</v>
      </c>
      <c r="E668" s="188">
        <v>35032.629999999997</v>
      </c>
      <c r="F668" s="188">
        <v>34794.629999999997</v>
      </c>
      <c r="G668" s="188">
        <v>34954.629999999997</v>
      </c>
      <c r="H668" s="125"/>
      <c r="I668" s="188">
        <v>6720.46</v>
      </c>
      <c r="J668" s="188">
        <v>12299.28</v>
      </c>
      <c r="K668" s="188">
        <v>14619.88</v>
      </c>
      <c r="L668" s="188">
        <v>14837.5</v>
      </c>
      <c r="M668" s="70"/>
      <c r="N668" s="188">
        <v>26714.87</v>
      </c>
      <c r="O668" s="188">
        <v>25838.87</v>
      </c>
      <c r="P668" s="188">
        <v>26188.87</v>
      </c>
      <c r="Q668" s="129"/>
      <c r="R668" s="67"/>
      <c r="S668" s="188">
        <v>5479.52</v>
      </c>
      <c r="T668" s="188">
        <v>9285.18</v>
      </c>
      <c r="U668" s="188">
        <v>10805.2</v>
      </c>
      <c r="V668" s="61"/>
      <c r="W668" s="58"/>
      <c r="X668" s="188">
        <v>20010</v>
      </c>
      <c r="Y668" s="188">
        <v>19777.5</v>
      </c>
      <c r="Z668" s="129"/>
      <c r="AA668" s="128"/>
      <c r="AB668" s="67"/>
      <c r="AC668" s="188">
        <v>2410.9699999999998</v>
      </c>
      <c r="AD668" s="188">
        <v>5525.56</v>
      </c>
      <c r="AE668" s="61"/>
      <c r="AF668" s="135"/>
      <c r="AH668" s="188">
        <v>52131.5</v>
      </c>
      <c r="AI668" s="246"/>
      <c r="AJ668"/>
      <c r="AK668"/>
      <c r="AL668" s="247"/>
      <c r="AM668" s="188">
        <v>8218.94</v>
      </c>
      <c r="AN668"/>
      <c r="AO668"/>
      <c r="AP668"/>
      <c r="AQ668"/>
    </row>
    <row r="669" spans="1:43" x14ac:dyDescent="0.25">
      <c r="A669" t="s">
        <v>114</v>
      </c>
      <c r="B669" t="s">
        <v>41</v>
      </c>
      <c r="C669" s="212" t="str">
        <f t="shared" si="10"/>
        <v>Washington Criminal Traffic</v>
      </c>
      <c r="D669" s="188">
        <v>17370</v>
      </c>
      <c r="E669" s="188">
        <v>18290</v>
      </c>
      <c r="F669" s="188">
        <v>18340</v>
      </c>
      <c r="G669" s="188">
        <v>18340</v>
      </c>
      <c r="H669" s="125"/>
      <c r="I669" s="188">
        <v>4770.4399999999996</v>
      </c>
      <c r="J669" s="188">
        <v>8997.77</v>
      </c>
      <c r="K669" s="188">
        <v>10733.65</v>
      </c>
      <c r="L669" s="188">
        <v>11012.04</v>
      </c>
      <c r="M669" s="70"/>
      <c r="N669" s="188">
        <v>17457</v>
      </c>
      <c r="O669" s="188">
        <v>17662</v>
      </c>
      <c r="P669" s="188">
        <v>17648.439999999999</v>
      </c>
      <c r="Q669" s="129"/>
      <c r="R669" s="67"/>
      <c r="S669" s="188">
        <v>3562.5</v>
      </c>
      <c r="T669" s="188">
        <v>6282</v>
      </c>
      <c r="U669" s="188">
        <v>7655.94</v>
      </c>
      <c r="V669" s="61"/>
      <c r="W669" s="58"/>
      <c r="X669" s="188">
        <v>13820</v>
      </c>
      <c r="Y669" s="188">
        <v>13692.12</v>
      </c>
      <c r="Z669" s="129"/>
      <c r="AA669" s="128"/>
      <c r="AB669" s="67"/>
      <c r="AC669" s="188">
        <v>2446.67</v>
      </c>
      <c r="AD669" s="188">
        <v>4750.9399999999996</v>
      </c>
      <c r="AE669" s="61"/>
      <c r="AF669" s="135"/>
      <c r="AH669" s="188">
        <v>23780.25</v>
      </c>
      <c r="AI669" s="246"/>
      <c r="AJ669"/>
      <c r="AK669"/>
      <c r="AL669" s="247"/>
      <c r="AM669" s="188">
        <v>3602.5</v>
      </c>
      <c r="AN669"/>
      <c r="AO669"/>
      <c r="AP669"/>
      <c r="AQ669"/>
    </row>
    <row r="670" spans="1:43" x14ac:dyDescent="0.25">
      <c r="A670" t="s">
        <v>114</v>
      </c>
      <c r="B670" t="s">
        <v>46</v>
      </c>
      <c r="C670" s="212" t="str">
        <f t="shared" si="10"/>
        <v>Washington Family</v>
      </c>
      <c r="D670" s="188">
        <v>11395</v>
      </c>
      <c r="E670" s="188">
        <v>11395</v>
      </c>
      <c r="F670" s="188">
        <v>9771</v>
      </c>
      <c r="G670" s="188">
        <v>9771</v>
      </c>
      <c r="H670" s="125"/>
      <c r="I670" s="188">
        <v>9499</v>
      </c>
      <c r="J670" s="188">
        <v>9703</v>
      </c>
      <c r="K670" s="188">
        <v>9771</v>
      </c>
      <c r="L670" s="188">
        <v>9771</v>
      </c>
      <c r="M670" s="70"/>
      <c r="N670" s="188">
        <v>18027.5</v>
      </c>
      <c r="O670" s="188">
        <v>16503.5</v>
      </c>
      <c r="P670" s="188">
        <v>16503.5</v>
      </c>
      <c r="Q670" s="129"/>
      <c r="R670" s="67"/>
      <c r="S670" s="188">
        <v>15057.5</v>
      </c>
      <c r="T670" s="188">
        <v>15057.5</v>
      </c>
      <c r="U670" s="188">
        <v>15057.5</v>
      </c>
      <c r="V670" s="61"/>
      <c r="W670" s="58"/>
      <c r="X670" s="188">
        <v>16778.5</v>
      </c>
      <c r="Y670" s="188">
        <v>16778.5</v>
      </c>
      <c r="Z670" s="129"/>
      <c r="AA670" s="128"/>
      <c r="AB670" s="67"/>
      <c r="AC670" s="188">
        <v>15547.5</v>
      </c>
      <c r="AD670" s="188">
        <v>15547.5</v>
      </c>
      <c r="AE670" s="61"/>
      <c r="AF670" s="135"/>
      <c r="AH670" s="188">
        <v>18177.5</v>
      </c>
      <c r="AI670" s="246"/>
      <c r="AJ670"/>
      <c r="AK670"/>
      <c r="AL670" s="247"/>
      <c r="AM670" s="188">
        <v>16629.5</v>
      </c>
      <c r="AN670"/>
      <c r="AO670"/>
      <c r="AP670"/>
      <c r="AQ670"/>
    </row>
    <row r="671" spans="1:43" x14ac:dyDescent="0.25">
      <c r="A671" t="s">
        <v>114</v>
      </c>
      <c r="B671" t="s">
        <v>40</v>
      </c>
      <c r="C671" s="212" t="str">
        <f t="shared" si="10"/>
        <v>Washington Juvenile Delinquency</v>
      </c>
      <c r="D671" s="188">
        <v>567</v>
      </c>
      <c r="E671" s="188">
        <v>567</v>
      </c>
      <c r="F671" s="188">
        <v>567</v>
      </c>
      <c r="G671" s="188">
        <v>567</v>
      </c>
      <c r="H671" s="125"/>
      <c r="I671" s="188">
        <v>191</v>
      </c>
      <c r="J671" s="188">
        <v>379</v>
      </c>
      <c r="K671" s="188">
        <v>567</v>
      </c>
      <c r="L671" s="188">
        <v>567</v>
      </c>
      <c r="M671" s="70"/>
      <c r="N671" s="188">
        <v>218</v>
      </c>
      <c r="O671" s="188">
        <v>218</v>
      </c>
      <c r="P671" s="188">
        <v>218</v>
      </c>
      <c r="Q671" s="129"/>
      <c r="R671" s="67"/>
      <c r="S671" s="188">
        <v>218</v>
      </c>
      <c r="T671" s="188">
        <v>218</v>
      </c>
      <c r="U671" s="188">
        <v>218</v>
      </c>
      <c r="V671" s="61"/>
      <c r="W671" s="58"/>
      <c r="X671" s="188">
        <v>782</v>
      </c>
      <c r="Y671" s="188">
        <v>832</v>
      </c>
      <c r="Z671" s="129"/>
      <c r="AA671" s="128"/>
      <c r="AB671" s="67"/>
      <c r="AC671" s="188">
        <v>782</v>
      </c>
      <c r="AD671" s="188">
        <v>782</v>
      </c>
      <c r="AE671" s="61"/>
      <c r="AF671" s="135"/>
      <c r="AH671" s="188">
        <v>1484</v>
      </c>
      <c r="AI671" s="246"/>
      <c r="AJ671"/>
      <c r="AK671"/>
      <c r="AL671" s="247"/>
      <c r="AM671" s="188">
        <v>1304.5</v>
      </c>
      <c r="AN671"/>
      <c r="AO671"/>
      <c r="AP671"/>
      <c r="AQ671"/>
    </row>
    <row r="672" spans="1:43" x14ac:dyDescent="0.25">
      <c r="A672" t="s">
        <v>114</v>
      </c>
      <c r="B672" t="s">
        <v>45</v>
      </c>
      <c r="C672" s="212" t="str">
        <f t="shared" si="10"/>
        <v>Washington Probate</v>
      </c>
      <c r="D672" s="188">
        <v>8357</v>
      </c>
      <c r="E672" s="188">
        <v>8357</v>
      </c>
      <c r="F672" s="188">
        <v>8357</v>
      </c>
      <c r="G672" s="188">
        <v>8357</v>
      </c>
      <c r="H672" s="125"/>
      <c r="I672" s="188">
        <v>7557</v>
      </c>
      <c r="J672" s="188">
        <v>7957</v>
      </c>
      <c r="K672" s="188">
        <v>7957</v>
      </c>
      <c r="L672" s="188">
        <v>7957</v>
      </c>
      <c r="M672" s="70"/>
      <c r="N672" s="188">
        <v>8388</v>
      </c>
      <c r="O672" s="188">
        <v>8388</v>
      </c>
      <c r="P672" s="188">
        <v>8388</v>
      </c>
      <c r="Q672" s="129"/>
      <c r="R672" s="67"/>
      <c r="S672" s="188">
        <v>8388</v>
      </c>
      <c r="T672" s="188">
        <v>8388</v>
      </c>
      <c r="U672" s="188">
        <v>8388</v>
      </c>
      <c r="V672" s="61"/>
      <c r="W672" s="58"/>
      <c r="X672" s="188">
        <v>8132</v>
      </c>
      <c r="Y672" s="188">
        <v>8132</v>
      </c>
      <c r="Z672" s="129"/>
      <c r="AA672" s="128"/>
      <c r="AB672" s="67"/>
      <c r="AC672" s="188">
        <v>8132</v>
      </c>
      <c r="AD672" s="188">
        <v>8132</v>
      </c>
      <c r="AE672" s="61"/>
      <c r="AF672" s="135"/>
      <c r="AH672" s="188">
        <v>8604</v>
      </c>
      <c r="AI672" s="246"/>
      <c r="AJ672"/>
      <c r="AK672"/>
      <c r="AL672" s="247"/>
      <c r="AM672" s="188">
        <v>8604</v>
      </c>
      <c r="AN672"/>
      <c r="AO672"/>
      <c r="AP672"/>
      <c r="AQ672"/>
    </row>
  </sheetData>
  <autoFilter ref="A2:AQ672">
    <sortState ref="A3:AQ672">
      <sortCondition ref="C2:C672"/>
    </sortState>
  </autoFilter>
  <phoneticPr fontId="0" type="noConversion"/>
  <pageMargins left="0" right="0" top="0" bottom="0" header="0.3" footer="0"/>
  <pageSetup paperSize="5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71"/>
  <sheetViews>
    <sheetView workbookViewId="0">
      <selection activeCell="C6" sqref="C6"/>
    </sheetView>
  </sheetViews>
  <sheetFormatPr defaultRowHeight="13.2" x14ac:dyDescent="0.25"/>
  <cols>
    <col min="2" max="2" width="17.88671875" customWidth="1"/>
    <col min="3" max="3" width="26.88671875" customWidth="1"/>
    <col min="4" max="4" width="41.5546875" customWidth="1"/>
    <col min="5" max="5" width="11.33203125" customWidth="1"/>
  </cols>
  <sheetData>
    <row r="1" spans="1:5" x14ac:dyDescent="0.25">
      <c r="A1" s="49" t="s">
        <v>153</v>
      </c>
      <c r="B1" s="49" t="s">
        <v>152</v>
      </c>
      <c r="C1" s="49" t="s">
        <v>138</v>
      </c>
      <c r="D1" s="49" t="str">
        <f>'Circuit Criminal'!D51</f>
        <v>Issue</v>
      </c>
      <c r="E1" s="49" t="s">
        <v>154</v>
      </c>
    </row>
    <row r="2" spans="1:5" ht="26.4" x14ac:dyDescent="0.25">
      <c r="A2" s="46">
        <f>IF(E2="YES",1,0)</f>
        <v>0</v>
      </c>
      <c r="B2" s="46" t="str">
        <f>'Circuit Criminal'!A52</f>
        <v>Circuit Criminal</v>
      </c>
      <c r="C2" s="46" t="str">
        <f>'Circuit Criminal'!C52</f>
        <v>CGE CQ1-16</v>
      </c>
      <c r="D2" s="46" t="str">
        <f>'Circuit Criminal'!D52</f>
        <v>After 3rd Q, Collections went up by more than set percentage of: 500%</v>
      </c>
      <c r="E2" s="46" t="str">
        <f>'Circuit Criminal'!E52</f>
        <v>NO</v>
      </c>
    </row>
    <row r="3" spans="1:5" ht="26.4" x14ac:dyDescent="0.25">
      <c r="A3" s="46">
        <f>IF(E3="YES",MAX(A$2:A2)+1,0)</f>
        <v>0</v>
      </c>
      <c r="B3" s="46" t="str">
        <f>'Circuit Criminal'!A53</f>
        <v>Circuit Criminal</v>
      </c>
      <c r="C3" s="46" t="str">
        <f>'Circuit Criminal'!C53</f>
        <v>CGE CQ1-16</v>
      </c>
      <c r="D3" s="46" t="str">
        <f>'Circuit Criminal'!D53</f>
        <v>Assessments dropped by more than set percentage of: 15%</v>
      </c>
      <c r="E3" s="46" t="str">
        <f>'Circuit Criminal'!E53</f>
        <v>NO</v>
      </c>
    </row>
    <row r="4" spans="1:5" ht="39.6" x14ac:dyDescent="0.25">
      <c r="A4" s="46">
        <f>IF(E4="YES",MAX(A$2:A3)+1,0)</f>
        <v>0</v>
      </c>
      <c r="B4" s="46" t="str">
        <f>'Circuit Criminal'!A54</f>
        <v>Circuit Criminal</v>
      </c>
      <c r="C4" s="46" t="str">
        <f>'Circuit Criminal'!C54</f>
        <v>CGE CQ1-16</v>
      </c>
      <c r="D4" s="46" t="str">
        <f>'Circuit Criminal'!D54</f>
        <v>The 5th Quarter Collection Rate did not meet the established performance measure standard of: 9%</v>
      </c>
      <c r="E4" s="46" t="str">
        <f>'Circuit Criminal'!E54</f>
        <v>NO</v>
      </c>
    </row>
    <row r="5" spans="1:5" x14ac:dyDescent="0.25">
      <c r="A5" s="46">
        <f>IF(E5="YES",MAX(A$2:A4)+1,0)</f>
        <v>0</v>
      </c>
      <c r="B5" s="46" t="str">
        <f>'Circuit Criminal'!A55</f>
        <v>Circuit Criminal</v>
      </c>
      <c r="C5" s="46" t="str">
        <f>'Circuit Criminal'!C55</f>
        <v>CGE CQ1-16</v>
      </c>
      <c r="D5" s="46" t="str">
        <f>'Circuit Criminal'!D55</f>
        <v>Collections amount decreased from prior quarter</v>
      </c>
      <c r="E5" s="46" t="str">
        <f>'Circuit Criminal'!E55</f>
        <v>NO</v>
      </c>
    </row>
    <row r="6" spans="1:5" x14ac:dyDescent="0.25">
      <c r="A6" s="46">
        <f>IF(E6="YES",MAX(A$2:A5)+1,0)</f>
        <v>0</v>
      </c>
      <c r="B6" s="46" t="str">
        <f>'Circuit Criminal'!A56</f>
        <v>Circuit Criminal</v>
      </c>
      <c r="C6" s="46" t="str">
        <f>'Circuit Criminal'!C56</f>
        <v>CGE CQ1-16</v>
      </c>
      <c r="D6" s="46" t="str">
        <f>'Circuit Criminal'!D56</f>
        <v>Assessment amount increased from prior quarter</v>
      </c>
      <c r="E6" s="46" t="str">
        <f>'Circuit Criminal'!E56</f>
        <v>NO</v>
      </c>
    </row>
    <row r="7" spans="1:5" ht="26.4" x14ac:dyDescent="0.25">
      <c r="A7" s="46">
        <f>IF(E7="YES",MAX(A$2:A6)+1,0)</f>
        <v>0</v>
      </c>
      <c r="B7" t="str">
        <f>'County Criminal'!A57</f>
        <v>County Criminal</v>
      </c>
      <c r="C7" t="str">
        <f>'County Criminal'!C57</f>
        <v>CGE CQ1-16</v>
      </c>
      <c r="D7" s="46" t="str">
        <f>'County Criminal'!D57</f>
        <v>After 3rd Q, Collections went up by more than set percentage of: 500%</v>
      </c>
      <c r="E7" t="str">
        <f>'County Criminal'!E57</f>
        <v>NO</v>
      </c>
    </row>
    <row r="8" spans="1:5" ht="26.4" x14ac:dyDescent="0.25">
      <c r="A8" s="46">
        <f>IF(E8="YES",MAX(A$2:A7)+1,0)</f>
        <v>0</v>
      </c>
      <c r="B8" t="str">
        <f>'County Criminal'!A58</f>
        <v>County Criminal</v>
      </c>
      <c r="C8" t="str">
        <f>'County Criminal'!C58</f>
        <v>CGE CQ1-16</v>
      </c>
      <c r="D8" s="46" t="str">
        <f>'County Criminal'!D58</f>
        <v>Assessments dropped by more than set percentage of: 15%</v>
      </c>
      <c r="E8" t="str">
        <f>'County Criminal'!E58</f>
        <v>NO</v>
      </c>
    </row>
    <row r="9" spans="1:5" ht="39.6" x14ac:dyDescent="0.25">
      <c r="A9" s="46">
        <f>IF(E9="YES",MAX(A$2:A8)+1,0)</f>
        <v>1</v>
      </c>
      <c r="B9" t="str">
        <f>'County Criminal'!A59</f>
        <v>County Criminal</v>
      </c>
      <c r="C9" t="str">
        <f>'County Criminal'!C59</f>
        <v>CGE CQ1-16</v>
      </c>
      <c r="D9" s="46" t="str">
        <f>'County Criminal'!D59</f>
        <v>The 5th Quarter Collection Rate did not meet the established performance measure standard of: 40%</v>
      </c>
      <c r="E9" t="str">
        <f>'County Criminal'!E59</f>
        <v>YES</v>
      </c>
    </row>
    <row r="10" spans="1:5" x14ac:dyDescent="0.25">
      <c r="A10" s="46">
        <f>IF(E10="YES",MAX(A$2:A9)+1,0)</f>
        <v>0</v>
      </c>
      <c r="B10" t="str">
        <f>'County Criminal'!A60</f>
        <v>County Criminal</v>
      </c>
      <c r="C10" t="str">
        <f>'County Criminal'!C60</f>
        <v>CGE CQ1-16</v>
      </c>
      <c r="D10" s="46" t="str">
        <f>'County Criminal'!D60</f>
        <v>Collections amount decreased from prior quarter</v>
      </c>
      <c r="E10" t="str">
        <f>'County Criminal'!E60</f>
        <v>NO</v>
      </c>
    </row>
    <row r="11" spans="1:5" x14ac:dyDescent="0.25">
      <c r="A11" s="46">
        <f>IF(E11="YES",MAX(A$2:A10)+1,0)</f>
        <v>0</v>
      </c>
      <c r="B11" t="str">
        <f>'County Criminal'!A61</f>
        <v>County Criminal</v>
      </c>
      <c r="C11" t="str">
        <f>'County Criminal'!C61</f>
        <v>CGE CQ1-16</v>
      </c>
      <c r="D11" s="46" t="str">
        <f>'County Criminal'!D61</f>
        <v>Assessment amount increased from prior quarter</v>
      </c>
      <c r="E11" t="str">
        <f>'County Criminal'!E61</f>
        <v>NO</v>
      </c>
    </row>
    <row r="12" spans="1:5" ht="26.4" x14ac:dyDescent="0.25">
      <c r="A12" s="46">
        <f>IF(E12="YES",MAX(A$2:A11)+1,0)</f>
        <v>0</v>
      </c>
      <c r="B12" t="str">
        <f>'Juvenile Delinquency'!A57</f>
        <v>Juvenile Delinquency</v>
      </c>
      <c r="C12" t="str">
        <f>'Juvenile Delinquency'!C57</f>
        <v>CGE CQ1-16</v>
      </c>
      <c r="D12" s="46" t="str">
        <f>'Juvenile Delinquency'!D57</f>
        <v>After 3rd Q, Collections went up by more than set percentage of: 500%</v>
      </c>
      <c r="E12" t="str">
        <f>'Juvenile Delinquency'!E57</f>
        <v>NO</v>
      </c>
    </row>
    <row r="13" spans="1:5" ht="26.4" x14ac:dyDescent="0.25">
      <c r="A13" s="46">
        <f>IF(E13="YES",MAX(A$2:A12)+1,0)</f>
        <v>0</v>
      </c>
      <c r="B13" t="str">
        <f>'Juvenile Delinquency'!A58</f>
        <v>Juvenile Delinquency</v>
      </c>
      <c r="C13" t="str">
        <f>'Juvenile Delinquency'!C58</f>
        <v>CGE CQ1-16</v>
      </c>
      <c r="D13" s="46" t="str">
        <f>'Juvenile Delinquency'!D58</f>
        <v>Assessments dropped by more than set percentage of: 15%</v>
      </c>
      <c r="E13" t="str">
        <f>'Juvenile Delinquency'!E58</f>
        <v>NO</v>
      </c>
    </row>
    <row r="14" spans="1:5" ht="39.6" x14ac:dyDescent="0.25">
      <c r="A14" s="46">
        <f>IF(E14="YES",MAX(A$2:A13)+1,0)</f>
        <v>0</v>
      </c>
      <c r="B14" t="str">
        <f>'Juvenile Delinquency'!A59</f>
        <v>Juvenile Delinquency</v>
      </c>
      <c r="C14" t="str">
        <f>'Juvenile Delinquency'!C59</f>
        <v>CGE CQ1-16</v>
      </c>
      <c r="D14" s="46" t="str">
        <f>'Juvenile Delinquency'!D59</f>
        <v>The 5th Quarter Collection Rate did not meet the established performance measure standard of: 9%</v>
      </c>
      <c r="E14" t="str">
        <f>'Juvenile Delinquency'!E59</f>
        <v>NO</v>
      </c>
    </row>
    <row r="15" spans="1:5" x14ac:dyDescent="0.25">
      <c r="A15" s="46">
        <f>IF(E15="YES",MAX(A$2:A14)+1,0)</f>
        <v>0</v>
      </c>
      <c r="B15" t="str">
        <f>'Juvenile Delinquency'!A60</f>
        <v>Juvenile Delinquency</v>
      </c>
      <c r="C15" t="str">
        <f>'Juvenile Delinquency'!C60</f>
        <v>CGE CQ1-16</v>
      </c>
      <c r="D15" s="46" t="str">
        <f>'Juvenile Delinquency'!D60</f>
        <v>Collections amount decreased from prior quarter</v>
      </c>
      <c r="E15" t="str">
        <f>'Juvenile Delinquency'!E60</f>
        <v>NO</v>
      </c>
    </row>
    <row r="16" spans="1:5" x14ac:dyDescent="0.25">
      <c r="A16" s="46">
        <f>IF(E16="YES",MAX(A$2:A15)+1,0)</f>
        <v>0</v>
      </c>
      <c r="B16" t="str">
        <f>'Juvenile Delinquency'!A61</f>
        <v>Juvenile Delinquency</v>
      </c>
      <c r="C16" t="str">
        <f>'Juvenile Delinquency'!C61</f>
        <v>CGE CQ1-16</v>
      </c>
      <c r="D16" s="46" t="str">
        <f>'Juvenile Delinquency'!D61</f>
        <v>Assessment amount increased from prior quarter</v>
      </c>
      <c r="E16" t="str">
        <f>'Juvenile Delinquency'!E61</f>
        <v>NO</v>
      </c>
    </row>
    <row r="17" spans="1:5" ht="26.4" x14ac:dyDescent="0.25">
      <c r="A17" s="46">
        <f>IF(E17="YES",MAX(A$2:A16)+1,0)</f>
        <v>0</v>
      </c>
      <c r="B17" t="str">
        <f>'Criminal Traffic'!A57</f>
        <v>Criminal Traffic</v>
      </c>
      <c r="C17" t="str">
        <f>'Criminal Traffic'!C57</f>
        <v>CGE CQ1-16</v>
      </c>
      <c r="D17" s="46" t="str">
        <f>'Criminal Traffic'!D57</f>
        <v>After 3rd Q, Collections went up by more than set percentage of: 500%</v>
      </c>
      <c r="E17" t="str">
        <f>'Criminal Traffic'!E57</f>
        <v>NO</v>
      </c>
    </row>
    <row r="18" spans="1:5" ht="26.4" x14ac:dyDescent="0.25">
      <c r="A18" s="46">
        <f>IF(E18="YES",MAX(A$2:A17)+1,0)</f>
        <v>0</v>
      </c>
      <c r="B18" t="str">
        <f>'Criminal Traffic'!A58</f>
        <v>Criminal Traffic</v>
      </c>
      <c r="C18" t="str">
        <f>'Criminal Traffic'!C58</f>
        <v>CGE CQ1-16</v>
      </c>
      <c r="D18" s="46" t="str">
        <f>'Criminal Traffic'!D58</f>
        <v>Assessments dropped by more than set percentage of: 15%</v>
      </c>
      <c r="E18" t="str">
        <f>'Criminal Traffic'!E58</f>
        <v>NO</v>
      </c>
    </row>
    <row r="19" spans="1:5" ht="39.6" x14ac:dyDescent="0.25">
      <c r="A19" s="46">
        <f>IF(E19="YES",MAX(A$2:A18)+1,0)</f>
        <v>0</v>
      </c>
      <c r="B19" t="str">
        <f>'Criminal Traffic'!A59</f>
        <v>Criminal Traffic</v>
      </c>
      <c r="C19" t="str">
        <f>'Criminal Traffic'!C59</f>
        <v>CGE CQ1-16</v>
      </c>
      <c r="D19" s="46" t="str">
        <f>'Criminal Traffic'!D59</f>
        <v>The 5th Quarter Collection Rate did not meet the established performance measure standard of: 40%</v>
      </c>
      <c r="E19" t="str">
        <f>'Criminal Traffic'!E59</f>
        <v>NO</v>
      </c>
    </row>
    <row r="20" spans="1:5" x14ac:dyDescent="0.25">
      <c r="A20" s="46">
        <f>IF(E20="YES",MAX(A$2:A19)+1,0)</f>
        <v>0</v>
      </c>
      <c r="B20" t="str">
        <f>'Criminal Traffic'!A60</f>
        <v>Criminal Traffic</v>
      </c>
      <c r="C20" t="str">
        <f>'Criminal Traffic'!C60</f>
        <v>CGE CQ1-16</v>
      </c>
      <c r="D20" s="46" t="str">
        <f>'Criminal Traffic'!D60</f>
        <v>Collections amount decreased from prior quarter</v>
      </c>
      <c r="E20" t="str">
        <f>'Criminal Traffic'!E60</f>
        <v>NO</v>
      </c>
    </row>
    <row r="21" spans="1:5" x14ac:dyDescent="0.25">
      <c r="A21" s="46">
        <f>IF(E21="YES",MAX(A$2:A20)+1,0)</f>
        <v>0</v>
      </c>
      <c r="B21" t="str">
        <f>'Criminal Traffic'!A61</f>
        <v>Criminal Traffic</v>
      </c>
      <c r="C21" t="str">
        <f>'Criminal Traffic'!C61</f>
        <v>CGE CQ1-16</v>
      </c>
      <c r="D21" s="46" t="str">
        <f>'Criminal Traffic'!D61</f>
        <v>Assessment amount increased from prior quarter</v>
      </c>
      <c r="E21" t="str">
        <f>'Criminal Traffic'!E61</f>
        <v>NO</v>
      </c>
    </row>
    <row r="22" spans="1:5" ht="26.4" x14ac:dyDescent="0.25">
      <c r="A22" s="46">
        <f>IF(E22="YES",MAX(A$2:A21)+1,0)</f>
        <v>0</v>
      </c>
      <c r="B22" t="str">
        <f>'Circuit Civil'!A57</f>
        <v>Circuit Civil</v>
      </c>
      <c r="C22" t="str">
        <f>'Circuit Civil'!C57</f>
        <v>CGE CQ1-16</v>
      </c>
      <c r="D22" s="46" t="str">
        <f>'Circuit Civil'!D57</f>
        <v>After 3rd Q, Collections went up by more than set percentage of: 500%</v>
      </c>
      <c r="E22" t="str">
        <f>'Circuit Civil'!E57</f>
        <v>NO</v>
      </c>
    </row>
    <row r="23" spans="1:5" ht="26.4" x14ac:dyDescent="0.25">
      <c r="A23" s="46">
        <f>IF(E23="YES",MAX(A$2:A22)+1,0)</f>
        <v>0</v>
      </c>
      <c r="B23" t="str">
        <f>'Circuit Civil'!A58</f>
        <v>Circuit Civil</v>
      </c>
      <c r="C23" t="str">
        <f>'Circuit Civil'!C58</f>
        <v>CGE CQ1-16</v>
      </c>
      <c r="D23" s="46" t="str">
        <f>'Circuit Civil'!D58</f>
        <v>Assessments dropped by more than set percentage of: 15%</v>
      </c>
      <c r="E23" t="str">
        <f>'Circuit Civil'!E58</f>
        <v>NO</v>
      </c>
    </row>
    <row r="24" spans="1:5" ht="39.6" x14ac:dyDescent="0.25">
      <c r="A24" s="46">
        <f>IF(E24="YES",MAX(A$2:A23)+1,0)</f>
        <v>0</v>
      </c>
      <c r="B24" t="str">
        <f>'Circuit Civil'!A59</f>
        <v>Circuit Civil</v>
      </c>
      <c r="C24" t="str">
        <f>'Circuit Civil'!C59</f>
        <v>CGE CQ1-16</v>
      </c>
      <c r="D24" s="46" t="str">
        <f>'Circuit Civil'!D59</f>
        <v>The 5th Quarter Collection Rate did not meet the established performance measure standard of: 90%</v>
      </c>
      <c r="E24" t="str">
        <f>'Circuit Civil'!E59</f>
        <v>NO</v>
      </c>
    </row>
    <row r="25" spans="1:5" x14ac:dyDescent="0.25">
      <c r="A25" s="46">
        <f>IF(E25="YES",MAX(A$2:A24)+1,0)</f>
        <v>2</v>
      </c>
      <c r="B25" t="str">
        <f>'Circuit Civil'!A60</f>
        <v>Circuit Civil</v>
      </c>
      <c r="C25" t="str">
        <f>'Circuit Civil'!C60</f>
        <v>CGE CQ1-16</v>
      </c>
      <c r="D25" s="46" t="str">
        <f>'Circuit Civil'!D60</f>
        <v>Collections amount decreased from prior quarter</v>
      </c>
      <c r="E25" t="str">
        <f>'Circuit Civil'!E60</f>
        <v>YES</v>
      </c>
    </row>
    <row r="26" spans="1:5" x14ac:dyDescent="0.25">
      <c r="A26" s="46">
        <f>IF(E26="YES",MAX(A$2:A25)+1,0)</f>
        <v>0</v>
      </c>
      <c r="B26" t="str">
        <f>'Circuit Civil'!A61</f>
        <v>Circuit Civil</v>
      </c>
      <c r="C26" t="str">
        <f>'Circuit Civil'!C61</f>
        <v>CGE CQ1-16</v>
      </c>
      <c r="D26" s="46" t="str">
        <f>'Circuit Civil'!D61</f>
        <v>Assessment amount increased from prior quarter</v>
      </c>
      <c r="E26" t="str">
        <f>'Circuit Civil'!E61</f>
        <v>NO</v>
      </c>
    </row>
    <row r="27" spans="1:5" ht="26.4" x14ac:dyDescent="0.25">
      <c r="A27" s="46">
        <f>IF(E27="YES",MAX(A$2:A26)+1,0)</f>
        <v>0</v>
      </c>
      <c r="B27" t="str">
        <f>'County Civil'!A57</f>
        <v>County Civil</v>
      </c>
      <c r="C27" t="str">
        <f>'County Civil'!C57</f>
        <v>CGE CQ1-16</v>
      </c>
      <c r="D27" s="46" t="str">
        <f>'County Civil'!D57</f>
        <v>After 3rd Q, Collections went up by more than set percentage of: 500%</v>
      </c>
      <c r="E27" t="str">
        <f>'County Civil'!E57</f>
        <v>NO</v>
      </c>
    </row>
    <row r="28" spans="1:5" ht="26.4" x14ac:dyDescent="0.25">
      <c r="A28" s="46">
        <f>IF(E28="YES",MAX(A$2:A27)+1,0)</f>
        <v>0</v>
      </c>
      <c r="B28" t="str">
        <f>'County Civil'!A58</f>
        <v>County Civil</v>
      </c>
      <c r="C28" t="str">
        <f>'County Civil'!C58</f>
        <v>CGE CQ1-16</v>
      </c>
      <c r="D28" s="46" t="str">
        <f>'County Civil'!D58</f>
        <v>Assessments dropped by more than set percentage of: 15%</v>
      </c>
      <c r="E28" t="str">
        <f>'County Civil'!E58</f>
        <v>NO</v>
      </c>
    </row>
    <row r="29" spans="1:5" ht="39.6" x14ac:dyDescent="0.25">
      <c r="A29" s="46">
        <f>IF(E29="YES",MAX(A$2:A28)+1,0)</f>
        <v>0</v>
      </c>
      <c r="B29" t="str">
        <f>'County Civil'!A59</f>
        <v>County Civil</v>
      </c>
      <c r="C29" t="str">
        <f>'County Civil'!C59</f>
        <v>CGE CQ1-16</v>
      </c>
      <c r="D29" s="46" t="str">
        <f>'County Civil'!D59</f>
        <v>The 5th Quarter Collection Rate did not meet the established performance measure standard of: 90%</v>
      </c>
      <c r="E29" t="str">
        <f>'County Civil'!E59</f>
        <v>NO</v>
      </c>
    </row>
    <row r="30" spans="1:5" x14ac:dyDescent="0.25">
      <c r="A30" s="46">
        <f>IF(E30="YES",MAX(A$2:A29)+1,0)</f>
        <v>0</v>
      </c>
      <c r="B30" t="str">
        <f>'County Civil'!A60</f>
        <v>County Civil</v>
      </c>
      <c r="C30" t="str">
        <f>'County Civil'!C60</f>
        <v>CGE CQ1-16</v>
      </c>
      <c r="D30" s="46" t="str">
        <f>'County Civil'!D60</f>
        <v>Collections amount decreased from prior quarter</v>
      </c>
      <c r="E30" t="str">
        <f>'County Civil'!E60</f>
        <v>NO</v>
      </c>
    </row>
    <row r="31" spans="1:5" x14ac:dyDescent="0.25">
      <c r="A31" s="46">
        <f>IF(E31="YES",MAX(A$2:A30)+1,0)</f>
        <v>0</v>
      </c>
      <c r="B31" t="str">
        <f>'County Civil'!A61</f>
        <v>County Civil</v>
      </c>
      <c r="C31" t="str">
        <f>'County Civil'!C61</f>
        <v>CGE CQ1-16</v>
      </c>
      <c r="D31" s="46" t="str">
        <f>'County Civil'!D61</f>
        <v>Assessment amount increased from prior quarter</v>
      </c>
      <c r="E31" t="str">
        <f>'County Civil'!E61</f>
        <v>NO</v>
      </c>
    </row>
    <row r="32" spans="1:5" ht="26.4" x14ac:dyDescent="0.25">
      <c r="A32" s="46">
        <f>IF(E32="YES",MAX(A$2:A31)+1,0)</f>
        <v>0</v>
      </c>
      <c r="B32" t="str">
        <f>'Civil Traffic'!A57</f>
        <v>Civil Traffic</v>
      </c>
      <c r="C32" t="str">
        <f>'Civil Traffic'!C57</f>
        <v>CGE CQ1-16</v>
      </c>
      <c r="D32" s="46" t="str">
        <f>'Civil Traffic'!D57</f>
        <v>After 3rd Q, Collections went up by more than set percentage of: 500%</v>
      </c>
      <c r="E32" t="str">
        <f>'Civil Traffic'!E57</f>
        <v>NO</v>
      </c>
    </row>
    <row r="33" spans="1:5" ht="26.4" x14ac:dyDescent="0.25">
      <c r="A33" s="46">
        <f>IF(E33="YES",MAX(A$2:A32)+1,0)</f>
        <v>0</v>
      </c>
      <c r="B33" t="str">
        <f>'Civil Traffic'!A58</f>
        <v>Civil Traffic</v>
      </c>
      <c r="C33" t="str">
        <f>'Civil Traffic'!C58</f>
        <v>CGE CQ1-16</v>
      </c>
      <c r="D33" s="46" t="str">
        <f>'Civil Traffic'!D58</f>
        <v>Assessments dropped by more than set percentage of: 15%</v>
      </c>
      <c r="E33" t="str">
        <f>'Civil Traffic'!E58</f>
        <v>NO</v>
      </c>
    </row>
    <row r="34" spans="1:5" ht="39.6" x14ac:dyDescent="0.25">
      <c r="A34" s="46">
        <f>IF(E34="YES",MAX(A$2:A33)+1,0)</f>
        <v>3</v>
      </c>
      <c r="B34" t="str">
        <f>'Civil Traffic'!A59</f>
        <v>Civil Traffic</v>
      </c>
      <c r="C34" t="str">
        <f>'Civil Traffic'!C59</f>
        <v>CGE CQ1-16</v>
      </c>
      <c r="D34" s="46" t="str">
        <f>'Civil Traffic'!D59</f>
        <v>The 5th Quarter Collection Rate did not meet the established performance measure standard of: 90%</v>
      </c>
      <c r="E34" t="str">
        <f>'Civil Traffic'!E59</f>
        <v>YES</v>
      </c>
    </row>
    <row r="35" spans="1:5" x14ac:dyDescent="0.25">
      <c r="A35" s="46">
        <f>IF(E35="YES",MAX(A$2:A34)+1,0)</f>
        <v>0</v>
      </c>
      <c r="B35" t="str">
        <f>'Civil Traffic'!A60</f>
        <v>Civil Traffic</v>
      </c>
      <c r="C35" t="str">
        <f>'Civil Traffic'!C60</f>
        <v>CGE CQ1-16</v>
      </c>
      <c r="D35" s="46" t="str">
        <f>'Civil Traffic'!D60</f>
        <v>Collections amount decreased from prior quarter</v>
      </c>
      <c r="E35" t="str">
        <f>'Civil Traffic'!E60</f>
        <v>NO</v>
      </c>
    </row>
    <row r="36" spans="1:5" x14ac:dyDescent="0.25">
      <c r="A36" s="46">
        <f>IF(E36="YES",MAX(A$2:A35)+1,0)</f>
        <v>0</v>
      </c>
      <c r="B36" t="str">
        <f>'Civil Traffic'!A61</f>
        <v>Civil Traffic</v>
      </c>
      <c r="C36" t="str">
        <f>'Civil Traffic'!C61</f>
        <v>CGE CQ1-16</v>
      </c>
      <c r="D36" s="46" t="str">
        <f>'Civil Traffic'!D61</f>
        <v>Assessment amount increased from prior quarter</v>
      </c>
      <c r="E36" t="str">
        <f>'Civil Traffic'!E61</f>
        <v>NO</v>
      </c>
    </row>
    <row r="37" spans="1:5" ht="26.4" x14ac:dyDescent="0.25">
      <c r="A37" s="46">
        <f>IF(E37="YES",MAX(A$2:A36)+1,0)</f>
        <v>0</v>
      </c>
      <c r="B37" t="str">
        <f>Probate!A62</f>
        <v>Probate</v>
      </c>
      <c r="C37" t="str">
        <f>Probate!C62</f>
        <v>CGE CQ1-16</v>
      </c>
      <c r="D37" s="46" t="str">
        <f>Probate!D62</f>
        <v>After 3rd Q, Collections went up by more than set percentage of: 500%</v>
      </c>
      <c r="E37" t="str">
        <f>Probate!E62</f>
        <v>NO</v>
      </c>
    </row>
    <row r="38" spans="1:5" ht="26.4" x14ac:dyDescent="0.25">
      <c r="A38" s="46">
        <f>IF(E38="YES",MAX(A$2:A37)+1,0)</f>
        <v>0</v>
      </c>
      <c r="B38" t="str">
        <f>Probate!A63</f>
        <v>Probate</v>
      </c>
      <c r="C38" t="str">
        <f>Probate!C63</f>
        <v>CGE CQ1-16</v>
      </c>
      <c r="D38" s="46" t="str">
        <f>Probate!D63</f>
        <v>Assessments dropped by more than set percentage of: 15%</v>
      </c>
      <c r="E38" t="str">
        <f>Probate!E63</f>
        <v>NO</v>
      </c>
    </row>
    <row r="39" spans="1:5" ht="39.6" x14ac:dyDescent="0.25">
      <c r="A39" s="46">
        <f>IF(E39="YES",MAX(A$2:A38)+1,0)</f>
        <v>0</v>
      </c>
      <c r="B39" t="str">
        <f>Probate!A64</f>
        <v>Probate</v>
      </c>
      <c r="C39" t="str">
        <f>Probate!C64</f>
        <v>CGE CQ1-16</v>
      </c>
      <c r="D39" s="46" t="str">
        <f>Probate!D64</f>
        <v>The 5th Quarter Collection Rate did not meet the established performance measure standard of: 90%</v>
      </c>
      <c r="E39" t="str">
        <f>Probate!E64</f>
        <v>NO</v>
      </c>
    </row>
    <row r="40" spans="1:5" x14ac:dyDescent="0.25">
      <c r="A40" s="46">
        <f>IF(E40="YES",MAX(A$2:A39)+1,0)</f>
        <v>4</v>
      </c>
      <c r="B40" t="str">
        <f>Probate!A65</f>
        <v>Probate</v>
      </c>
      <c r="C40" t="str">
        <f>Probate!C65</f>
        <v>CGE CQ1-16</v>
      </c>
      <c r="D40" s="46" t="str">
        <f>Probate!D65</f>
        <v>Collections amount decreased from prior quarter</v>
      </c>
      <c r="E40" t="str">
        <f>Probate!E65</f>
        <v>YES</v>
      </c>
    </row>
    <row r="41" spans="1:5" x14ac:dyDescent="0.25">
      <c r="A41" s="46">
        <f>IF(E41="YES",MAX(A$2:A40)+1,0)</f>
        <v>0</v>
      </c>
      <c r="B41" t="str">
        <f>Probate!A66</f>
        <v>Probate</v>
      </c>
      <c r="C41" t="str">
        <f>Probate!C66</f>
        <v>CGE CQ1-16</v>
      </c>
      <c r="D41" s="46" t="str">
        <f>Probate!D66</f>
        <v>Assessment amount increased from prior quarter</v>
      </c>
      <c r="E41" t="str">
        <f>Probate!E66</f>
        <v>NO</v>
      </c>
    </row>
    <row r="42" spans="1:5" ht="26.4" x14ac:dyDescent="0.25">
      <c r="A42" s="46">
        <f>IF(E42="YES",MAX(A$2:A41)+1,0)</f>
        <v>0</v>
      </c>
      <c r="B42" t="str">
        <f>Family!A57</f>
        <v>Family</v>
      </c>
      <c r="C42" t="str">
        <f>Family!C57</f>
        <v>CGE CQ1-16</v>
      </c>
      <c r="D42" s="46" t="str">
        <f>Family!D57</f>
        <v>After 3rd Q, Collections went up by more than set percentage of: 500%</v>
      </c>
      <c r="E42" t="str">
        <f>Family!E57</f>
        <v>NO</v>
      </c>
    </row>
    <row r="43" spans="1:5" ht="26.4" x14ac:dyDescent="0.25">
      <c r="A43" s="46">
        <f>IF(E43="YES",MAX(A$2:A42)+1,0)</f>
        <v>0</v>
      </c>
      <c r="B43" t="str">
        <f>Family!A58</f>
        <v>Family</v>
      </c>
      <c r="C43" t="str">
        <f>Family!C58</f>
        <v>CGE CQ1-16</v>
      </c>
      <c r="D43" s="46" t="str">
        <f>Family!D58</f>
        <v>Assessments dropped by more than set percentage of: 15%</v>
      </c>
      <c r="E43" t="str">
        <f>Family!E58</f>
        <v>NO</v>
      </c>
    </row>
    <row r="44" spans="1:5" ht="39.6" x14ac:dyDescent="0.25">
      <c r="A44" s="46">
        <f>IF(E44="YES",MAX(A$2:A43)+1,0)</f>
        <v>0</v>
      </c>
      <c r="B44" t="str">
        <f>Family!A59</f>
        <v>Family</v>
      </c>
      <c r="C44" t="str">
        <f>Family!C59</f>
        <v>CGE CQ1-16</v>
      </c>
      <c r="D44" s="46" t="str">
        <f>Family!D59</f>
        <v>The 5th Quarter Collection Rate did not meet the established performance measure standard of: 75%</v>
      </c>
      <c r="E44" t="str">
        <f>Family!E59</f>
        <v>NO</v>
      </c>
    </row>
    <row r="45" spans="1:5" x14ac:dyDescent="0.25">
      <c r="A45" s="46">
        <f>IF(E45="YES",MAX(A$2:A44)+1,0)</f>
        <v>0</v>
      </c>
      <c r="B45" t="str">
        <f>Family!A60</f>
        <v>Family</v>
      </c>
      <c r="C45" t="str">
        <f>Family!C60</f>
        <v>CGE CQ1-16</v>
      </c>
      <c r="D45" s="46" t="str">
        <f>Family!D60</f>
        <v>Collections amount decreased from prior quarter</v>
      </c>
      <c r="E45" t="str">
        <f>Family!E60</f>
        <v>NO</v>
      </c>
    </row>
    <row r="46" spans="1:5" x14ac:dyDescent="0.25">
      <c r="A46" s="46">
        <f>IF(E46="YES",MAX(A$2:A45)+1,0)</f>
        <v>0</v>
      </c>
      <c r="B46" t="str">
        <f>Family!A61</f>
        <v>Family</v>
      </c>
      <c r="C46" t="str">
        <f>Family!C61</f>
        <v>CGE CQ1-16</v>
      </c>
      <c r="D46" s="46" t="str">
        <f>Family!D61</f>
        <v>Assessment amount increased from prior quarter</v>
      </c>
      <c r="E46" t="str">
        <f>Family!E61</f>
        <v>NO</v>
      </c>
    </row>
    <row r="47" spans="1:5" ht="26.4" x14ac:dyDescent="0.25">
      <c r="A47" s="46">
        <f>IF(E47="YES",MAX(A$2:A46)+1,0)</f>
        <v>0</v>
      </c>
      <c r="B47" s="46" t="str">
        <f>'Circuit Criminal'!A57</f>
        <v>Circuit Criminal</v>
      </c>
      <c r="C47" s="46" t="str">
        <f>'Circuit Criminal'!C57</f>
        <v>CGE CQ2-16</v>
      </c>
      <c r="D47" s="46" t="str">
        <f>'Circuit Criminal'!D57</f>
        <v>After 3rd Q, Collections went up by more than set percentage of: 500%</v>
      </c>
      <c r="E47" s="46" t="str">
        <f>'Circuit Criminal'!E57</f>
        <v>NO</v>
      </c>
    </row>
    <row r="48" spans="1:5" ht="26.4" x14ac:dyDescent="0.25">
      <c r="A48" s="46">
        <f>IF(E48="YES",MAX(A$2:A47)+1,0)</f>
        <v>0</v>
      </c>
      <c r="B48" s="46" t="str">
        <f>'Circuit Criminal'!A58</f>
        <v>Circuit Criminal</v>
      </c>
      <c r="C48" s="46" t="str">
        <f>'Circuit Criminal'!C58</f>
        <v>CGE CQ2-16</v>
      </c>
      <c r="D48" s="46" t="str">
        <f>'Circuit Criminal'!D58</f>
        <v>Assessments dropped by more than set percentage of: 15%</v>
      </c>
      <c r="E48" s="46" t="str">
        <f>'Circuit Criminal'!E58</f>
        <v>NO</v>
      </c>
    </row>
    <row r="49" spans="1:5" x14ac:dyDescent="0.25">
      <c r="A49" s="46">
        <f>IF(E49="YES",MAX(A$2:A48)+1,0)</f>
        <v>0</v>
      </c>
      <c r="B49" s="46" t="str">
        <f>'Circuit Criminal'!A59</f>
        <v>Circuit Criminal</v>
      </c>
      <c r="C49" s="46" t="str">
        <f>'Circuit Criminal'!C59</f>
        <v>CGE CQ2-16</v>
      </c>
      <c r="D49" s="46" t="str">
        <f>'Circuit Criminal'!D59</f>
        <v>Collections amount decreased from prior quarter</v>
      </c>
      <c r="E49" s="46" t="str">
        <f>'Circuit Criminal'!E59</f>
        <v>NO</v>
      </c>
    </row>
    <row r="50" spans="1:5" x14ac:dyDescent="0.25">
      <c r="A50" s="46">
        <f>IF(E50="YES",MAX(A$2:A49)+1,0)</f>
        <v>0</v>
      </c>
      <c r="B50" s="46" t="str">
        <f>'Circuit Criminal'!A60</f>
        <v>Circuit Criminal</v>
      </c>
      <c r="C50" s="46" t="str">
        <f>'Circuit Criminal'!C60</f>
        <v>CGE CQ2-16</v>
      </c>
      <c r="D50" s="46" t="str">
        <f>'Circuit Criminal'!D60</f>
        <v>Assessment amount increased from prior quarter</v>
      </c>
      <c r="E50" s="46" t="str">
        <f>'Circuit Criminal'!E60</f>
        <v>NO</v>
      </c>
    </row>
    <row r="51" spans="1:5" ht="39.6" x14ac:dyDescent="0.25">
      <c r="A51" s="46">
        <f>IF(E51="YES",MAX(A$2:A50)+1,0)</f>
        <v>0</v>
      </c>
      <c r="B51" s="46" t="str">
        <f>'Circuit Criminal'!A61</f>
        <v>Circuit Criminal</v>
      </c>
      <c r="C51" s="46" t="str">
        <f>'Circuit Criminal'!C61</f>
        <v>CGE CQ2-16</v>
      </c>
      <c r="D51" s="46" t="str">
        <f>'Circuit Criminal'!D61</f>
        <v>The 5th Quarter Collection Rate did not meet the established performance measure standard of: 9%</v>
      </c>
      <c r="E51" s="46" t="str">
        <f>'Circuit Criminal'!E61</f>
        <v>NO</v>
      </c>
    </row>
    <row r="52" spans="1:5" ht="26.4" x14ac:dyDescent="0.25">
      <c r="A52" s="46">
        <f>IF(E52="YES",MAX(A$2:A51)+1,0)</f>
        <v>0</v>
      </c>
      <c r="B52" t="str">
        <f>'County Criminal'!A62</f>
        <v>County Criminal</v>
      </c>
      <c r="C52" t="str">
        <f>'County Criminal'!C62</f>
        <v>CGE CQ2-16</v>
      </c>
      <c r="D52" s="46" t="str">
        <f>'County Criminal'!D62</f>
        <v>After 3rd Q, Collections went up by more than set percentage of: 500%</v>
      </c>
      <c r="E52" t="str">
        <f>'County Criminal'!E62</f>
        <v>NO</v>
      </c>
    </row>
    <row r="53" spans="1:5" ht="26.4" x14ac:dyDescent="0.25">
      <c r="A53" s="46">
        <f>IF(E53="YES",MAX(A$2:A52)+1,0)</f>
        <v>0</v>
      </c>
      <c r="B53" t="str">
        <f>'County Criminal'!A63</f>
        <v>County Criminal</v>
      </c>
      <c r="C53" t="str">
        <f>'County Criminal'!C63</f>
        <v>CGE CQ2-16</v>
      </c>
      <c r="D53" s="46" t="str">
        <f>'County Criminal'!D63</f>
        <v>Assessments dropped by more than set percentage of: 15%</v>
      </c>
      <c r="E53" t="str">
        <f>'County Criminal'!E63</f>
        <v>NO</v>
      </c>
    </row>
    <row r="54" spans="1:5" x14ac:dyDescent="0.25">
      <c r="A54" s="46">
        <f>IF(E54="YES",MAX(A$2:A53)+1,0)</f>
        <v>0</v>
      </c>
      <c r="B54" t="str">
        <f>'County Criminal'!A64</f>
        <v>County Criminal</v>
      </c>
      <c r="C54" t="str">
        <f>'County Criminal'!C64</f>
        <v>CGE CQ2-16</v>
      </c>
      <c r="D54" s="46" t="str">
        <f>'County Criminal'!D64</f>
        <v>Collections amount decreased from prior quarter</v>
      </c>
      <c r="E54" t="str">
        <f>'County Criminal'!E64</f>
        <v>NO</v>
      </c>
    </row>
    <row r="55" spans="1:5" x14ac:dyDescent="0.25">
      <c r="A55" s="46">
        <f>IF(E55="YES",MAX(A$2:A54)+1,0)</f>
        <v>0</v>
      </c>
      <c r="B55" t="str">
        <f>'County Criminal'!A65</f>
        <v>County Criminal</v>
      </c>
      <c r="C55" t="str">
        <f>'County Criminal'!C65</f>
        <v>CGE CQ2-16</v>
      </c>
      <c r="D55" s="46" t="str">
        <f>'County Criminal'!D65</f>
        <v>Assessment amount increased from prior quarter</v>
      </c>
      <c r="E55" t="str">
        <f>'County Criminal'!E65</f>
        <v>NO</v>
      </c>
    </row>
    <row r="56" spans="1:5" ht="39.6" x14ac:dyDescent="0.25">
      <c r="A56" s="46">
        <f>IF(E56="YES",MAX(A$2:A55)+1,0)</f>
        <v>0</v>
      </c>
      <c r="B56" t="str">
        <f>'County Criminal'!A66</f>
        <v>County Criminal</v>
      </c>
      <c r="C56" t="str">
        <f>'County Criminal'!C66</f>
        <v>CGE CQ2-16</v>
      </c>
      <c r="D56" s="46" t="str">
        <f>'County Criminal'!D66</f>
        <v>The 5th Quarter Collection Rate did not meet the established performance measure standard of: 40%</v>
      </c>
      <c r="E56" t="str">
        <f>'County Criminal'!E66</f>
        <v>NO</v>
      </c>
    </row>
    <row r="57" spans="1:5" ht="26.4" x14ac:dyDescent="0.25">
      <c r="A57" s="46">
        <f>IF(E57="YES",MAX(A$2:A56)+1,0)</f>
        <v>0</v>
      </c>
      <c r="B57" t="str">
        <f>'Juvenile Delinquency'!A62</f>
        <v>Juvenile Delinquency</v>
      </c>
      <c r="C57" t="str">
        <f>'Juvenile Delinquency'!C62</f>
        <v>CGE CQ2-16</v>
      </c>
      <c r="D57" s="46" t="str">
        <f>'Juvenile Delinquency'!D62</f>
        <v>After 3rd Q, Collections went up by more than set percentage of: 500%</v>
      </c>
      <c r="E57" t="str">
        <f>'Juvenile Delinquency'!E62</f>
        <v>NO</v>
      </c>
    </row>
    <row r="58" spans="1:5" ht="26.4" x14ac:dyDescent="0.25">
      <c r="A58" s="46">
        <f>IF(E58="YES",MAX(A$2:A57)+1,0)</f>
        <v>0</v>
      </c>
      <c r="B58" t="str">
        <f>'Juvenile Delinquency'!A63</f>
        <v>Juvenile Delinquency</v>
      </c>
      <c r="C58" t="str">
        <f>'Juvenile Delinquency'!C63</f>
        <v>CGE CQ2-16</v>
      </c>
      <c r="D58" s="46" t="str">
        <f>'Juvenile Delinquency'!D63</f>
        <v>Assessments dropped by more than set percentage of: 15%</v>
      </c>
      <c r="E58" t="str">
        <f>'Juvenile Delinquency'!E63</f>
        <v>NO</v>
      </c>
    </row>
    <row r="59" spans="1:5" x14ac:dyDescent="0.25">
      <c r="A59" s="46">
        <f>IF(E59="YES",MAX(A$2:A58)+1,0)</f>
        <v>0</v>
      </c>
      <c r="B59" t="str">
        <f>'Juvenile Delinquency'!A64</f>
        <v>Juvenile Delinquency</v>
      </c>
      <c r="C59" t="str">
        <f>'Juvenile Delinquency'!C64</f>
        <v>CGE CQ2-16</v>
      </c>
      <c r="D59" s="46" t="str">
        <f>'Juvenile Delinquency'!D64</f>
        <v>Collections amount decreased from prior quarter</v>
      </c>
      <c r="E59" t="str">
        <f>'Juvenile Delinquency'!E64</f>
        <v>NO</v>
      </c>
    </row>
    <row r="60" spans="1:5" x14ac:dyDescent="0.25">
      <c r="A60" s="46">
        <f>IF(E60="YES",MAX(A$2:A59)+1,0)</f>
        <v>0</v>
      </c>
      <c r="B60" t="str">
        <f>'Juvenile Delinquency'!A65</f>
        <v>Juvenile Delinquency</v>
      </c>
      <c r="C60" t="str">
        <f>'Juvenile Delinquency'!C65</f>
        <v>CGE CQ2-16</v>
      </c>
      <c r="D60" s="46" t="str">
        <f>'Juvenile Delinquency'!D65</f>
        <v>Assessment amount increased from prior quarter</v>
      </c>
      <c r="E60" t="str">
        <f>'Juvenile Delinquency'!E65</f>
        <v>NO</v>
      </c>
    </row>
    <row r="61" spans="1:5" ht="39.6" x14ac:dyDescent="0.25">
      <c r="A61" s="46">
        <f>IF(E61="YES",MAX(A$2:A60)+1,0)</f>
        <v>5</v>
      </c>
      <c r="B61" t="str">
        <f>'Juvenile Delinquency'!A66</f>
        <v>Juvenile Delinquency</v>
      </c>
      <c r="C61" t="str">
        <f>'Juvenile Delinquency'!C66</f>
        <v>CGE CQ2-16</v>
      </c>
      <c r="D61" s="46" t="str">
        <f>'Juvenile Delinquency'!D66</f>
        <v>The 5th Quarter Collection Rate did not meet the established performance measure standard of: 9%</v>
      </c>
      <c r="E61" t="str">
        <f>'Juvenile Delinquency'!E66</f>
        <v>YES</v>
      </c>
    </row>
    <row r="62" spans="1:5" ht="26.4" x14ac:dyDescent="0.25">
      <c r="A62" s="46">
        <f>IF(E62="YES",MAX(A$2:A61)+1,0)</f>
        <v>0</v>
      </c>
      <c r="B62" t="str">
        <f>'Criminal Traffic'!A62</f>
        <v>Criminal Traffic</v>
      </c>
      <c r="C62" t="str">
        <f>'Criminal Traffic'!C62</f>
        <v>CGE CQ2-16</v>
      </c>
      <c r="D62" s="46" t="str">
        <f>'Criminal Traffic'!D62</f>
        <v>After 3rd Q, Collections went up by more than set percentage of: 500%</v>
      </c>
      <c r="E62" t="str">
        <f>'Criminal Traffic'!E62</f>
        <v>NO</v>
      </c>
    </row>
    <row r="63" spans="1:5" ht="26.4" x14ac:dyDescent="0.25">
      <c r="A63" s="46">
        <f>IF(E63="YES",MAX(A$2:A62)+1,0)</f>
        <v>0</v>
      </c>
      <c r="B63" t="str">
        <f>'Criminal Traffic'!A63</f>
        <v>Criminal Traffic</v>
      </c>
      <c r="C63" t="str">
        <f>'Criminal Traffic'!C63</f>
        <v>CGE CQ2-16</v>
      </c>
      <c r="D63" s="46" t="str">
        <f>'Criminal Traffic'!D63</f>
        <v>Assessments dropped by more than set percentage of: 15%</v>
      </c>
      <c r="E63" t="str">
        <f>'Criminal Traffic'!E63</f>
        <v>NO</v>
      </c>
    </row>
    <row r="64" spans="1:5" x14ac:dyDescent="0.25">
      <c r="A64" s="46">
        <f>IF(E64="YES",MAX(A$2:A63)+1,0)</f>
        <v>0</v>
      </c>
      <c r="B64" t="str">
        <f>'Criminal Traffic'!A64</f>
        <v>Criminal Traffic</v>
      </c>
      <c r="C64" t="str">
        <f>'Criminal Traffic'!C64</f>
        <v>CGE CQ2-16</v>
      </c>
      <c r="D64" s="46" t="str">
        <f>'Criminal Traffic'!D64</f>
        <v>Collections amount decreased from prior quarter</v>
      </c>
      <c r="E64" t="str">
        <f>'Criminal Traffic'!E64</f>
        <v>NO</v>
      </c>
    </row>
    <row r="65" spans="1:5" x14ac:dyDescent="0.25">
      <c r="A65" s="46">
        <f>IF(E65="YES",MAX(A$2:A64)+1,0)</f>
        <v>0</v>
      </c>
      <c r="B65" t="str">
        <f>'Criminal Traffic'!A65</f>
        <v>Criminal Traffic</v>
      </c>
      <c r="C65" t="str">
        <f>'Criminal Traffic'!C65</f>
        <v>CGE CQ2-16</v>
      </c>
      <c r="D65" s="46" t="str">
        <f>'Criminal Traffic'!D65</f>
        <v>Assessment amount increased from prior quarter</v>
      </c>
      <c r="E65" t="str">
        <f>'Criminal Traffic'!E65</f>
        <v>NO</v>
      </c>
    </row>
    <row r="66" spans="1:5" ht="39.6" x14ac:dyDescent="0.25">
      <c r="A66" s="46">
        <f>IF(E66="YES",MAX(A$2:A65)+1,0)</f>
        <v>0</v>
      </c>
      <c r="B66" t="str">
        <f>'Criminal Traffic'!A66</f>
        <v>Criminal Traffic</v>
      </c>
      <c r="C66" t="str">
        <f>'Criminal Traffic'!C66</f>
        <v>CGE CQ2-16</v>
      </c>
      <c r="D66" s="46" t="str">
        <f>'Criminal Traffic'!D66</f>
        <v>The 5th Quarter Collection Rate did not meet the established performance measure standard of: 40%</v>
      </c>
      <c r="E66" t="str">
        <f>'Criminal Traffic'!E66</f>
        <v>NO</v>
      </c>
    </row>
    <row r="67" spans="1:5" ht="26.4" x14ac:dyDescent="0.25">
      <c r="A67" s="46">
        <f>IF(E67="YES",MAX(A$2:A66)+1,0)</f>
        <v>0</v>
      </c>
      <c r="B67" t="str">
        <f>'Circuit Civil'!A62</f>
        <v>Circuit Civil</v>
      </c>
      <c r="C67" t="str">
        <f>'Circuit Civil'!C62</f>
        <v>CGE CQ2-16</v>
      </c>
      <c r="D67" s="46" t="str">
        <f>'Circuit Civil'!D62</f>
        <v>After 3rd Q, Collections went up by more than set percentage of: 500%</v>
      </c>
      <c r="E67" t="str">
        <f>'Circuit Civil'!E62</f>
        <v>NO</v>
      </c>
    </row>
    <row r="68" spans="1:5" ht="26.4" x14ac:dyDescent="0.25">
      <c r="A68" s="46">
        <f>IF(E68="YES",MAX(A$2:A67)+1,0)</f>
        <v>0</v>
      </c>
      <c r="B68" t="str">
        <f>'Circuit Civil'!A63</f>
        <v>Circuit Civil</v>
      </c>
      <c r="C68" t="str">
        <f>'Circuit Civil'!C63</f>
        <v>CGE CQ2-16</v>
      </c>
      <c r="D68" s="46" t="str">
        <f>'Circuit Civil'!D63</f>
        <v>Assessments dropped by more than set percentage of: 15%</v>
      </c>
      <c r="E68" t="str">
        <f>'Circuit Civil'!E63</f>
        <v>NO</v>
      </c>
    </row>
    <row r="69" spans="1:5" x14ac:dyDescent="0.25">
      <c r="A69" s="46">
        <f>IF(E69="YES",MAX(A$2:A68)+1,0)</f>
        <v>6</v>
      </c>
      <c r="B69" t="str">
        <f>'Circuit Civil'!A64</f>
        <v>Circuit Civil</v>
      </c>
      <c r="C69" t="str">
        <f>'Circuit Civil'!C64</f>
        <v>CGE CQ2-16</v>
      </c>
      <c r="D69" s="46" t="str">
        <f>'Circuit Civil'!D64</f>
        <v>Collections amount decreased from prior quarter</v>
      </c>
      <c r="E69" t="str">
        <f>'Circuit Civil'!E64</f>
        <v>YES</v>
      </c>
    </row>
    <row r="70" spans="1:5" x14ac:dyDescent="0.25">
      <c r="A70" s="46">
        <f>IF(E70="YES",MAX(A$2:A69)+1,0)</f>
        <v>0</v>
      </c>
      <c r="B70" t="str">
        <f>'Circuit Civil'!A65</f>
        <v>Circuit Civil</v>
      </c>
      <c r="C70" t="str">
        <f>'Circuit Civil'!C65</f>
        <v>CGE CQ2-16</v>
      </c>
      <c r="D70" s="46" t="str">
        <f>'Circuit Civil'!D65</f>
        <v>Assessment amount increased from prior quarter</v>
      </c>
      <c r="E70" t="str">
        <f>'Circuit Civil'!E65</f>
        <v>NO</v>
      </c>
    </row>
    <row r="71" spans="1:5" ht="39.6" x14ac:dyDescent="0.25">
      <c r="A71" s="46">
        <f>IF(E71="YES",MAX(A$2:A70)+1,0)</f>
        <v>0</v>
      </c>
      <c r="B71" t="str">
        <f>'Circuit Civil'!A66</f>
        <v>Circuit Civil</v>
      </c>
      <c r="C71" t="str">
        <f>'Circuit Civil'!C66</f>
        <v>CGE CQ2-16</v>
      </c>
      <c r="D71" s="46" t="str">
        <f>'Circuit Civil'!D66</f>
        <v>The 5th Quarter Collection Rate did not meet the established performance measure standard of: 90%</v>
      </c>
      <c r="E71" t="str">
        <f>'Circuit Civil'!E66</f>
        <v>NO</v>
      </c>
    </row>
    <row r="72" spans="1:5" ht="26.4" x14ac:dyDescent="0.25">
      <c r="A72" s="46">
        <f>IF(E72="YES",MAX(A$2:A71)+1,0)</f>
        <v>0</v>
      </c>
      <c r="B72" t="str">
        <f>'County Civil'!A62</f>
        <v>County Civil</v>
      </c>
      <c r="C72" t="str">
        <f>'County Civil'!C62</f>
        <v>CGE CQ2-16</v>
      </c>
      <c r="D72" s="46" t="str">
        <f>'County Civil'!D62</f>
        <v>After 3rd Q, Collections went up by more than set percentage of: 500%</v>
      </c>
      <c r="E72" t="str">
        <f>'County Civil'!E62</f>
        <v>NO</v>
      </c>
    </row>
    <row r="73" spans="1:5" ht="26.4" x14ac:dyDescent="0.25">
      <c r="A73" s="46">
        <f>IF(E73="YES",MAX(A$2:A72)+1,0)</f>
        <v>0</v>
      </c>
      <c r="B73" t="str">
        <f>'County Civil'!A63</f>
        <v>County Civil</v>
      </c>
      <c r="C73" t="str">
        <f>'County Civil'!C63</f>
        <v>CGE CQ2-16</v>
      </c>
      <c r="D73" s="46" t="str">
        <f>'County Civil'!D63</f>
        <v>Assessments dropped by more than set percentage of: 15%</v>
      </c>
      <c r="E73" t="str">
        <f>'County Civil'!E63</f>
        <v>NO</v>
      </c>
    </row>
    <row r="74" spans="1:5" x14ac:dyDescent="0.25">
      <c r="A74" s="46">
        <f>IF(E74="YES",MAX(A$2:A73)+1,0)</f>
        <v>7</v>
      </c>
      <c r="B74" t="str">
        <f>'County Civil'!A64</f>
        <v>County Civil</v>
      </c>
      <c r="C74" t="str">
        <f>'County Civil'!C64</f>
        <v>CGE CQ2-16</v>
      </c>
      <c r="D74" s="46" t="str">
        <f>'County Civil'!D64</f>
        <v>Collections amount decreased from prior quarter</v>
      </c>
      <c r="E74" t="str">
        <f>'County Civil'!E64</f>
        <v>YES</v>
      </c>
    </row>
    <row r="75" spans="1:5" x14ac:dyDescent="0.25">
      <c r="A75" s="46">
        <f>IF(E75="YES",MAX(A$2:A74)+1,0)</f>
        <v>0</v>
      </c>
      <c r="B75" t="str">
        <f>'County Civil'!A65</f>
        <v>County Civil</v>
      </c>
      <c r="C75" t="str">
        <f>'County Civil'!C65</f>
        <v>CGE CQ2-16</v>
      </c>
      <c r="D75" s="46" t="str">
        <f>'County Civil'!D65</f>
        <v>Assessment amount increased from prior quarter</v>
      </c>
      <c r="E75" t="str">
        <f>'County Civil'!E65</f>
        <v>NO</v>
      </c>
    </row>
    <row r="76" spans="1:5" ht="39.6" x14ac:dyDescent="0.25">
      <c r="A76" s="46">
        <f>IF(E76="YES",MAX(A$2:A75)+1,0)</f>
        <v>0</v>
      </c>
      <c r="B76" t="str">
        <f>'County Civil'!A66</f>
        <v>County Civil</v>
      </c>
      <c r="C76" t="str">
        <f>'County Civil'!C66</f>
        <v>CGE CQ2-16</v>
      </c>
      <c r="D76" s="46" t="str">
        <f>'County Civil'!D66</f>
        <v>The 5th Quarter Collection Rate did not meet the established performance measure standard of: 90%</v>
      </c>
      <c r="E76" t="str">
        <f>'County Civil'!E66</f>
        <v>NO</v>
      </c>
    </row>
    <row r="77" spans="1:5" ht="26.4" x14ac:dyDescent="0.25">
      <c r="A77" s="46">
        <f>IF(E77="YES",MAX(A$2:A76)+1,0)</f>
        <v>0</v>
      </c>
      <c r="B77" t="str">
        <f>'Civil Traffic'!A62</f>
        <v>Civil Traffic</v>
      </c>
      <c r="C77" t="str">
        <f>'Civil Traffic'!C62</f>
        <v>CGE CQ2-16</v>
      </c>
      <c r="D77" s="46" t="str">
        <f>'Civil Traffic'!D62</f>
        <v>After 3rd Q, Collections went up by more than set percentage of: 500%</v>
      </c>
      <c r="E77" t="str">
        <f>'Civil Traffic'!E62</f>
        <v>NO</v>
      </c>
    </row>
    <row r="78" spans="1:5" ht="26.4" x14ac:dyDescent="0.25">
      <c r="A78" s="46">
        <f>IF(E78="YES",MAX(A$2:A77)+1,0)</f>
        <v>0</v>
      </c>
      <c r="B78" t="str">
        <f>'Civil Traffic'!A63</f>
        <v>Civil Traffic</v>
      </c>
      <c r="C78" t="str">
        <f>'Civil Traffic'!C63</f>
        <v>CGE CQ2-16</v>
      </c>
      <c r="D78" s="46" t="str">
        <f>'Civil Traffic'!D63</f>
        <v>Assessments dropped by more than set percentage of: 15%</v>
      </c>
      <c r="E78" t="str">
        <f>'Civil Traffic'!E63</f>
        <v>NO</v>
      </c>
    </row>
    <row r="79" spans="1:5" x14ac:dyDescent="0.25">
      <c r="A79" s="46">
        <f>IF(E79="YES",MAX(A$2:A78)+1,0)</f>
        <v>0</v>
      </c>
      <c r="B79" t="str">
        <f>'Civil Traffic'!A64</f>
        <v>Civil Traffic</v>
      </c>
      <c r="C79" t="str">
        <f>'Civil Traffic'!C64</f>
        <v>CGE CQ2-16</v>
      </c>
      <c r="D79" s="46" t="str">
        <f>'Civil Traffic'!D64</f>
        <v>Collections amount decreased from prior quarter</v>
      </c>
      <c r="E79" t="str">
        <f>'Civil Traffic'!E64</f>
        <v>NO</v>
      </c>
    </row>
    <row r="80" spans="1:5" x14ac:dyDescent="0.25">
      <c r="A80" s="46">
        <f>IF(E80="YES",MAX(A$2:A79)+1,0)</f>
        <v>0</v>
      </c>
      <c r="B80" t="str">
        <f>'Civil Traffic'!A65</f>
        <v>Civil Traffic</v>
      </c>
      <c r="C80" t="str">
        <f>'Civil Traffic'!C65</f>
        <v>CGE CQ2-16</v>
      </c>
      <c r="D80" s="46" t="str">
        <f>'Civil Traffic'!D65</f>
        <v>Assessment amount increased from prior quarter</v>
      </c>
      <c r="E80" t="str">
        <f>'Civil Traffic'!E65</f>
        <v>NO</v>
      </c>
    </row>
    <row r="81" spans="1:5" ht="39.6" x14ac:dyDescent="0.25">
      <c r="A81" s="46">
        <f>IF(E81="YES",MAX(A$2:A80)+1,0)</f>
        <v>8</v>
      </c>
      <c r="B81" t="str">
        <f>'Civil Traffic'!A66</f>
        <v>Civil Traffic</v>
      </c>
      <c r="C81" t="str">
        <f>'Civil Traffic'!C66</f>
        <v>CGE CQ2-16</v>
      </c>
      <c r="D81" s="46" t="str">
        <f>'Civil Traffic'!D66</f>
        <v>The 5th Quarter Collection Rate did not meet the established performance measure standard of: 90%</v>
      </c>
      <c r="E81" t="str">
        <f>'Civil Traffic'!E66</f>
        <v>YES</v>
      </c>
    </row>
    <row r="82" spans="1:5" ht="26.4" x14ac:dyDescent="0.25">
      <c r="A82" s="46">
        <f>IF(E82="YES",MAX(A$2:A81)+1,0)</f>
        <v>0</v>
      </c>
      <c r="B82" t="str">
        <f>Probate!A67</f>
        <v>Probate</v>
      </c>
      <c r="C82" t="str">
        <f>Probate!C67</f>
        <v>CGE CQ2-16</v>
      </c>
      <c r="D82" s="46" t="str">
        <f>Probate!D67</f>
        <v>After 3rd Q, Collections went up by more than set percentage of: 500%</v>
      </c>
      <c r="E82" t="str">
        <f>Probate!E67</f>
        <v>NO</v>
      </c>
    </row>
    <row r="83" spans="1:5" ht="26.4" x14ac:dyDescent="0.25">
      <c r="A83" s="46">
        <f>IF(E83="YES",MAX(A$2:A82)+1,0)</f>
        <v>0</v>
      </c>
      <c r="B83" t="str">
        <f>Probate!A68</f>
        <v>Probate</v>
      </c>
      <c r="C83" t="str">
        <f>Probate!C68</f>
        <v>CGE CQ2-16</v>
      </c>
      <c r="D83" s="46" t="str">
        <f>Probate!D68</f>
        <v>Assessments dropped by more than set percentage of: 15%</v>
      </c>
      <c r="E83" t="str">
        <f>Probate!E68</f>
        <v>NO</v>
      </c>
    </row>
    <row r="84" spans="1:5" x14ac:dyDescent="0.25">
      <c r="A84" s="46">
        <f>IF(E84="YES",MAX(A$2:A83)+1,0)</f>
        <v>9</v>
      </c>
      <c r="B84" t="str">
        <f>Probate!A69</f>
        <v>Probate</v>
      </c>
      <c r="C84" t="str">
        <f>Probate!C69</f>
        <v>CGE CQ2-16</v>
      </c>
      <c r="D84" s="46" t="str">
        <f>Probate!D69</f>
        <v>Collections amount decreased from prior quarter</v>
      </c>
      <c r="E84" t="str">
        <f>Probate!E69</f>
        <v>YES</v>
      </c>
    </row>
    <row r="85" spans="1:5" x14ac:dyDescent="0.25">
      <c r="A85" s="46">
        <f>IF(E85="YES",MAX(A$2:A84)+1,0)</f>
        <v>0</v>
      </c>
      <c r="B85" t="str">
        <f>Probate!A70</f>
        <v>Probate</v>
      </c>
      <c r="C85" t="str">
        <f>Probate!C70</f>
        <v>CGE CQ2-16</v>
      </c>
      <c r="D85" s="46" t="str">
        <f>Probate!D70</f>
        <v>Assessment amount increased from prior quarter</v>
      </c>
      <c r="E85" t="str">
        <f>Probate!E70</f>
        <v>NO</v>
      </c>
    </row>
    <row r="86" spans="1:5" ht="39.6" x14ac:dyDescent="0.25">
      <c r="A86" s="46">
        <f>IF(E86="YES",MAX(A$2:A85)+1,0)</f>
        <v>0</v>
      </c>
      <c r="B86" t="str">
        <f>Probate!A71</f>
        <v>Probate</v>
      </c>
      <c r="C86" t="str">
        <f>Probate!C71</f>
        <v>CGE CQ2-16</v>
      </c>
      <c r="D86" s="46" t="str">
        <f>Probate!D71</f>
        <v>The 5th Quarter Collection Rate did not meet the established performance measure standard of: 90%</v>
      </c>
      <c r="E86" t="str">
        <f>Probate!E71</f>
        <v>NO</v>
      </c>
    </row>
    <row r="87" spans="1:5" ht="26.4" x14ac:dyDescent="0.25">
      <c r="A87" s="46">
        <f>IF(E87="YES",MAX(A$2:A86)+1,0)</f>
        <v>0</v>
      </c>
      <c r="B87" t="str">
        <f>Family!A62</f>
        <v>Family</v>
      </c>
      <c r="C87" t="str">
        <f>Family!C62</f>
        <v>CGE CQ2-16</v>
      </c>
      <c r="D87" s="46" t="str">
        <f>Family!D62</f>
        <v>After 3rd Q, Collections went up by more than set percentage of: 500%</v>
      </c>
      <c r="E87" t="str">
        <f>Family!E62</f>
        <v>NO</v>
      </c>
    </row>
    <row r="88" spans="1:5" ht="26.4" x14ac:dyDescent="0.25">
      <c r="A88" s="46">
        <f>IF(E88="YES",MAX(A$2:A87)+1,0)</f>
        <v>0</v>
      </c>
      <c r="B88" t="str">
        <f>Family!A63</f>
        <v>Family</v>
      </c>
      <c r="C88" t="str">
        <f>Family!C63</f>
        <v>CGE CQ2-16</v>
      </c>
      <c r="D88" s="46" t="str">
        <f>Family!D63</f>
        <v>Assessments dropped by more than set percentage of: 15%</v>
      </c>
      <c r="E88" t="str">
        <f>Family!E63</f>
        <v>NO</v>
      </c>
    </row>
    <row r="89" spans="1:5" x14ac:dyDescent="0.25">
      <c r="A89" s="46">
        <f>IF(E89="YES",MAX(A$2:A88)+1,0)</f>
        <v>0</v>
      </c>
      <c r="B89" t="str">
        <f>Family!A64</f>
        <v>Family</v>
      </c>
      <c r="C89" t="str">
        <f>Family!C64</f>
        <v>CGE CQ2-16</v>
      </c>
      <c r="D89" s="46" t="str">
        <f>Family!D64</f>
        <v>Collections amount decreased from prior quarter</v>
      </c>
      <c r="E89" t="str">
        <f>Family!E64</f>
        <v>NO</v>
      </c>
    </row>
    <row r="90" spans="1:5" x14ac:dyDescent="0.25">
      <c r="A90" s="46">
        <f>IF(E90="YES",MAX(A$2:A89)+1,0)</f>
        <v>0</v>
      </c>
      <c r="B90" t="str">
        <f>Family!A65</f>
        <v>Family</v>
      </c>
      <c r="C90" t="str">
        <f>Family!C65</f>
        <v>CGE CQ2-16</v>
      </c>
      <c r="D90" s="46" t="str">
        <f>Family!D65</f>
        <v>Assessment amount increased from prior quarter</v>
      </c>
      <c r="E90" t="str">
        <f>Family!E65</f>
        <v>NO</v>
      </c>
    </row>
    <row r="91" spans="1:5" ht="39.6" x14ac:dyDescent="0.25">
      <c r="A91" s="46">
        <f>IF(E91="YES",MAX(A$2:A90)+1,0)</f>
        <v>0</v>
      </c>
      <c r="B91" t="str">
        <f>Family!A66</f>
        <v>Family</v>
      </c>
      <c r="C91" t="str">
        <f>Family!C66</f>
        <v>CGE CQ2-16</v>
      </c>
      <c r="D91" s="46" t="str">
        <f>Family!D66</f>
        <v>The 5th Quarter Collection Rate did not meet the established performance measure standard of: 75%</v>
      </c>
      <c r="E91" t="str">
        <f>Family!E66</f>
        <v>NO</v>
      </c>
    </row>
    <row r="92" spans="1:5" ht="26.4" x14ac:dyDescent="0.25">
      <c r="A92" s="46">
        <f>IF(E92="YES",MAX(A$2:A91)+1,0)</f>
        <v>0</v>
      </c>
      <c r="B92" s="46" t="str">
        <f>'Circuit Criminal'!A62</f>
        <v>Circuit Criminal</v>
      </c>
      <c r="C92" s="46" t="str">
        <f>'Circuit Criminal'!C62</f>
        <v>CGE CQ3-16</v>
      </c>
      <c r="D92" s="46" t="str">
        <f>'Circuit Criminal'!D62</f>
        <v>After 3rd Q, Collections went up by more than set percentage of: 500%</v>
      </c>
      <c r="E92" s="46" t="str">
        <f>'Circuit Criminal'!E62</f>
        <v>NO</v>
      </c>
    </row>
    <row r="93" spans="1:5" ht="26.4" x14ac:dyDescent="0.25">
      <c r="A93" s="46">
        <f>IF(E93="YES",MAX(A$2:A92)+1,0)</f>
        <v>0</v>
      </c>
      <c r="B93" s="46" t="str">
        <f>'Circuit Criminal'!A63</f>
        <v>Circuit Criminal</v>
      </c>
      <c r="C93" s="46" t="str">
        <f>'Circuit Criminal'!C63</f>
        <v>CGE CQ3-16</v>
      </c>
      <c r="D93" s="46" t="str">
        <f>'Circuit Criminal'!D63</f>
        <v>Assessments dropped by more than set percentage of: 15%</v>
      </c>
      <c r="E93" s="46" t="str">
        <f>'Circuit Criminal'!E63</f>
        <v>NO</v>
      </c>
    </row>
    <row r="94" spans="1:5" x14ac:dyDescent="0.25">
      <c r="A94" s="46">
        <f>IF(E94="YES",MAX(A$2:A93)+1,0)</f>
        <v>0</v>
      </c>
      <c r="B94" s="46" t="str">
        <f>'Circuit Criminal'!A64</f>
        <v>Circuit Criminal</v>
      </c>
      <c r="C94" s="46" t="str">
        <f>'Circuit Criminal'!C64</f>
        <v>CGE CQ3-16</v>
      </c>
      <c r="D94" s="46" t="str">
        <f>'Circuit Criminal'!D64</f>
        <v>Collections amount decreased from prior quarter</v>
      </c>
      <c r="E94" s="46" t="str">
        <f>'Circuit Criminal'!E64</f>
        <v>NO</v>
      </c>
    </row>
    <row r="95" spans="1:5" x14ac:dyDescent="0.25">
      <c r="A95" s="46">
        <f>IF(E95="YES",MAX(A$2:A94)+1,0)</f>
        <v>0</v>
      </c>
      <c r="B95" s="46" t="str">
        <f>'Circuit Criminal'!A65</f>
        <v>Circuit Criminal</v>
      </c>
      <c r="C95" s="46" t="str">
        <f>'Circuit Criminal'!C65</f>
        <v>CGE CQ3-16</v>
      </c>
      <c r="D95" s="46" t="str">
        <f>'Circuit Criminal'!D65</f>
        <v>Assessment amount increased from prior quarter</v>
      </c>
      <c r="E95" s="46" t="str">
        <f>'Circuit Criminal'!E65</f>
        <v>NO</v>
      </c>
    </row>
    <row r="96" spans="1:5" ht="39.6" x14ac:dyDescent="0.25">
      <c r="A96" s="46">
        <f>IF(E96="YES",MAX(A$2:A95)+1,0)</f>
        <v>0</v>
      </c>
      <c r="B96" s="46" t="str">
        <f>'Circuit Criminal'!A66</f>
        <v>Circuit Criminal</v>
      </c>
      <c r="C96" s="46" t="str">
        <f>'Circuit Criminal'!C66</f>
        <v>CGE CQ3-16</v>
      </c>
      <c r="D96" s="46" t="str">
        <f>'Circuit Criminal'!D66</f>
        <v>The 5th Quarter Collection Rate did not meet the established performance measure standard of: 9%</v>
      </c>
      <c r="E96" s="46" t="str">
        <f>'Circuit Criminal'!E66</f>
        <v>NO</v>
      </c>
    </row>
    <row r="97" spans="1:5" ht="26.4" x14ac:dyDescent="0.25">
      <c r="A97" s="46">
        <f>IF(E97="YES",MAX(A$2:A96)+1,0)</f>
        <v>0</v>
      </c>
      <c r="B97" t="str">
        <f>'County Criminal'!A67</f>
        <v>County Criminal</v>
      </c>
      <c r="C97" t="str">
        <f>'County Criminal'!C67</f>
        <v>CGE CQ3-16</v>
      </c>
      <c r="D97" s="46" t="str">
        <f>'County Criminal'!D67</f>
        <v>After 3rd Q, Collections went up by more than set percentage of: 500%</v>
      </c>
      <c r="E97" t="str">
        <f>'County Criminal'!E67</f>
        <v>NO</v>
      </c>
    </row>
    <row r="98" spans="1:5" ht="26.4" x14ac:dyDescent="0.25">
      <c r="A98" s="46">
        <f>IF(E98="YES",MAX(A$2:A97)+1,0)</f>
        <v>0</v>
      </c>
      <c r="B98" t="str">
        <f>'County Criminal'!A68</f>
        <v>County Criminal</v>
      </c>
      <c r="C98" t="str">
        <f>'County Criminal'!C68</f>
        <v>CGE CQ3-16</v>
      </c>
      <c r="D98" s="46" t="str">
        <f>'County Criminal'!D68</f>
        <v>Assessments dropped by more than set percentage of: 15%</v>
      </c>
      <c r="E98" t="str">
        <f>'County Criminal'!E68</f>
        <v>NO</v>
      </c>
    </row>
    <row r="99" spans="1:5" x14ac:dyDescent="0.25">
      <c r="A99" s="46">
        <f>IF(E99="YES",MAX(A$2:A98)+1,0)</f>
        <v>0</v>
      </c>
      <c r="B99" t="str">
        <f>'County Criminal'!A69</f>
        <v>County Criminal</v>
      </c>
      <c r="C99" t="str">
        <f>'County Criminal'!C69</f>
        <v>CGE CQ3-16</v>
      </c>
      <c r="D99" s="46" t="str">
        <f>'County Criminal'!D69</f>
        <v>Collections amount decreased from prior quarter</v>
      </c>
      <c r="E99" t="str">
        <f>'County Criminal'!E69</f>
        <v>NO</v>
      </c>
    </row>
    <row r="100" spans="1:5" x14ac:dyDescent="0.25">
      <c r="A100" s="46">
        <f>IF(E100="YES",MAX(A$2:A99)+1,0)</f>
        <v>0</v>
      </c>
      <c r="B100" t="str">
        <f>'County Criminal'!A70</f>
        <v>County Criminal</v>
      </c>
      <c r="C100" t="str">
        <f>'County Criminal'!C70</f>
        <v>CGE CQ3-16</v>
      </c>
      <c r="D100" s="46" t="str">
        <f>'County Criminal'!D70</f>
        <v>Assessment amount increased from prior quarter</v>
      </c>
      <c r="E100" t="str">
        <f>'County Criminal'!E70</f>
        <v>NO</v>
      </c>
    </row>
    <row r="101" spans="1:5" ht="39.6" x14ac:dyDescent="0.25">
      <c r="A101" s="46">
        <f>IF(E101="YES",MAX(A$2:A100)+1,0)</f>
        <v>0</v>
      </c>
      <c r="B101" t="str">
        <f>'County Criminal'!A71</f>
        <v>County Criminal</v>
      </c>
      <c r="C101" t="str">
        <f>'County Criminal'!C71</f>
        <v>CGE CQ3-16</v>
      </c>
      <c r="D101" s="46" t="str">
        <f>'County Criminal'!D71</f>
        <v>The 5th Quarter Collection Rate did not meet the established performance measure standard of: 40%</v>
      </c>
      <c r="E101" t="str">
        <f>'County Criminal'!E71</f>
        <v>NO</v>
      </c>
    </row>
    <row r="102" spans="1:5" ht="26.4" x14ac:dyDescent="0.25">
      <c r="A102" s="46">
        <f>IF(E102="YES",MAX(A$2:A101)+1,0)</f>
        <v>0</v>
      </c>
      <c r="B102" t="str">
        <f>'Juvenile Delinquency'!A67</f>
        <v>Juvenile Delinquency</v>
      </c>
      <c r="C102" t="str">
        <f>'Juvenile Delinquency'!C67</f>
        <v>CGE CQ3-16</v>
      </c>
      <c r="D102" s="46" t="str">
        <f>'Juvenile Delinquency'!D67</f>
        <v>After 3rd Q, Collections went up by more than set percentage of: 500%</v>
      </c>
      <c r="E102" t="str">
        <f>'Juvenile Delinquency'!E67</f>
        <v>NO</v>
      </c>
    </row>
    <row r="103" spans="1:5" ht="26.4" x14ac:dyDescent="0.25">
      <c r="A103" s="46">
        <f>IF(E103="YES",MAX(A$2:A102)+1,0)</f>
        <v>0</v>
      </c>
      <c r="B103" t="str">
        <f>'Juvenile Delinquency'!A68</f>
        <v>Juvenile Delinquency</v>
      </c>
      <c r="C103" t="str">
        <f>'Juvenile Delinquency'!C68</f>
        <v>CGE CQ3-16</v>
      </c>
      <c r="D103" s="46" t="str">
        <f>'Juvenile Delinquency'!D68</f>
        <v>Assessments dropped by more than set percentage of: 15%</v>
      </c>
      <c r="E103" t="str">
        <f>'Juvenile Delinquency'!E68</f>
        <v>NO</v>
      </c>
    </row>
    <row r="104" spans="1:5" x14ac:dyDescent="0.25">
      <c r="A104" s="46">
        <f>IF(E104="YES",MAX(A$2:A103)+1,0)</f>
        <v>0</v>
      </c>
      <c r="B104" t="str">
        <f>'Juvenile Delinquency'!A69</f>
        <v>Juvenile Delinquency</v>
      </c>
      <c r="C104" t="str">
        <f>'Juvenile Delinquency'!C69</f>
        <v>CGE CQ3-16</v>
      </c>
      <c r="D104" s="46" t="str">
        <f>'Juvenile Delinquency'!D69</f>
        <v>Collections amount decreased from prior quarter</v>
      </c>
      <c r="E104" t="str">
        <f>'Juvenile Delinquency'!E69</f>
        <v>NO</v>
      </c>
    </row>
    <row r="105" spans="1:5" x14ac:dyDescent="0.25">
      <c r="A105" s="46">
        <f>IF(E105="YES",MAX(A$2:A104)+1,0)</f>
        <v>0</v>
      </c>
      <c r="B105" t="str">
        <f>'Juvenile Delinquency'!A70</f>
        <v>Juvenile Delinquency</v>
      </c>
      <c r="C105" t="str">
        <f>'Juvenile Delinquency'!C70</f>
        <v>CGE CQ3-16</v>
      </c>
      <c r="D105" s="46" t="str">
        <f>'Juvenile Delinquency'!D70</f>
        <v>Assessment amount increased from prior quarter</v>
      </c>
      <c r="E105" t="str">
        <f>'Juvenile Delinquency'!E70</f>
        <v>NO</v>
      </c>
    </row>
    <row r="106" spans="1:5" ht="39.6" x14ac:dyDescent="0.25">
      <c r="A106" s="46">
        <f>IF(E106="YES",MAX(A$2:A105)+1,0)</f>
        <v>0</v>
      </c>
      <c r="B106" t="str">
        <f>'Juvenile Delinquency'!A71</f>
        <v>Juvenile Delinquency</v>
      </c>
      <c r="C106" t="str">
        <f>'Juvenile Delinquency'!C71</f>
        <v>CGE CQ3-16</v>
      </c>
      <c r="D106" s="46" t="str">
        <f>'Juvenile Delinquency'!D71</f>
        <v>The 5th Quarter Collection Rate did not meet the established performance measure standard of: 9%</v>
      </c>
      <c r="E106" t="str">
        <f>'Juvenile Delinquency'!E71</f>
        <v>NO</v>
      </c>
    </row>
    <row r="107" spans="1:5" ht="26.4" x14ac:dyDescent="0.25">
      <c r="A107" s="46">
        <f>IF(E107="YES",MAX(A$2:A106)+1,0)</f>
        <v>0</v>
      </c>
      <c r="B107" t="str">
        <f>'Criminal Traffic'!A67</f>
        <v>Criminal Traffic</v>
      </c>
      <c r="C107" t="str">
        <f>'Criminal Traffic'!C67</f>
        <v>CGE CQ3-16</v>
      </c>
      <c r="D107" s="46" t="str">
        <f>'Criminal Traffic'!D67</f>
        <v>After 3rd Q, Collections went up by more than set percentage of: 500%</v>
      </c>
      <c r="E107" t="str">
        <f>'Criminal Traffic'!E67</f>
        <v>NO</v>
      </c>
    </row>
    <row r="108" spans="1:5" ht="26.4" x14ac:dyDescent="0.25">
      <c r="A108" s="46">
        <f>IF(E108="YES",MAX(A$2:A107)+1,0)</f>
        <v>0</v>
      </c>
      <c r="B108" t="str">
        <f>'Criminal Traffic'!A68</f>
        <v>Criminal Traffic</v>
      </c>
      <c r="C108" t="str">
        <f>'Criminal Traffic'!C68</f>
        <v>CGE CQ3-16</v>
      </c>
      <c r="D108" s="46" t="str">
        <f>'Criminal Traffic'!D68</f>
        <v>Assessments dropped by more than set percentage of: 15%</v>
      </c>
      <c r="E108" t="str">
        <f>'Criminal Traffic'!E68</f>
        <v>NO</v>
      </c>
    </row>
    <row r="109" spans="1:5" x14ac:dyDescent="0.25">
      <c r="A109" s="46">
        <f>IF(E109="YES",MAX(A$2:A108)+1,0)</f>
        <v>0</v>
      </c>
      <c r="B109" t="str">
        <f>'Criminal Traffic'!A69</f>
        <v>Criminal Traffic</v>
      </c>
      <c r="C109" t="str">
        <f>'Criminal Traffic'!C69</f>
        <v>CGE CQ3-16</v>
      </c>
      <c r="D109" s="46" t="str">
        <f>'Criminal Traffic'!D69</f>
        <v>Collections amount decreased from prior quarter</v>
      </c>
      <c r="E109" t="str">
        <f>'Criminal Traffic'!E69</f>
        <v>NO</v>
      </c>
    </row>
    <row r="110" spans="1:5" x14ac:dyDescent="0.25">
      <c r="A110" s="46">
        <f>IF(E110="YES",MAX(A$2:A109)+1,0)</f>
        <v>0</v>
      </c>
      <c r="B110" t="str">
        <f>'Criminal Traffic'!A70</f>
        <v>Criminal Traffic</v>
      </c>
      <c r="C110" t="str">
        <f>'Criminal Traffic'!C70</f>
        <v>CGE CQ3-16</v>
      </c>
      <c r="D110" s="46" t="str">
        <f>'Criminal Traffic'!D70</f>
        <v>Assessment amount increased from prior quarter</v>
      </c>
      <c r="E110" t="str">
        <f>'Criminal Traffic'!E70</f>
        <v>NO</v>
      </c>
    </row>
    <row r="111" spans="1:5" ht="39.6" x14ac:dyDescent="0.25">
      <c r="A111" s="46">
        <f>IF(E111="YES",MAX(A$2:A110)+1,0)</f>
        <v>0</v>
      </c>
      <c r="B111" t="str">
        <f>'Criminal Traffic'!A71</f>
        <v>Criminal Traffic</v>
      </c>
      <c r="C111" t="str">
        <f>'Criminal Traffic'!C71</f>
        <v>CGE CQ3-16</v>
      </c>
      <c r="D111" s="46" t="str">
        <f>'Criminal Traffic'!D71</f>
        <v>The 5th Quarter Collection Rate did not meet the established performance measure standard of: 40%</v>
      </c>
      <c r="E111" t="str">
        <f>'Criminal Traffic'!E71</f>
        <v>NO</v>
      </c>
    </row>
    <row r="112" spans="1:5" ht="26.4" x14ac:dyDescent="0.25">
      <c r="A112" s="46">
        <f>IF(E112="YES",MAX(A$2:A111)+1,0)</f>
        <v>0</v>
      </c>
      <c r="B112" t="str">
        <f>'Circuit Civil'!A67</f>
        <v>Circuit Civil</v>
      </c>
      <c r="C112" t="str">
        <f>'Circuit Civil'!C67</f>
        <v>CGE CQ3-16</v>
      </c>
      <c r="D112" s="46" t="str">
        <f>'Circuit Civil'!D67</f>
        <v>After 3rd Q, Collections went up by more than set percentage of: 500%</v>
      </c>
      <c r="E112" t="str">
        <f>'Circuit Civil'!E67</f>
        <v>NO</v>
      </c>
    </row>
    <row r="113" spans="1:5" ht="26.4" x14ac:dyDescent="0.25">
      <c r="A113" s="46">
        <f>IF(E113="YES",MAX(A$2:A112)+1,0)</f>
        <v>0</v>
      </c>
      <c r="B113" t="str">
        <f>'Circuit Civil'!A68</f>
        <v>Circuit Civil</v>
      </c>
      <c r="C113" t="str">
        <f>'Circuit Civil'!C68</f>
        <v>CGE CQ3-16</v>
      </c>
      <c r="D113" s="46" t="str">
        <f>'Circuit Civil'!D68</f>
        <v>Assessments dropped by more than set percentage of: 15%</v>
      </c>
      <c r="E113" t="str">
        <f>'Circuit Civil'!E68</f>
        <v>NO</v>
      </c>
    </row>
    <row r="114" spans="1:5" x14ac:dyDescent="0.25">
      <c r="A114" s="46">
        <f>IF(E114="YES",MAX(A$2:A113)+1,0)</f>
        <v>10</v>
      </c>
      <c r="B114" t="str">
        <f>'Circuit Civil'!A69</f>
        <v>Circuit Civil</v>
      </c>
      <c r="C114" t="str">
        <f>'Circuit Civil'!C69</f>
        <v>CGE CQ3-16</v>
      </c>
      <c r="D114" s="46" t="str">
        <f>'Circuit Civil'!D69</f>
        <v>Collections amount decreased from prior quarter</v>
      </c>
      <c r="E114" t="str">
        <f>'Circuit Civil'!E69</f>
        <v>YES</v>
      </c>
    </row>
    <row r="115" spans="1:5" x14ac:dyDescent="0.25">
      <c r="A115" s="46">
        <f>IF(E115="YES",MAX(A$2:A114)+1,0)</f>
        <v>0</v>
      </c>
      <c r="B115" t="str">
        <f>'Circuit Civil'!A70</f>
        <v>Circuit Civil</v>
      </c>
      <c r="C115" t="str">
        <f>'Circuit Civil'!C70</f>
        <v>CGE CQ3-16</v>
      </c>
      <c r="D115" s="46" t="str">
        <f>'Circuit Civil'!D70</f>
        <v>Assessment amount increased from prior quarter</v>
      </c>
      <c r="E115" t="str">
        <f>'Circuit Civil'!E70</f>
        <v>NO</v>
      </c>
    </row>
    <row r="116" spans="1:5" ht="39.6" x14ac:dyDescent="0.25">
      <c r="A116" s="46">
        <f>IF(E116="YES",MAX(A$2:A115)+1,0)</f>
        <v>0</v>
      </c>
      <c r="B116" t="str">
        <f>'Circuit Civil'!A71</f>
        <v>Circuit Civil</v>
      </c>
      <c r="C116" t="str">
        <f>'Circuit Civil'!C71</f>
        <v>CGE CQ3-16</v>
      </c>
      <c r="D116" s="46" t="str">
        <f>'Circuit Civil'!D71</f>
        <v>The 5th Quarter Collection Rate did not meet the established performance measure standard of: 90%</v>
      </c>
      <c r="E116" t="str">
        <f>'Circuit Civil'!E71</f>
        <v>NO</v>
      </c>
    </row>
    <row r="117" spans="1:5" ht="26.4" x14ac:dyDescent="0.25">
      <c r="A117" s="46">
        <f>IF(E117="YES",MAX(A$2:A116)+1,0)</f>
        <v>0</v>
      </c>
      <c r="B117" t="str">
        <f>'County Civil'!A67</f>
        <v>County Civil</v>
      </c>
      <c r="C117" t="str">
        <f>'County Civil'!C67</f>
        <v>CGE CQ3-16</v>
      </c>
      <c r="D117" s="46" t="str">
        <f>'County Civil'!D67</f>
        <v>After 3rd Q, Collections went up by more than set percentage of: 500%</v>
      </c>
      <c r="E117" t="str">
        <f>'County Civil'!E67</f>
        <v>NO</v>
      </c>
    </row>
    <row r="118" spans="1:5" ht="26.4" x14ac:dyDescent="0.25">
      <c r="A118" s="46">
        <f>IF(E118="YES",MAX(A$2:A117)+1,0)</f>
        <v>0</v>
      </c>
      <c r="B118" t="str">
        <f>'County Civil'!A68</f>
        <v>County Civil</v>
      </c>
      <c r="C118" t="str">
        <f>'County Civil'!C68</f>
        <v>CGE CQ3-16</v>
      </c>
      <c r="D118" s="46" t="str">
        <f>'County Civil'!D68</f>
        <v>Assessments dropped by more than set percentage of: 15%</v>
      </c>
      <c r="E118" t="str">
        <f>'County Civil'!E68</f>
        <v>NO</v>
      </c>
    </row>
    <row r="119" spans="1:5" x14ac:dyDescent="0.25">
      <c r="A119" s="46">
        <f>IF(E119="YES",MAX(A$2:A118)+1,0)</f>
        <v>0</v>
      </c>
      <c r="B119" t="str">
        <f>'County Civil'!A69</f>
        <v>County Civil</v>
      </c>
      <c r="C119" t="str">
        <f>'County Civil'!C69</f>
        <v>CGE CQ3-16</v>
      </c>
      <c r="D119" s="46" t="str">
        <f>'County Civil'!D69</f>
        <v>Collections amount decreased from prior quarter</v>
      </c>
      <c r="E119" t="str">
        <f>'County Civil'!E69</f>
        <v>NO</v>
      </c>
    </row>
    <row r="120" spans="1:5" x14ac:dyDescent="0.25">
      <c r="A120" s="46">
        <f>IF(E120="YES",MAX(A$2:A119)+1,0)</f>
        <v>0</v>
      </c>
      <c r="B120" t="str">
        <f>'County Civil'!A70</f>
        <v>County Civil</v>
      </c>
      <c r="C120" t="str">
        <f>'County Civil'!C70</f>
        <v>CGE CQ3-16</v>
      </c>
      <c r="D120" s="46" t="str">
        <f>'County Civil'!D70</f>
        <v>Assessment amount increased from prior quarter</v>
      </c>
      <c r="E120" t="str">
        <f>'County Civil'!E70</f>
        <v>NO</v>
      </c>
    </row>
    <row r="121" spans="1:5" ht="39.6" x14ac:dyDescent="0.25">
      <c r="A121" s="46">
        <f>IF(E121="YES",MAX(A$2:A120)+1,0)</f>
        <v>0</v>
      </c>
      <c r="B121" t="str">
        <f>'County Civil'!A71</f>
        <v>County Civil</v>
      </c>
      <c r="C121" t="str">
        <f>'County Civil'!C71</f>
        <v>CGE CQ3-16</v>
      </c>
      <c r="D121" s="46" t="str">
        <f>'County Civil'!D71</f>
        <v>The 5th Quarter Collection Rate did not meet the established performance measure standard of: 90%</v>
      </c>
      <c r="E121" t="str">
        <f>'County Civil'!E71</f>
        <v>NO</v>
      </c>
    </row>
    <row r="122" spans="1:5" ht="26.4" x14ac:dyDescent="0.25">
      <c r="A122" s="46">
        <f>IF(E122="YES",MAX(A$2:A121)+1,0)</f>
        <v>0</v>
      </c>
      <c r="B122" t="str">
        <f>'Civil Traffic'!A67</f>
        <v>Civil Traffic</v>
      </c>
      <c r="C122" t="str">
        <f>'Civil Traffic'!C67</f>
        <v>CGE CQ3-16</v>
      </c>
      <c r="D122" s="46" t="str">
        <f>'Civil Traffic'!D67</f>
        <v>After 3rd Q, Collections went up by more than set percentage of: 500%</v>
      </c>
      <c r="E122" t="str">
        <f>'Civil Traffic'!E67</f>
        <v>NO</v>
      </c>
    </row>
    <row r="123" spans="1:5" ht="26.4" x14ac:dyDescent="0.25">
      <c r="A123" s="46">
        <f>IF(E123="YES",MAX(A$2:A122)+1,0)</f>
        <v>0</v>
      </c>
      <c r="B123" t="str">
        <f>'Civil Traffic'!A68</f>
        <v>Civil Traffic</v>
      </c>
      <c r="C123" t="str">
        <f>'Civil Traffic'!C68</f>
        <v>CGE CQ3-16</v>
      </c>
      <c r="D123" s="46" t="str">
        <f>'Civil Traffic'!D68</f>
        <v>Assessments dropped by more than set percentage of: 15%</v>
      </c>
      <c r="E123" t="str">
        <f>'Civil Traffic'!E68</f>
        <v>NO</v>
      </c>
    </row>
    <row r="124" spans="1:5" x14ac:dyDescent="0.25">
      <c r="A124" s="46">
        <f>IF(E124="YES",MAX(A$2:A123)+1,0)</f>
        <v>0</v>
      </c>
      <c r="B124" t="str">
        <f>'Civil Traffic'!A69</f>
        <v>Civil Traffic</v>
      </c>
      <c r="C124" t="str">
        <f>'Civil Traffic'!C69</f>
        <v>CGE CQ3-16</v>
      </c>
      <c r="D124" s="46" t="str">
        <f>'Civil Traffic'!D69</f>
        <v>Collections amount decreased from prior quarter</v>
      </c>
      <c r="E124" t="str">
        <f>'Civil Traffic'!E69</f>
        <v>NO</v>
      </c>
    </row>
    <row r="125" spans="1:5" x14ac:dyDescent="0.25">
      <c r="A125" s="46">
        <f>IF(E125="YES",MAX(A$2:A124)+1,0)</f>
        <v>0</v>
      </c>
      <c r="B125" t="str">
        <f>'Civil Traffic'!A70</f>
        <v>Civil Traffic</v>
      </c>
      <c r="C125" t="str">
        <f>'Civil Traffic'!C70</f>
        <v>CGE CQ3-16</v>
      </c>
      <c r="D125" s="46" t="str">
        <f>'Civil Traffic'!D70</f>
        <v>Assessment amount increased from prior quarter</v>
      </c>
      <c r="E125" t="str">
        <f>'Civil Traffic'!E70</f>
        <v>NO</v>
      </c>
    </row>
    <row r="126" spans="1:5" ht="39.6" x14ac:dyDescent="0.25">
      <c r="A126" s="46">
        <f>IF(E126="YES",MAX(A$2:A125)+1,0)</f>
        <v>0</v>
      </c>
      <c r="B126" t="str">
        <f>'Civil Traffic'!A71</f>
        <v>Civil Traffic</v>
      </c>
      <c r="C126" t="str">
        <f>'Civil Traffic'!C71</f>
        <v>CGE CQ3-16</v>
      </c>
      <c r="D126" s="46" t="str">
        <f>'Civil Traffic'!D71</f>
        <v>The 5th Quarter Collection Rate did not meet the established performance measure standard of: 90%</v>
      </c>
      <c r="E126" t="str">
        <f>'Civil Traffic'!E71</f>
        <v>NO</v>
      </c>
    </row>
    <row r="127" spans="1:5" ht="26.4" x14ac:dyDescent="0.25">
      <c r="A127" s="46">
        <f>IF(E127="YES",MAX(A$2:A126)+1,0)</f>
        <v>0</v>
      </c>
      <c r="B127" t="str">
        <f>Probate!A72</f>
        <v>Probate</v>
      </c>
      <c r="C127" t="str">
        <f>Probate!C72</f>
        <v>CGE CQ3-16</v>
      </c>
      <c r="D127" s="46" t="str">
        <f>Probate!D72</f>
        <v>After 3rd Q, Collections went up by more than set percentage of: 500%</v>
      </c>
      <c r="E127" t="str">
        <f>Probate!E72</f>
        <v>NO</v>
      </c>
    </row>
    <row r="128" spans="1:5" ht="26.4" x14ac:dyDescent="0.25">
      <c r="A128" s="46">
        <f>IF(E128="YES",MAX(A$2:A127)+1,0)</f>
        <v>0</v>
      </c>
      <c r="B128" t="str">
        <f>Probate!A73</f>
        <v>Probate</v>
      </c>
      <c r="C128" t="str">
        <f>Probate!C73</f>
        <v>CGE CQ3-16</v>
      </c>
      <c r="D128" s="46" t="str">
        <f>Probate!D73</f>
        <v>Assessments dropped by more than set percentage of: 15%</v>
      </c>
      <c r="E128" t="str">
        <f>Probate!E73</f>
        <v>NO</v>
      </c>
    </row>
    <row r="129" spans="1:5" x14ac:dyDescent="0.25">
      <c r="A129" s="46">
        <f>IF(E129="YES",MAX(A$2:A128)+1,0)</f>
        <v>11</v>
      </c>
      <c r="B129" t="str">
        <f>Probate!A74</f>
        <v>Probate</v>
      </c>
      <c r="C129" t="str">
        <f>Probate!C74</f>
        <v>CGE CQ3-16</v>
      </c>
      <c r="D129" s="46" t="str">
        <f>Probate!D74</f>
        <v>Collections amount decreased from prior quarter</v>
      </c>
      <c r="E129" t="str">
        <f>Probate!E74</f>
        <v>YES</v>
      </c>
    </row>
    <row r="130" spans="1:5" x14ac:dyDescent="0.25">
      <c r="A130" s="46">
        <f>IF(E130="YES",MAX(A$2:A129)+1,0)</f>
        <v>0</v>
      </c>
      <c r="B130" t="str">
        <f>Probate!A75</f>
        <v>Probate</v>
      </c>
      <c r="C130" t="str">
        <f>Probate!C75</f>
        <v>CGE CQ3-16</v>
      </c>
      <c r="D130" s="46" t="str">
        <f>Probate!D75</f>
        <v>Assessment amount increased from prior quarter</v>
      </c>
      <c r="E130" t="str">
        <f>Probate!E75</f>
        <v>NO</v>
      </c>
    </row>
    <row r="131" spans="1:5" ht="39.6" x14ac:dyDescent="0.25">
      <c r="A131" s="46">
        <f>IF(E131="YES",MAX(A$2:A130)+1,0)</f>
        <v>0</v>
      </c>
      <c r="B131" t="str">
        <f>Probate!A76</f>
        <v>Probate</v>
      </c>
      <c r="C131" t="str">
        <f>Probate!C76</f>
        <v>CGE CQ3-16</v>
      </c>
      <c r="D131" s="46" t="str">
        <f>Probate!D76</f>
        <v>The 5th Quarter Collection Rate did not meet the established performance measure standard of: 90%</v>
      </c>
      <c r="E131" t="str">
        <f>Probate!E76</f>
        <v>NO</v>
      </c>
    </row>
    <row r="132" spans="1:5" ht="26.4" x14ac:dyDescent="0.25">
      <c r="A132" s="46">
        <f>IF(E132="YES",MAX(A$2:A131)+1,0)</f>
        <v>0</v>
      </c>
      <c r="B132" t="str">
        <f>Family!A67</f>
        <v>Family</v>
      </c>
      <c r="C132" t="str">
        <f>Family!C67</f>
        <v>CGE CQ3-16</v>
      </c>
      <c r="D132" s="46" t="str">
        <f>Family!D67</f>
        <v>After 3rd Q, Collections went up by more than set percentage of: 500%</v>
      </c>
      <c r="E132" t="str">
        <f>Family!E67</f>
        <v>NO</v>
      </c>
    </row>
    <row r="133" spans="1:5" ht="26.4" x14ac:dyDescent="0.25">
      <c r="A133" s="46">
        <f>IF(E133="YES",MAX(A$2:A132)+1,0)</f>
        <v>0</v>
      </c>
      <c r="B133" t="str">
        <f>Family!A68</f>
        <v>Family</v>
      </c>
      <c r="C133" t="str">
        <f>Family!C68</f>
        <v>CGE CQ3-16</v>
      </c>
      <c r="D133" s="46" t="str">
        <f>Family!D68</f>
        <v>Assessments dropped by more than set percentage of: 15%</v>
      </c>
      <c r="E133" t="str">
        <f>Family!E68</f>
        <v>NO</v>
      </c>
    </row>
    <row r="134" spans="1:5" x14ac:dyDescent="0.25">
      <c r="A134" s="46">
        <f>IF(E134="YES",MAX(A$2:A133)+1,0)</f>
        <v>0</v>
      </c>
      <c r="B134" t="str">
        <f>Family!A69</f>
        <v>Family</v>
      </c>
      <c r="C134" t="str">
        <f>Family!C69</f>
        <v>CGE CQ3-16</v>
      </c>
      <c r="D134" s="46" t="str">
        <f>Family!D69</f>
        <v>Collections amount decreased from prior quarter</v>
      </c>
      <c r="E134" t="str">
        <f>Family!E69</f>
        <v>NO</v>
      </c>
    </row>
    <row r="135" spans="1:5" x14ac:dyDescent="0.25">
      <c r="A135" s="46">
        <f>IF(E135="YES",MAX(A$2:A134)+1,0)</f>
        <v>0</v>
      </c>
      <c r="B135" t="str">
        <f>Family!A70</f>
        <v>Family</v>
      </c>
      <c r="C135" t="str">
        <f>Family!C70</f>
        <v>CGE CQ3-16</v>
      </c>
      <c r="D135" s="46" t="str">
        <f>Family!D70</f>
        <v>Assessment amount increased from prior quarter</v>
      </c>
      <c r="E135" t="str">
        <f>Family!E70</f>
        <v>NO</v>
      </c>
    </row>
    <row r="136" spans="1:5" ht="39.6" x14ac:dyDescent="0.25">
      <c r="A136" s="46">
        <f>IF(E136="YES",MAX(A$2:A135)+1,0)</f>
        <v>0</v>
      </c>
      <c r="B136" t="str">
        <f>Family!A71</f>
        <v>Family</v>
      </c>
      <c r="C136" t="str">
        <f>Family!C71</f>
        <v>CGE CQ3-16</v>
      </c>
      <c r="D136" s="46" t="str">
        <f>Family!D71</f>
        <v>The 5th Quarter Collection Rate did not meet the established performance measure standard of: 75%</v>
      </c>
      <c r="E136" t="str">
        <f>Family!E71</f>
        <v>NO</v>
      </c>
    </row>
    <row r="137" spans="1:5" ht="26.4" x14ac:dyDescent="0.25">
      <c r="A137" s="46">
        <f>IF(E137="YES",MAX(A$2:A136)+1,0)</f>
        <v>0</v>
      </c>
      <c r="B137" s="46" t="str">
        <f>'Circuit Criminal'!A67</f>
        <v>Circuit Criminal</v>
      </c>
      <c r="C137" s="46" t="str">
        <f>'Circuit Criminal'!C67</f>
        <v>CGE CQ4-16</v>
      </c>
      <c r="D137" s="46" t="str">
        <f>'Circuit Criminal'!D67</f>
        <v>After 3rd Q, Collections went up by more than set percentage of: 500%</v>
      </c>
      <c r="E137" s="46" t="str">
        <f>'Circuit Criminal'!E67</f>
        <v>NO</v>
      </c>
    </row>
    <row r="138" spans="1:5" ht="26.4" x14ac:dyDescent="0.25">
      <c r="A138" s="46">
        <f>IF(E138="YES",MAX(A$2:A137)+1,0)</f>
        <v>0</v>
      </c>
      <c r="B138" s="46" t="str">
        <f>'Circuit Criminal'!A68</f>
        <v>Circuit Criminal</v>
      </c>
      <c r="C138" s="46" t="str">
        <f>'Circuit Criminal'!C68</f>
        <v>CGE CQ4-16</v>
      </c>
      <c r="D138" s="46" t="str">
        <f>'Circuit Criminal'!D68</f>
        <v>Assessments dropped by more than set percentage of: 15%</v>
      </c>
      <c r="E138" s="46" t="str">
        <f>'Circuit Criminal'!E68</f>
        <v>NO</v>
      </c>
    </row>
    <row r="139" spans="1:5" x14ac:dyDescent="0.25">
      <c r="A139" s="46">
        <f>IF(E139="YES",MAX(A$2:A138)+1,0)</f>
        <v>0</v>
      </c>
      <c r="B139" s="46" t="str">
        <f>'Circuit Criminal'!A69</f>
        <v>Circuit Criminal</v>
      </c>
      <c r="C139" s="46" t="str">
        <f>'Circuit Criminal'!C69</f>
        <v>CGE CQ4-16</v>
      </c>
      <c r="D139" s="46" t="str">
        <f>'Circuit Criminal'!D69</f>
        <v>Collections amount decreased from prior quarter</v>
      </c>
      <c r="E139" s="46" t="str">
        <f>'Circuit Criminal'!E69</f>
        <v>NO</v>
      </c>
    </row>
    <row r="140" spans="1:5" x14ac:dyDescent="0.25">
      <c r="A140" s="46">
        <f>IF(E140="YES",MAX(A$2:A139)+1,0)</f>
        <v>0</v>
      </c>
      <c r="B140" s="46" t="str">
        <f>'Circuit Criminal'!A70</f>
        <v>Circuit Criminal</v>
      </c>
      <c r="C140" s="46" t="str">
        <f>'Circuit Criminal'!C70</f>
        <v>CGE CQ4-16</v>
      </c>
      <c r="D140" s="46" t="str">
        <f>'Circuit Criminal'!D70</f>
        <v>Assessment amount increased from prior quarter</v>
      </c>
      <c r="E140" s="46" t="str">
        <f>'Circuit Criminal'!E70</f>
        <v>NO</v>
      </c>
    </row>
    <row r="141" spans="1:5" ht="39.6" x14ac:dyDescent="0.25">
      <c r="A141" s="46">
        <f>IF(E141="YES",MAX(A$2:A140)+1,0)</f>
        <v>0</v>
      </c>
      <c r="B141" s="46" t="str">
        <f>'Circuit Criminal'!A71</f>
        <v>Circuit Criminal</v>
      </c>
      <c r="C141" s="46" t="str">
        <f>'Circuit Criminal'!C71</f>
        <v>CGE CQ4-16</v>
      </c>
      <c r="D141" s="46" t="str">
        <f>'Circuit Criminal'!D71</f>
        <v>The 5th Quarter Collection Rate did not meet the established performance measure standard of: 9%</v>
      </c>
      <c r="E141" s="46" t="str">
        <f>'Circuit Criminal'!E71</f>
        <v>NO</v>
      </c>
    </row>
    <row r="142" spans="1:5" ht="26.4" x14ac:dyDescent="0.25">
      <c r="A142" s="46">
        <f>IF(E142="YES",MAX(A$2:A141)+1,0)</f>
        <v>0</v>
      </c>
      <c r="B142" t="str">
        <f>'County Criminal'!A72</f>
        <v>County Criminal</v>
      </c>
      <c r="C142" t="str">
        <f>'County Criminal'!C72</f>
        <v>CGE CQ4-16</v>
      </c>
      <c r="D142" s="46" t="str">
        <f>'County Criminal'!D72</f>
        <v>After 3rd Q, Collections went up by more than set percentage of: 500%</v>
      </c>
      <c r="E142" t="str">
        <f>'County Criminal'!E72</f>
        <v>NO</v>
      </c>
    </row>
    <row r="143" spans="1:5" ht="26.4" x14ac:dyDescent="0.25">
      <c r="A143" s="46">
        <f>IF(E143="YES",MAX(A$2:A142)+1,0)</f>
        <v>0</v>
      </c>
      <c r="B143" t="str">
        <f>'County Criminal'!A73</f>
        <v>County Criminal</v>
      </c>
      <c r="C143" t="str">
        <f>'County Criminal'!C73</f>
        <v>CGE CQ4-16</v>
      </c>
      <c r="D143" s="46" t="str">
        <f>'County Criminal'!D73</f>
        <v>Assessments dropped by more than set percentage of: 15%</v>
      </c>
      <c r="E143" t="str">
        <f>'County Criminal'!E73</f>
        <v>NO</v>
      </c>
    </row>
    <row r="144" spans="1:5" x14ac:dyDescent="0.25">
      <c r="A144" s="46">
        <f>IF(E144="YES",MAX(A$2:A143)+1,0)</f>
        <v>0</v>
      </c>
      <c r="B144" t="str">
        <f>'County Criminal'!A74</f>
        <v>County Criminal</v>
      </c>
      <c r="C144" t="str">
        <f>'County Criminal'!C74</f>
        <v>CGE CQ4-16</v>
      </c>
      <c r="D144" s="46" t="str">
        <f>'County Criminal'!D74</f>
        <v>Collections amount decreased from prior quarter</v>
      </c>
      <c r="E144" t="str">
        <f>'County Criminal'!E74</f>
        <v>NO</v>
      </c>
    </row>
    <row r="145" spans="1:5" x14ac:dyDescent="0.25">
      <c r="A145" s="46">
        <f>IF(E145="YES",MAX(A$2:A144)+1,0)</f>
        <v>0</v>
      </c>
      <c r="B145" t="str">
        <f>'County Criminal'!A75</f>
        <v>County Criminal</v>
      </c>
      <c r="C145" t="str">
        <f>'County Criminal'!C75</f>
        <v>CGE CQ4-16</v>
      </c>
      <c r="D145" s="46" t="str">
        <f>'County Criminal'!D75</f>
        <v>Assessment amount increased from prior quarter</v>
      </c>
      <c r="E145" t="str">
        <f>'County Criminal'!E75</f>
        <v>NO</v>
      </c>
    </row>
    <row r="146" spans="1:5" ht="39.6" x14ac:dyDescent="0.25">
      <c r="A146" s="46">
        <f>IF(E146="YES",MAX(A$2:A145)+1,0)</f>
        <v>0</v>
      </c>
      <c r="B146" t="str">
        <f>'County Criminal'!A76</f>
        <v>County Criminal</v>
      </c>
      <c r="C146" t="str">
        <f>'County Criminal'!C76</f>
        <v>CGE CQ4-16</v>
      </c>
      <c r="D146" s="46" t="str">
        <f>'County Criminal'!D76</f>
        <v>The 5th Quarter Collection Rate did not meet the established performance measure standard of: 40%</v>
      </c>
      <c r="E146" t="str">
        <f>'County Criminal'!E76</f>
        <v>NO</v>
      </c>
    </row>
    <row r="147" spans="1:5" ht="26.4" x14ac:dyDescent="0.25">
      <c r="A147" s="46">
        <f>IF(E147="YES",MAX(A$2:A146)+1,0)</f>
        <v>0</v>
      </c>
      <c r="B147" t="str">
        <f>'Juvenile Delinquency'!A72</f>
        <v>Juvenile Delinquency</v>
      </c>
      <c r="C147" t="str">
        <f>'Juvenile Delinquency'!C72</f>
        <v>CGE CQ4-16</v>
      </c>
      <c r="D147" s="46" t="str">
        <f>'Juvenile Delinquency'!D72</f>
        <v>After 3rd Q, Collections went up by more than set percentage of: 500%</v>
      </c>
      <c r="E147" t="str">
        <f>'Juvenile Delinquency'!E72</f>
        <v>NO</v>
      </c>
    </row>
    <row r="148" spans="1:5" ht="26.4" x14ac:dyDescent="0.25">
      <c r="A148" s="46">
        <f>IF(E148="YES",MAX(A$2:A147)+1,0)</f>
        <v>0</v>
      </c>
      <c r="B148" t="str">
        <f>'Juvenile Delinquency'!A73</f>
        <v>Juvenile Delinquency</v>
      </c>
      <c r="C148" t="str">
        <f>'Juvenile Delinquency'!C73</f>
        <v>CGE CQ4-16</v>
      </c>
      <c r="D148" s="46" t="str">
        <f>'Juvenile Delinquency'!D73</f>
        <v>Assessments dropped by more than set percentage of: 15%</v>
      </c>
      <c r="E148" t="str">
        <f>'Juvenile Delinquency'!E73</f>
        <v>NO</v>
      </c>
    </row>
    <row r="149" spans="1:5" x14ac:dyDescent="0.25">
      <c r="A149" s="46">
        <f>IF(E149="YES",MAX(A$2:A148)+1,0)</f>
        <v>0</v>
      </c>
      <c r="B149" t="str">
        <f>'Juvenile Delinquency'!A74</f>
        <v>Juvenile Delinquency</v>
      </c>
      <c r="C149" t="str">
        <f>'Juvenile Delinquency'!C74</f>
        <v>CGE CQ4-16</v>
      </c>
      <c r="D149" s="46" t="str">
        <f>'Juvenile Delinquency'!D74</f>
        <v>Collections amount decreased from prior quarter</v>
      </c>
      <c r="E149" t="str">
        <f>'Juvenile Delinquency'!E74</f>
        <v>NO</v>
      </c>
    </row>
    <row r="150" spans="1:5" x14ac:dyDescent="0.25">
      <c r="A150" s="46">
        <f>IF(E150="YES",MAX(A$2:A149)+1,0)</f>
        <v>0</v>
      </c>
      <c r="B150" t="str">
        <f>'Juvenile Delinquency'!A75</f>
        <v>Juvenile Delinquency</v>
      </c>
      <c r="C150" t="str">
        <f>'Juvenile Delinquency'!C75</f>
        <v>CGE CQ4-16</v>
      </c>
      <c r="D150" s="46" t="str">
        <f>'Juvenile Delinquency'!D75</f>
        <v>Assessment amount increased from prior quarter</v>
      </c>
      <c r="E150" t="str">
        <f>'Juvenile Delinquency'!E75</f>
        <v>NO</v>
      </c>
    </row>
    <row r="151" spans="1:5" ht="39.6" x14ac:dyDescent="0.25">
      <c r="A151" s="46">
        <f>IF(E151="YES",MAX(A$2:A150)+1,0)</f>
        <v>0</v>
      </c>
      <c r="B151" t="str">
        <f>'Juvenile Delinquency'!A76</f>
        <v>Juvenile Delinquency</v>
      </c>
      <c r="C151" t="str">
        <f>'Juvenile Delinquency'!C76</f>
        <v>CGE CQ4-16</v>
      </c>
      <c r="D151" s="46" t="str">
        <f>'Juvenile Delinquency'!D76</f>
        <v>The 5th Quarter Collection Rate did not meet the established performance measure standard of: 9%</v>
      </c>
      <c r="E151" t="str">
        <f>'Juvenile Delinquency'!E76</f>
        <v>NO</v>
      </c>
    </row>
    <row r="152" spans="1:5" ht="26.4" x14ac:dyDescent="0.25">
      <c r="A152" s="46">
        <f>IF(E152="YES",MAX(A$2:A151)+1,0)</f>
        <v>0</v>
      </c>
      <c r="B152" t="str">
        <f>'Criminal Traffic'!A72</f>
        <v>Criminal Traffic</v>
      </c>
      <c r="C152" t="str">
        <f>'Criminal Traffic'!C72</f>
        <v>CGE CQ4-16</v>
      </c>
      <c r="D152" s="46" t="str">
        <f>'Criminal Traffic'!D72</f>
        <v>After 3rd Q, Collections went up by more than set percentage of: 500%</v>
      </c>
      <c r="E152" t="str">
        <f>'Criminal Traffic'!E72</f>
        <v>NO</v>
      </c>
    </row>
    <row r="153" spans="1:5" ht="26.4" x14ac:dyDescent="0.25">
      <c r="A153" s="46">
        <f>IF(E153="YES",MAX(A$2:A152)+1,0)</f>
        <v>0</v>
      </c>
      <c r="B153" t="str">
        <f>'Criminal Traffic'!A73</f>
        <v>Criminal Traffic</v>
      </c>
      <c r="C153" t="str">
        <f>'Criminal Traffic'!C73</f>
        <v>CGE CQ4-16</v>
      </c>
      <c r="D153" s="46" t="str">
        <f>'Criminal Traffic'!D73</f>
        <v>Assessments dropped by more than set percentage of: 15%</v>
      </c>
      <c r="E153" t="str">
        <f>'Criminal Traffic'!E73</f>
        <v>NO</v>
      </c>
    </row>
    <row r="154" spans="1:5" x14ac:dyDescent="0.25">
      <c r="A154" s="46">
        <f>IF(E154="YES",MAX(A$2:A153)+1,0)</f>
        <v>0</v>
      </c>
      <c r="B154" t="str">
        <f>'Criminal Traffic'!A74</f>
        <v>Criminal Traffic</v>
      </c>
      <c r="C154" t="str">
        <f>'Criminal Traffic'!C74</f>
        <v>CGE CQ4-16</v>
      </c>
      <c r="D154" s="46" t="str">
        <f>'Criminal Traffic'!D74</f>
        <v>Collections amount decreased from prior quarter</v>
      </c>
      <c r="E154" t="str">
        <f>'Criminal Traffic'!E74</f>
        <v>NO</v>
      </c>
    </row>
    <row r="155" spans="1:5" x14ac:dyDescent="0.25">
      <c r="A155" s="46">
        <f>IF(E155="YES",MAX(A$2:A154)+1,0)</f>
        <v>0</v>
      </c>
      <c r="B155" t="str">
        <f>'Criminal Traffic'!A75</f>
        <v>Criminal Traffic</v>
      </c>
      <c r="C155" t="str">
        <f>'Criminal Traffic'!C75</f>
        <v>CGE CQ4-16</v>
      </c>
      <c r="D155" s="46" t="str">
        <f>'Criminal Traffic'!D75</f>
        <v>Assessment amount increased from prior quarter</v>
      </c>
      <c r="E155" t="str">
        <f>'Criminal Traffic'!E75</f>
        <v>NO</v>
      </c>
    </row>
    <row r="156" spans="1:5" ht="39.6" x14ac:dyDescent="0.25">
      <c r="A156" s="46">
        <f>IF(E156="YES",MAX(A$2:A155)+1,0)</f>
        <v>0</v>
      </c>
      <c r="B156" t="str">
        <f>'Criminal Traffic'!A76</f>
        <v>Criminal Traffic</v>
      </c>
      <c r="C156" t="str">
        <f>'Criminal Traffic'!C76</f>
        <v>CGE CQ4-16</v>
      </c>
      <c r="D156" s="46" t="str">
        <f>'Criminal Traffic'!D76</f>
        <v>The 5th Quarter Collection Rate did not meet the established performance measure standard of: 40%</v>
      </c>
      <c r="E156" t="str">
        <f>'Criminal Traffic'!E76</f>
        <v>NO</v>
      </c>
    </row>
    <row r="157" spans="1:5" ht="26.4" x14ac:dyDescent="0.25">
      <c r="A157" s="46">
        <f>IF(E157="YES",MAX(A$2:A156)+1,0)</f>
        <v>0</v>
      </c>
      <c r="B157" t="str">
        <f>'Circuit Civil'!A72</f>
        <v>Circuit Civil</v>
      </c>
      <c r="C157" t="str">
        <f>'Circuit Civil'!C72</f>
        <v>CGE CQ4-16</v>
      </c>
      <c r="D157" s="46" t="str">
        <f>'Circuit Civil'!D72</f>
        <v>After 3rd Q, Collections went up by more than set percentage of: 500%</v>
      </c>
      <c r="E157" t="str">
        <f>'Circuit Civil'!E72</f>
        <v>NO</v>
      </c>
    </row>
    <row r="158" spans="1:5" ht="26.4" x14ac:dyDescent="0.25">
      <c r="A158" s="46">
        <f>IF(E158="YES",MAX(A$2:A157)+1,0)</f>
        <v>0</v>
      </c>
      <c r="B158" t="str">
        <f>'Circuit Civil'!A73</f>
        <v>Circuit Civil</v>
      </c>
      <c r="C158" t="str">
        <f>'Circuit Civil'!C73</f>
        <v>CGE CQ4-16</v>
      </c>
      <c r="D158" s="46" t="str">
        <f>'Circuit Civil'!D73</f>
        <v>Assessments dropped by more than set percentage of: 15%</v>
      </c>
      <c r="E158" t="str">
        <f>'Circuit Civil'!E73</f>
        <v>NO</v>
      </c>
    </row>
    <row r="159" spans="1:5" x14ac:dyDescent="0.25">
      <c r="A159" s="46">
        <f>IF(E159="YES",MAX(A$2:A158)+1,0)</f>
        <v>12</v>
      </c>
      <c r="B159" t="str">
        <f>'Circuit Civil'!A74</f>
        <v>Circuit Civil</v>
      </c>
      <c r="C159" t="str">
        <f>'Circuit Civil'!C74</f>
        <v>CGE CQ4-16</v>
      </c>
      <c r="D159" s="46" t="str">
        <f>'Circuit Civil'!D74</f>
        <v>Collections amount decreased from prior quarter</v>
      </c>
      <c r="E159" t="str">
        <f>'Circuit Civil'!E74</f>
        <v>YES</v>
      </c>
    </row>
    <row r="160" spans="1:5" x14ac:dyDescent="0.25">
      <c r="A160" s="46">
        <f>IF(E160="YES",MAX(A$2:A159)+1,0)</f>
        <v>0</v>
      </c>
      <c r="B160" t="str">
        <f>'Circuit Civil'!A75</f>
        <v>Circuit Civil</v>
      </c>
      <c r="C160" t="str">
        <f>'Circuit Civil'!C75</f>
        <v>CGE CQ4-16</v>
      </c>
      <c r="D160" s="46" t="str">
        <f>'Circuit Civil'!D75</f>
        <v>Assessment amount increased from prior quarter</v>
      </c>
      <c r="E160" t="str">
        <f>'Circuit Civil'!E75</f>
        <v>NO</v>
      </c>
    </row>
    <row r="161" spans="1:5" ht="39.6" x14ac:dyDescent="0.25">
      <c r="A161" s="46">
        <f>IF(E161="YES",MAX(A$2:A160)+1,0)</f>
        <v>0</v>
      </c>
      <c r="B161" t="str">
        <f>'Circuit Civil'!A76</f>
        <v>Circuit Civil</v>
      </c>
      <c r="C161" t="str">
        <f>'Circuit Civil'!C76</f>
        <v>CGE CQ4-16</v>
      </c>
      <c r="D161" s="46" t="str">
        <f>'Circuit Civil'!D76</f>
        <v>The 5th Quarter Collection Rate did not meet the established performance measure standard of: 90%</v>
      </c>
      <c r="E161" t="str">
        <f>'Circuit Civil'!E76</f>
        <v>NO</v>
      </c>
    </row>
    <row r="162" spans="1:5" ht="26.4" x14ac:dyDescent="0.25">
      <c r="A162" s="46">
        <f>IF(E162="YES",MAX(A$2:A161)+1,0)</f>
        <v>0</v>
      </c>
      <c r="B162" t="str">
        <f>'County Civil'!A72</f>
        <v>County Civil</v>
      </c>
      <c r="C162" t="str">
        <f>'County Civil'!C72</f>
        <v>CGE CQ4-16</v>
      </c>
      <c r="D162" s="46" t="str">
        <f>'County Civil'!D72</f>
        <v>After 3rd Q, Collections went up by more than set percentage of: 500%</v>
      </c>
      <c r="E162" t="str">
        <f>'County Civil'!E72</f>
        <v>NO</v>
      </c>
    </row>
    <row r="163" spans="1:5" ht="26.4" x14ac:dyDescent="0.25">
      <c r="A163" s="46">
        <f>IF(E163="YES",MAX(A$2:A162)+1,0)</f>
        <v>0</v>
      </c>
      <c r="B163" t="str">
        <f>'County Civil'!A73</f>
        <v>County Civil</v>
      </c>
      <c r="C163" t="str">
        <f>'County Civil'!C73</f>
        <v>CGE CQ4-16</v>
      </c>
      <c r="D163" s="46" t="str">
        <f>'County Civil'!D73</f>
        <v>Assessments dropped by more than set percentage of: 15%</v>
      </c>
      <c r="E163" t="str">
        <f>'County Civil'!E73</f>
        <v>NO</v>
      </c>
    </row>
    <row r="164" spans="1:5" x14ac:dyDescent="0.25">
      <c r="A164" s="46">
        <f>IF(E164="YES",MAX(A$2:A163)+1,0)</f>
        <v>0</v>
      </c>
      <c r="B164" t="str">
        <f>'County Civil'!A74</f>
        <v>County Civil</v>
      </c>
      <c r="C164" t="str">
        <f>'County Civil'!C74</f>
        <v>CGE CQ4-16</v>
      </c>
      <c r="D164" s="46" t="str">
        <f>'County Civil'!D74</f>
        <v>Collections amount decreased from prior quarter</v>
      </c>
      <c r="E164" t="str">
        <f>'County Civil'!E74</f>
        <v>NO</v>
      </c>
    </row>
    <row r="165" spans="1:5" x14ac:dyDescent="0.25">
      <c r="A165" s="46">
        <f>IF(E165="YES",MAX(A$2:A164)+1,0)</f>
        <v>0</v>
      </c>
      <c r="B165" t="str">
        <f>'County Civil'!A75</f>
        <v>County Civil</v>
      </c>
      <c r="C165" t="str">
        <f>'County Civil'!C75</f>
        <v>CGE CQ4-16</v>
      </c>
      <c r="D165" s="46" t="str">
        <f>'County Civil'!D75</f>
        <v>Assessment amount increased from prior quarter</v>
      </c>
      <c r="E165" t="str">
        <f>'County Civil'!E75</f>
        <v>NO</v>
      </c>
    </row>
    <row r="166" spans="1:5" ht="39.6" x14ac:dyDescent="0.25">
      <c r="A166" s="46">
        <f>IF(E166="YES",MAX(A$2:A165)+1,0)</f>
        <v>0</v>
      </c>
      <c r="B166" t="str">
        <f>'County Civil'!A76</f>
        <v>County Civil</v>
      </c>
      <c r="C166" t="str">
        <f>'County Civil'!C76</f>
        <v>CGE CQ4-16</v>
      </c>
      <c r="D166" s="46" t="str">
        <f>'County Civil'!D76</f>
        <v>The 5th Quarter Collection Rate did not meet the established performance measure standard of: 90%</v>
      </c>
      <c r="E166" t="str">
        <f>'County Civil'!E76</f>
        <v>NO</v>
      </c>
    </row>
    <row r="167" spans="1:5" ht="26.4" x14ac:dyDescent="0.25">
      <c r="A167" s="46">
        <f>IF(E167="YES",MAX(A$2:A166)+1,0)</f>
        <v>0</v>
      </c>
      <c r="B167" t="str">
        <f>'Civil Traffic'!A72</f>
        <v>Civil Traffic</v>
      </c>
      <c r="C167" t="str">
        <f>'Civil Traffic'!C72</f>
        <v>CGE CQ4-16</v>
      </c>
      <c r="D167" s="46" t="str">
        <f>'Civil Traffic'!D72</f>
        <v>After 3rd Q, Collections went up by more than set percentage of: 500%</v>
      </c>
      <c r="E167" t="str">
        <f>'Civil Traffic'!E72</f>
        <v>NO</v>
      </c>
    </row>
    <row r="168" spans="1:5" ht="26.4" x14ac:dyDescent="0.25">
      <c r="A168" s="46">
        <f>IF(E168="YES",MAX(A$2:A167)+1,0)</f>
        <v>0</v>
      </c>
      <c r="B168" t="str">
        <f>'Civil Traffic'!A73</f>
        <v>Civil Traffic</v>
      </c>
      <c r="C168" t="str">
        <f>'Civil Traffic'!C73</f>
        <v>CGE CQ4-16</v>
      </c>
      <c r="D168" s="46" t="str">
        <f>'Civil Traffic'!D73</f>
        <v>Assessments dropped by more than set percentage of: 15%</v>
      </c>
      <c r="E168" t="str">
        <f>'Civil Traffic'!E73</f>
        <v>NO</v>
      </c>
    </row>
    <row r="169" spans="1:5" x14ac:dyDescent="0.25">
      <c r="A169" s="46">
        <f>IF(E169="YES",MAX(A$2:A168)+1,0)</f>
        <v>0</v>
      </c>
      <c r="B169" t="str">
        <f>'Civil Traffic'!A74</f>
        <v>Civil Traffic</v>
      </c>
      <c r="C169" t="str">
        <f>'Civil Traffic'!C74</f>
        <v>CGE CQ4-16</v>
      </c>
      <c r="D169" s="46" t="str">
        <f>'Civil Traffic'!D74</f>
        <v>Collections amount decreased from prior quarter</v>
      </c>
      <c r="E169" t="str">
        <f>'Civil Traffic'!E74</f>
        <v>NO</v>
      </c>
    </row>
    <row r="170" spans="1:5" x14ac:dyDescent="0.25">
      <c r="A170" s="46">
        <f>IF(E170="YES",MAX(A$2:A169)+1,0)</f>
        <v>0</v>
      </c>
      <c r="B170" t="str">
        <f>'Civil Traffic'!A75</f>
        <v>Civil Traffic</v>
      </c>
      <c r="C170" t="str">
        <f>'Civil Traffic'!C75</f>
        <v>CGE CQ4-16</v>
      </c>
      <c r="D170" s="46" t="str">
        <f>'Civil Traffic'!D75</f>
        <v>Assessment amount increased from prior quarter</v>
      </c>
      <c r="E170" t="str">
        <f>'Civil Traffic'!E75</f>
        <v>NO</v>
      </c>
    </row>
    <row r="171" spans="1:5" ht="39.6" x14ac:dyDescent="0.25">
      <c r="A171" s="46">
        <f>IF(E171="YES",MAX(A$2:A170)+1,0)</f>
        <v>0</v>
      </c>
      <c r="B171" t="str">
        <f>'Civil Traffic'!A76</f>
        <v>Civil Traffic</v>
      </c>
      <c r="C171" t="str">
        <f>'Civil Traffic'!C76</f>
        <v>CGE CQ4-16</v>
      </c>
      <c r="D171" s="46" t="str">
        <f>'Civil Traffic'!D76</f>
        <v>The 5th Quarter Collection Rate did not meet the established performance measure standard of: 90%</v>
      </c>
      <c r="E171" t="str">
        <f>'Civil Traffic'!E76</f>
        <v>NO</v>
      </c>
    </row>
    <row r="172" spans="1:5" ht="26.4" x14ac:dyDescent="0.25">
      <c r="A172" s="46">
        <f>IF(E172="YES",MAX(A$2:A171)+1,0)</f>
        <v>0</v>
      </c>
      <c r="B172" t="str">
        <f>Probate!A77</f>
        <v>Probate</v>
      </c>
      <c r="C172" t="str">
        <f>Probate!C77</f>
        <v>CGE CQ4-16</v>
      </c>
      <c r="D172" s="46" t="str">
        <f>Probate!D77</f>
        <v>After 3rd Q, Collections went up by more than set percentage of: 500%</v>
      </c>
      <c r="E172" t="str">
        <f>Probate!E77</f>
        <v>NO</v>
      </c>
    </row>
    <row r="173" spans="1:5" ht="26.4" x14ac:dyDescent="0.25">
      <c r="A173" s="46">
        <f>IF(E173="YES",MAX(A$2:A172)+1,0)</f>
        <v>0</v>
      </c>
      <c r="B173" t="str">
        <f>Probate!A78</f>
        <v>Probate</v>
      </c>
      <c r="C173" t="str">
        <f>Probate!C78</f>
        <v>CGE CQ4-16</v>
      </c>
      <c r="D173" s="46" t="str">
        <f>Probate!D78</f>
        <v>Assessments dropped by more than set percentage of: 15%</v>
      </c>
      <c r="E173" t="str">
        <f>Probate!E78</f>
        <v>NO</v>
      </c>
    </row>
    <row r="174" spans="1:5" x14ac:dyDescent="0.25">
      <c r="A174" s="46">
        <f>IF(E174="YES",MAX(A$2:A173)+1,0)</f>
        <v>0</v>
      </c>
      <c r="B174" t="str">
        <f>Probate!A79</f>
        <v>Probate</v>
      </c>
      <c r="C174" t="str">
        <f>Probate!C79</f>
        <v>CGE CQ4-16</v>
      </c>
      <c r="D174" s="46" t="str">
        <f>Probate!D79</f>
        <v>Collections amount decreased from prior quarter</v>
      </c>
      <c r="E174" t="str">
        <f>Probate!E79</f>
        <v>NO</v>
      </c>
    </row>
    <row r="175" spans="1:5" x14ac:dyDescent="0.25">
      <c r="A175" s="46">
        <f>IF(E175="YES",MAX(A$2:A174)+1,0)</f>
        <v>13</v>
      </c>
      <c r="B175" t="str">
        <f>Probate!A80</f>
        <v>Probate</v>
      </c>
      <c r="C175" t="str">
        <f>Probate!C80</f>
        <v>CGE CQ4-16</v>
      </c>
      <c r="D175" s="46" t="str">
        <f>Probate!D80</f>
        <v>Assessment amount increased from prior quarter</v>
      </c>
      <c r="E175" t="str">
        <f>Probate!E80</f>
        <v>YES</v>
      </c>
    </row>
    <row r="176" spans="1:5" ht="39.6" x14ac:dyDescent="0.25">
      <c r="A176" s="46">
        <f>IF(E176="YES",MAX(A$2:A175)+1,0)</f>
        <v>0</v>
      </c>
      <c r="B176" t="str">
        <f>Probate!A81</f>
        <v>Probate</v>
      </c>
      <c r="C176" t="str">
        <f>Probate!C81</f>
        <v>CGE CQ4-16</v>
      </c>
      <c r="D176" s="46" t="str">
        <f>Probate!D81</f>
        <v>The 5th Quarter Collection Rate did not meet the established performance measure standard of: 90%</v>
      </c>
      <c r="E176" t="str">
        <f>Probate!E81</f>
        <v>NO</v>
      </c>
    </row>
    <row r="177" spans="1:5" ht="26.4" x14ac:dyDescent="0.25">
      <c r="A177" s="46">
        <f>IF(E177="YES",MAX(A$2:A176)+1,0)</f>
        <v>0</v>
      </c>
      <c r="B177" t="str">
        <f>Family!A72</f>
        <v>Family</v>
      </c>
      <c r="C177" t="str">
        <f>Family!C72</f>
        <v>CGE CQ4-16</v>
      </c>
      <c r="D177" s="46" t="str">
        <f>Family!D72</f>
        <v>After 3rd Q, Collections went up by more than set percentage of: 500%</v>
      </c>
      <c r="E177" t="str">
        <f>Family!E72</f>
        <v>NO</v>
      </c>
    </row>
    <row r="178" spans="1:5" ht="26.4" x14ac:dyDescent="0.25">
      <c r="A178" s="46">
        <f>IF(E178="YES",MAX(A$2:A177)+1,0)</f>
        <v>0</v>
      </c>
      <c r="B178" t="str">
        <f>Family!A73</f>
        <v>Family</v>
      </c>
      <c r="C178" t="str">
        <f>Family!C73</f>
        <v>CGE CQ4-16</v>
      </c>
      <c r="D178" s="46" t="str">
        <f>Family!D73</f>
        <v>Assessments dropped by more than set percentage of: 15%</v>
      </c>
      <c r="E178" t="str">
        <f>Family!E73</f>
        <v>NO</v>
      </c>
    </row>
    <row r="179" spans="1:5" x14ac:dyDescent="0.25">
      <c r="A179" s="46">
        <f>IF(E179="YES",MAX(A$2:A178)+1,0)</f>
        <v>0</v>
      </c>
      <c r="B179" t="str">
        <f>Family!A74</f>
        <v>Family</v>
      </c>
      <c r="C179" t="str">
        <f>Family!C74</f>
        <v>CGE CQ4-16</v>
      </c>
      <c r="D179" s="46" t="str">
        <f>Family!D74</f>
        <v>Collections amount decreased from prior quarter</v>
      </c>
      <c r="E179" t="str">
        <f>Family!E74</f>
        <v>NO</v>
      </c>
    </row>
    <row r="180" spans="1:5" x14ac:dyDescent="0.25">
      <c r="A180" s="46">
        <f>IF(E180="YES",MAX(A$2:A179)+1,0)</f>
        <v>0</v>
      </c>
      <c r="B180" t="str">
        <f>Family!A75</f>
        <v>Family</v>
      </c>
      <c r="C180" t="str">
        <f>Family!C75</f>
        <v>CGE CQ4-16</v>
      </c>
      <c r="D180" s="46" t="str">
        <f>Family!D75</f>
        <v>Assessment amount increased from prior quarter</v>
      </c>
      <c r="E180" t="str">
        <f>Family!E75</f>
        <v>NO</v>
      </c>
    </row>
    <row r="181" spans="1:5" ht="39.6" x14ac:dyDescent="0.25">
      <c r="A181" s="46">
        <f>IF(E181="YES",MAX(A$2:A180)+1,0)</f>
        <v>0</v>
      </c>
      <c r="B181" t="str">
        <f>Family!A76</f>
        <v>Family</v>
      </c>
      <c r="C181" t="str">
        <f>Family!C76</f>
        <v>CGE CQ4-16</v>
      </c>
      <c r="D181" s="46" t="str">
        <f>Family!D76</f>
        <v>The 5th Quarter Collection Rate did not meet the established performance measure standard of: 75%</v>
      </c>
      <c r="E181" t="str">
        <f>Family!E76</f>
        <v>NO</v>
      </c>
    </row>
    <row r="182" spans="1:5" ht="26.4" x14ac:dyDescent="0.25">
      <c r="A182" s="46">
        <f>IF(E182="YES",MAX(A$2:A181)+1,0)</f>
        <v>0</v>
      </c>
      <c r="B182" s="46" t="str">
        <f>'Circuit Criminal'!A72</f>
        <v>Circuit Criminal</v>
      </c>
      <c r="C182" s="46" t="str">
        <f>'Circuit Criminal'!C72</f>
        <v>CGE CQ1-17</v>
      </c>
      <c r="D182" s="46" t="str">
        <f>'Circuit Criminal'!D72</f>
        <v>After 3rd Q, Collections went up by more than set percentage of: 500%</v>
      </c>
      <c r="E182" s="46" t="str">
        <f>'Circuit Criminal'!E72</f>
        <v>NO</v>
      </c>
    </row>
    <row r="183" spans="1:5" ht="26.4" x14ac:dyDescent="0.25">
      <c r="A183" s="46">
        <f>IF(E183="YES",MAX(A$2:A182)+1,0)</f>
        <v>0</v>
      </c>
      <c r="B183" s="46" t="str">
        <f>'Circuit Criminal'!A73</f>
        <v>Circuit Criminal</v>
      </c>
      <c r="C183" s="46" t="str">
        <f>'Circuit Criminal'!C73</f>
        <v>CGE CQ1-17</v>
      </c>
      <c r="D183" s="46" t="str">
        <f>'Circuit Criminal'!D73</f>
        <v>Assessments dropped by more than set percentage of: 15%</v>
      </c>
      <c r="E183" s="46" t="str">
        <f>'Circuit Criminal'!E73</f>
        <v>NO</v>
      </c>
    </row>
    <row r="184" spans="1:5" x14ac:dyDescent="0.25">
      <c r="A184" s="46">
        <f>IF(E184="YES",MAX(A$2:A183)+1,0)</f>
        <v>0</v>
      </c>
      <c r="B184" s="46" t="str">
        <f>'Circuit Criminal'!A74</f>
        <v>Circuit Criminal</v>
      </c>
      <c r="C184" s="46" t="str">
        <f>'Circuit Criminal'!C74</f>
        <v>CGE CQ1-17</v>
      </c>
      <c r="D184" s="46" t="str">
        <f>'Circuit Criminal'!D74</f>
        <v>Collections amount decreased from prior quarter</v>
      </c>
      <c r="E184" s="46" t="str">
        <f>'Circuit Criminal'!E74</f>
        <v>NO</v>
      </c>
    </row>
    <row r="185" spans="1:5" x14ac:dyDescent="0.25">
      <c r="A185" s="46">
        <f>IF(E185="YES",MAX(A$2:A184)+1,0)</f>
        <v>0</v>
      </c>
      <c r="B185" s="46" t="str">
        <f>'Circuit Criminal'!A75</f>
        <v>Circuit Criminal</v>
      </c>
      <c r="C185" s="46" t="str">
        <f>'Circuit Criminal'!C75</f>
        <v>CGE CQ1-17</v>
      </c>
      <c r="D185" s="46" t="str">
        <f>'Circuit Criminal'!D75</f>
        <v>Assessment amount increased from prior quarter</v>
      </c>
      <c r="E185" s="46" t="str">
        <f>'Circuit Criminal'!E75</f>
        <v>NO</v>
      </c>
    </row>
    <row r="186" spans="1:5" ht="26.4" x14ac:dyDescent="0.25">
      <c r="A186" s="46">
        <f>IF(E186="YES",MAX(A$2:A185)+1,0)</f>
        <v>0</v>
      </c>
      <c r="B186" t="str">
        <f>'County Criminal'!A77</f>
        <v>County Criminal</v>
      </c>
      <c r="C186" t="str">
        <f>'County Criminal'!C77</f>
        <v>CGE CQ1-17</v>
      </c>
      <c r="D186" s="46" t="str">
        <f>'County Criminal'!D77</f>
        <v>After 3rd Q, Collections went up by more than set percentage of: 500%</v>
      </c>
      <c r="E186" t="str">
        <f>'County Criminal'!E77</f>
        <v>NO</v>
      </c>
    </row>
    <row r="187" spans="1:5" ht="26.4" x14ac:dyDescent="0.25">
      <c r="A187" s="46">
        <f>IF(E187="YES",MAX(A$2:A186)+1,0)</f>
        <v>0</v>
      </c>
      <c r="B187" t="str">
        <f>'County Criminal'!A78</f>
        <v>County Criminal</v>
      </c>
      <c r="C187" t="str">
        <f>'County Criminal'!C78</f>
        <v>CGE CQ1-17</v>
      </c>
      <c r="D187" s="46" t="str">
        <f>'County Criminal'!D78</f>
        <v>Assessments dropped by more than set percentage of: 15%</v>
      </c>
      <c r="E187" t="str">
        <f>'County Criminal'!E78</f>
        <v>NO</v>
      </c>
    </row>
    <row r="188" spans="1:5" x14ac:dyDescent="0.25">
      <c r="A188" s="46">
        <f>IF(E188="YES",MAX(A$2:A187)+1,0)</f>
        <v>0</v>
      </c>
      <c r="B188" t="str">
        <f>'County Criminal'!A79</f>
        <v>County Criminal</v>
      </c>
      <c r="C188" t="str">
        <f>'County Criminal'!C79</f>
        <v>CGE CQ1-17</v>
      </c>
      <c r="D188" s="46" t="str">
        <f>'County Criminal'!D79</f>
        <v>Collections amount decreased from prior quarter</v>
      </c>
      <c r="E188" t="str">
        <f>'County Criminal'!E79</f>
        <v>NO</v>
      </c>
    </row>
    <row r="189" spans="1:5" x14ac:dyDescent="0.25">
      <c r="A189" s="46">
        <f>IF(E189="YES",MAX(A$2:A188)+1,0)</f>
        <v>0</v>
      </c>
      <c r="B189" t="str">
        <f>'County Criminal'!A80</f>
        <v>County Criminal</v>
      </c>
      <c r="C189" t="str">
        <f>'County Criminal'!C80</f>
        <v>CGE CQ1-17</v>
      </c>
      <c r="D189" s="46" t="str">
        <f>'County Criminal'!D80</f>
        <v>Assessment amount increased from prior quarter</v>
      </c>
      <c r="E189" t="str">
        <f>'County Criminal'!E80</f>
        <v>NO</v>
      </c>
    </row>
    <row r="190" spans="1:5" ht="26.4" x14ac:dyDescent="0.25">
      <c r="A190" s="46">
        <f>IF(E190="YES",MAX(A$2:A189)+1,0)</f>
        <v>0</v>
      </c>
      <c r="B190" t="str">
        <f>'Juvenile Delinquency'!A77</f>
        <v>Juvenile Delinquency</v>
      </c>
      <c r="C190" t="str">
        <f>'Juvenile Delinquency'!C77</f>
        <v>CGE CQ1-17</v>
      </c>
      <c r="D190" s="46" t="str">
        <f>'Juvenile Delinquency'!D77</f>
        <v>After 3rd Q, Collections went up by more than set percentage of: 500%</v>
      </c>
      <c r="E190" t="str">
        <f>'Juvenile Delinquency'!E77</f>
        <v>NO</v>
      </c>
    </row>
    <row r="191" spans="1:5" ht="26.4" x14ac:dyDescent="0.25">
      <c r="A191" s="46">
        <f>IF(E191="YES",MAX(A$2:A190)+1,0)</f>
        <v>0</v>
      </c>
      <c r="B191" t="str">
        <f>'Juvenile Delinquency'!A78</f>
        <v>Juvenile Delinquency</v>
      </c>
      <c r="C191" t="str">
        <f>'Juvenile Delinquency'!C78</f>
        <v>CGE CQ1-17</v>
      </c>
      <c r="D191" s="46" t="str">
        <f>'Juvenile Delinquency'!D78</f>
        <v>Assessments dropped by more than set percentage of: 15%</v>
      </c>
      <c r="E191" t="str">
        <f>'Juvenile Delinquency'!E78</f>
        <v>NO</v>
      </c>
    </row>
    <row r="192" spans="1:5" x14ac:dyDescent="0.25">
      <c r="A192" s="46">
        <f>IF(E192="YES",MAX(A$2:A191)+1,0)</f>
        <v>0</v>
      </c>
      <c r="B192" t="str">
        <f>'Juvenile Delinquency'!A79</f>
        <v>Juvenile Delinquency</v>
      </c>
      <c r="C192" t="str">
        <f>'Juvenile Delinquency'!C79</f>
        <v>CGE CQ1-17</v>
      </c>
      <c r="D192" s="46" t="str">
        <f>'Juvenile Delinquency'!D79</f>
        <v>Collections amount decreased from prior quarter</v>
      </c>
      <c r="E192" t="str">
        <f>'Juvenile Delinquency'!E79</f>
        <v>NO</v>
      </c>
    </row>
    <row r="193" spans="1:5" x14ac:dyDescent="0.25">
      <c r="A193" s="46">
        <f>IF(E193="YES",MAX(A$2:A192)+1,0)</f>
        <v>0</v>
      </c>
      <c r="B193" t="str">
        <f>'Juvenile Delinquency'!A80</f>
        <v>Juvenile Delinquency</v>
      </c>
      <c r="C193" t="str">
        <f>'Juvenile Delinquency'!C80</f>
        <v>CGE CQ1-17</v>
      </c>
      <c r="D193" s="46" t="str">
        <f>'Juvenile Delinquency'!D80</f>
        <v>Assessment amount increased from prior quarter</v>
      </c>
      <c r="E193" t="str">
        <f>'Juvenile Delinquency'!E80</f>
        <v>NO</v>
      </c>
    </row>
    <row r="194" spans="1:5" ht="26.4" x14ac:dyDescent="0.25">
      <c r="A194" s="46">
        <f>IF(E194="YES",MAX(A$2:A193)+1,0)</f>
        <v>0</v>
      </c>
      <c r="B194" t="str">
        <f>'Criminal Traffic'!A77</f>
        <v>Criminal Traffic</v>
      </c>
      <c r="C194" t="str">
        <f>'Criminal Traffic'!C77</f>
        <v>CGE CQ1-17</v>
      </c>
      <c r="D194" s="46" t="str">
        <f>'Criminal Traffic'!D77</f>
        <v>After 3rd Q, Collections went up by more than set percentage of: 500%</v>
      </c>
      <c r="E194" t="str">
        <f>'Criminal Traffic'!E77</f>
        <v>NO</v>
      </c>
    </row>
    <row r="195" spans="1:5" ht="26.4" x14ac:dyDescent="0.25">
      <c r="A195" s="46">
        <f>IF(E195="YES",MAX(A$2:A194)+1,0)</f>
        <v>0</v>
      </c>
      <c r="B195" t="str">
        <f>'Criminal Traffic'!A78</f>
        <v>Criminal Traffic</v>
      </c>
      <c r="C195" t="str">
        <f>'Criminal Traffic'!C78</f>
        <v>CGE CQ1-17</v>
      </c>
      <c r="D195" s="46" t="str">
        <f>'Criminal Traffic'!D78</f>
        <v>Assessments dropped by more than set percentage of: 15%</v>
      </c>
      <c r="E195" t="str">
        <f>'Criminal Traffic'!E78</f>
        <v>NO</v>
      </c>
    </row>
    <row r="196" spans="1:5" x14ac:dyDescent="0.25">
      <c r="A196" s="46">
        <f>IF(E196="YES",MAX(A$2:A195)+1,0)</f>
        <v>0</v>
      </c>
      <c r="B196" t="str">
        <f>'Criminal Traffic'!A79</f>
        <v>Criminal Traffic</v>
      </c>
      <c r="C196" t="str">
        <f>'Criminal Traffic'!C79</f>
        <v>CGE CQ1-17</v>
      </c>
      <c r="D196" s="46" t="str">
        <f>'Criminal Traffic'!D79</f>
        <v>Collections amount decreased from prior quarter</v>
      </c>
      <c r="E196" t="str">
        <f>'Criminal Traffic'!E79</f>
        <v>NO</v>
      </c>
    </row>
    <row r="197" spans="1:5" x14ac:dyDescent="0.25">
      <c r="A197" s="46">
        <f>IF(E197="YES",MAX(A$2:A196)+1,0)</f>
        <v>0</v>
      </c>
      <c r="B197" t="str">
        <f>'Criminal Traffic'!A80</f>
        <v>Criminal Traffic</v>
      </c>
      <c r="C197" t="str">
        <f>'Criminal Traffic'!C80</f>
        <v>CGE CQ1-17</v>
      </c>
      <c r="D197" s="46" t="str">
        <f>'Criminal Traffic'!D80</f>
        <v>Assessment amount increased from prior quarter</v>
      </c>
      <c r="E197" t="str">
        <f>'Criminal Traffic'!E80</f>
        <v>NO</v>
      </c>
    </row>
    <row r="198" spans="1:5" ht="26.4" x14ac:dyDescent="0.25">
      <c r="A198" s="46">
        <f>IF(E198="YES",MAX(A$2:A197)+1,0)</f>
        <v>0</v>
      </c>
      <c r="B198" t="str">
        <f>'Circuit Civil'!A77</f>
        <v>Circuit Civil</v>
      </c>
      <c r="C198" t="str">
        <f>'Circuit Civil'!C77</f>
        <v>CGE CQ1-17</v>
      </c>
      <c r="D198" s="46" t="str">
        <f>'Circuit Civil'!D77</f>
        <v>After 3rd Q, Collections went up by more than set percentage of: 500%</v>
      </c>
      <c r="E198" t="str">
        <f>'Circuit Civil'!E77</f>
        <v>NO</v>
      </c>
    </row>
    <row r="199" spans="1:5" ht="26.4" x14ac:dyDescent="0.25">
      <c r="A199" s="46">
        <f>IF(E199="YES",MAX(A$2:A198)+1,0)</f>
        <v>0</v>
      </c>
      <c r="B199" t="str">
        <f>'Circuit Civil'!A78</f>
        <v>Circuit Civil</v>
      </c>
      <c r="C199" t="str">
        <f>'Circuit Civil'!C78</f>
        <v>CGE CQ1-17</v>
      </c>
      <c r="D199" s="46" t="str">
        <f>'Circuit Civil'!D78</f>
        <v>Assessments dropped by more than set percentage of: 15%</v>
      </c>
      <c r="E199" t="str">
        <f>'Circuit Civil'!E78</f>
        <v>NO</v>
      </c>
    </row>
    <row r="200" spans="1:5" x14ac:dyDescent="0.25">
      <c r="A200" s="46">
        <f>IF(E200="YES",MAX(A$2:A199)+1,0)</f>
        <v>0</v>
      </c>
      <c r="B200" t="str">
        <f>'Circuit Civil'!A79</f>
        <v>Circuit Civil</v>
      </c>
      <c r="C200" t="str">
        <f>'Circuit Civil'!C79</f>
        <v>CGE CQ1-17</v>
      </c>
      <c r="D200" s="46" t="str">
        <f>'Circuit Civil'!D79</f>
        <v>Collections amount decreased from prior quarter</v>
      </c>
      <c r="E200" t="str">
        <f>'Circuit Civil'!E79</f>
        <v>NO</v>
      </c>
    </row>
    <row r="201" spans="1:5" x14ac:dyDescent="0.25">
      <c r="A201" s="46">
        <f>IF(E201="YES",MAX(A$2:A200)+1,0)</f>
        <v>0</v>
      </c>
      <c r="B201" t="str">
        <f>'Circuit Civil'!A80</f>
        <v>Circuit Civil</v>
      </c>
      <c r="C201" t="str">
        <f>'Circuit Civil'!C80</f>
        <v>CGE CQ1-17</v>
      </c>
      <c r="D201" s="46" t="str">
        <f>'Circuit Civil'!D80</f>
        <v>Assessment amount increased from prior quarter</v>
      </c>
      <c r="E201" t="str">
        <f>'Circuit Civil'!E80</f>
        <v>NO</v>
      </c>
    </row>
    <row r="202" spans="1:5" ht="26.4" x14ac:dyDescent="0.25">
      <c r="A202" s="46">
        <f>IF(E202="YES",MAX(A$2:A201)+1,0)</f>
        <v>0</v>
      </c>
      <c r="B202" t="str">
        <f>'County Civil'!A77</f>
        <v>County Civil</v>
      </c>
      <c r="C202" t="str">
        <f>'County Civil'!C77</f>
        <v>CGE CQ1-17</v>
      </c>
      <c r="D202" s="46" t="str">
        <f>'County Civil'!D77</f>
        <v>After 3rd Q, Collections went up by more than set percentage of: 500%</v>
      </c>
      <c r="E202" t="str">
        <f>'County Civil'!E77</f>
        <v>NO</v>
      </c>
    </row>
    <row r="203" spans="1:5" ht="26.4" x14ac:dyDescent="0.25">
      <c r="A203" s="46">
        <f>IF(E203="YES",MAX(A$2:A202)+1,0)</f>
        <v>0</v>
      </c>
      <c r="B203" t="str">
        <f>'County Civil'!A78</f>
        <v>County Civil</v>
      </c>
      <c r="C203" t="str">
        <f>'County Civil'!C78</f>
        <v>CGE CQ1-17</v>
      </c>
      <c r="D203" s="46" t="str">
        <f>'County Civil'!D78</f>
        <v>Assessments dropped by more than set percentage of: 15%</v>
      </c>
      <c r="E203" t="str">
        <f>'County Civil'!E78</f>
        <v>NO</v>
      </c>
    </row>
    <row r="204" spans="1:5" x14ac:dyDescent="0.25">
      <c r="A204" s="46">
        <f>IF(E204="YES",MAX(A$2:A203)+1,0)</f>
        <v>0</v>
      </c>
      <c r="B204" t="str">
        <f>'County Civil'!A79</f>
        <v>County Civil</v>
      </c>
      <c r="C204" t="str">
        <f>'County Civil'!C79</f>
        <v>CGE CQ1-17</v>
      </c>
      <c r="D204" s="46" t="str">
        <f>'County Civil'!D79</f>
        <v>Collections amount decreased from prior quarter</v>
      </c>
      <c r="E204" t="str">
        <f>'County Civil'!E79</f>
        <v>NO</v>
      </c>
    </row>
    <row r="205" spans="1:5" x14ac:dyDescent="0.25">
      <c r="A205" s="46">
        <f>IF(E205="YES",MAX(A$2:A204)+1,0)</f>
        <v>0</v>
      </c>
      <c r="B205" t="str">
        <f>'County Civil'!A80</f>
        <v>County Civil</v>
      </c>
      <c r="C205" t="str">
        <f>'County Civil'!C80</f>
        <v>CGE CQ1-17</v>
      </c>
      <c r="D205" s="46" t="str">
        <f>'County Civil'!D80</f>
        <v>Assessment amount increased from prior quarter</v>
      </c>
      <c r="E205" t="str">
        <f>'County Civil'!E80</f>
        <v>NO</v>
      </c>
    </row>
    <row r="206" spans="1:5" ht="26.4" x14ac:dyDescent="0.25">
      <c r="A206" s="46">
        <f>IF(E206="YES",MAX(A$2:A205)+1,0)</f>
        <v>0</v>
      </c>
      <c r="B206" t="str">
        <f>'Civil Traffic'!A77</f>
        <v>Civil Traffic</v>
      </c>
      <c r="C206" t="str">
        <f>'Civil Traffic'!C77</f>
        <v>CGE CQ1-17</v>
      </c>
      <c r="D206" s="46" t="str">
        <f>'Civil Traffic'!D77</f>
        <v>After 3rd Q, Collections went up by more than set percentage of: 500%</v>
      </c>
      <c r="E206" t="str">
        <f>'Civil Traffic'!E77</f>
        <v>NO</v>
      </c>
    </row>
    <row r="207" spans="1:5" ht="26.4" x14ac:dyDescent="0.25">
      <c r="A207" s="46">
        <f>IF(E207="YES",MAX(A$2:A206)+1,0)</f>
        <v>0</v>
      </c>
      <c r="B207" t="str">
        <f>'Civil Traffic'!A78</f>
        <v>Civil Traffic</v>
      </c>
      <c r="C207" t="str">
        <f>'Civil Traffic'!C78</f>
        <v>CGE CQ1-17</v>
      </c>
      <c r="D207" s="46" t="str">
        <f>'Civil Traffic'!D78</f>
        <v>Assessments dropped by more than set percentage of: 15%</v>
      </c>
      <c r="E207" t="str">
        <f>'Civil Traffic'!E78</f>
        <v>NO</v>
      </c>
    </row>
    <row r="208" spans="1:5" x14ac:dyDescent="0.25">
      <c r="A208" s="46">
        <f>IF(E208="YES",MAX(A$2:A207)+1,0)</f>
        <v>0</v>
      </c>
      <c r="B208" t="str">
        <f>'Civil Traffic'!A79</f>
        <v>Civil Traffic</v>
      </c>
      <c r="C208" t="str">
        <f>'Civil Traffic'!C79</f>
        <v>CGE CQ1-17</v>
      </c>
      <c r="D208" s="46" t="str">
        <f>'Civil Traffic'!D79</f>
        <v>Collections amount decreased from prior quarter</v>
      </c>
      <c r="E208" t="str">
        <f>'Civil Traffic'!E79</f>
        <v>NO</v>
      </c>
    </row>
    <row r="209" spans="1:5" x14ac:dyDescent="0.25">
      <c r="A209" s="46">
        <f>IF(E209="YES",MAX(A$2:A208)+1,0)</f>
        <v>0</v>
      </c>
      <c r="B209" t="str">
        <f>'Civil Traffic'!A80</f>
        <v>Civil Traffic</v>
      </c>
      <c r="C209" t="str">
        <f>'Civil Traffic'!C80</f>
        <v>CGE CQ1-17</v>
      </c>
      <c r="D209" s="46" t="str">
        <f>'Civil Traffic'!D80</f>
        <v>Assessment amount increased from prior quarter</v>
      </c>
      <c r="E209" t="str">
        <f>'Civil Traffic'!E80</f>
        <v>NO</v>
      </c>
    </row>
    <row r="210" spans="1:5" ht="26.4" x14ac:dyDescent="0.25">
      <c r="A210" s="46">
        <f>IF(E210="YES",MAX(A$2:A209)+1,0)</f>
        <v>0</v>
      </c>
      <c r="B210" t="str">
        <f>Probate!A82</f>
        <v>Probate</v>
      </c>
      <c r="C210" t="str">
        <f>Probate!C82</f>
        <v>CGE CQ1-17</v>
      </c>
      <c r="D210" s="46" t="str">
        <f>Probate!D82</f>
        <v>After 3rd Q, Collections went up by more than set percentage of: 500%</v>
      </c>
      <c r="E210" t="str">
        <f>Probate!E82</f>
        <v>NO</v>
      </c>
    </row>
    <row r="211" spans="1:5" ht="26.4" x14ac:dyDescent="0.25">
      <c r="A211" s="46">
        <f>IF(E211="YES",MAX(A$2:A210)+1,0)</f>
        <v>0</v>
      </c>
      <c r="B211" t="str">
        <f>Probate!A83</f>
        <v>Probate</v>
      </c>
      <c r="C211" t="str">
        <f>Probate!C83</f>
        <v>CGE CQ1-17</v>
      </c>
      <c r="D211" s="46" t="str">
        <f>Probate!D83</f>
        <v>Assessments dropped by more than set percentage of: 15%</v>
      </c>
      <c r="E211" t="str">
        <f>Probate!E83</f>
        <v>NO</v>
      </c>
    </row>
    <row r="212" spans="1:5" x14ac:dyDescent="0.25">
      <c r="A212" s="46">
        <f>IF(E212="YES",MAX(A$2:A211)+1,0)</f>
        <v>0</v>
      </c>
      <c r="B212" t="str">
        <f>Probate!A84</f>
        <v>Probate</v>
      </c>
      <c r="C212" t="str">
        <f>Probate!C84</f>
        <v>CGE CQ1-17</v>
      </c>
      <c r="D212" s="46" t="str">
        <f>Probate!D84</f>
        <v>Collections amount decreased from prior quarter</v>
      </c>
      <c r="E212" t="str">
        <f>Probate!E84</f>
        <v>NO</v>
      </c>
    </row>
    <row r="213" spans="1:5" x14ac:dyDescent="0.25">
      <c r="A213" s="46">
        <f>IF(E213="YES",MAX(A$2:A212)+1,0)</f>
        <v>14</v>
      </c>
      <c r="B213" t="str">
        <f>Probate!A85</f>
        <v>Probate</v>
      </c>
      <c r="C213" t="str">
        <f>Probate!C85</f>
        <v>CGE CQ1-17</v>
      </c>
      <c r="D213" s="46" t="str">
        <f>Probate!D85</f>
        <v>Assessment amount increased from prior quarter</v>
      </c>
      <c r="E213" t="str">
        <f>Probate!E85</f>
        <v>YES</v>
      </c>
    </row>
    <row r="214" spans="1:5" ht="26.4" x14ac:dyDescent="0.25">
      <c r="A214" s="46">
        <f>IF(E214="YES",MAX(A$2:A213)+1,0)</f>
        <v>0</v>
      </c>
      <c r="B214" t="str">
        <f>Family!A77</f>
        <v>Family</v>
      </c>
      <c r="C214" t="str">
        <f>Family!C77</f>
        <v>CGE CQ1-17</v>
      </c>
      <c r="D214" s="46" t="str">
        <f>Family!D77</f>
        <v>After 3rd Q, Collections went up by more than set percentage of: 500%</v>
      </c>
      <c r="E214" t="str">
        <f>Family!E77</f>
        <v>NO</v>
      </c>
    </row>
    <row r="215" spans="1:5" ht="26.4" x14ac:dyDescent="0.25">
      <c r="A215" s="46">
        <f>IF(E215="YES",MAX(A$2:A214)+1,0)</f>
        <v>0</v>
      </c>
      <c r="B215" t="str">
        <f>Family!A78</f>
        <v>Family</v>
      </c>
      <c r="C215" t="str">
        <f>Family!C78</f>
        <v>CGE CQ1-17</v>
      </c>
      <c r="D215" s="46" t="str">
        <f>Family!D78</f>
        <v>Assessments dropped by more than set percentage of: 15%</v>
      </c>
      <c r="E215" t="str">
        <f>Family!E78</f>
        <v>NO</v>
      </c>
    </row>
    <row r="216" spans="1:5" x14ac:dyDescent="0.25">
      <c r="A216" s="46">
        <f>IF(E216="YES",MAX(A$2:A215)+1,0)</f>
        <v>0</v>
      </c>
      <c r="B216" t="str">
        <f>Family!A79</f>
        <v>Family</v>
      </c>
      <c r="C216" t="str">
        <f>Family!C79</f>
        <v>CGE CQ1-17</v>
      </c>
      <c r="D216" s="46" t="str">
        <f>Family!D79</f>
        <v>Collections amount decreased from prior quarter</v>
      </c>
      <c r="E216" t="str">
        <f>Family!E79</f>
        <v>NO</v>
      </c>
    </row>
    <row r="217" spans="1:5" x14ac:dyDescent="0.25">
      <c r="A217" s="46">
        <f>IF(E217="YES",MAX(A$2:A216)+1,0)</f>
        <v>0</v>
      </c>
      <c r="B217" t="str">
        <f>Family!A80</f>
        <v>Family</v>
      </c>
      <c r="C217" t="str">
        <f>Family!C80</f>
        <v>CGE CQ1-17</v>
      </c>
      <c r="D217" s="46" t="str">
        <f>Family!D80</f>
        <v>Assessment amount increased from prior quarter</v>
      </c>
      <c r="E217" t="str">
        <f>Family!E80</f>
        <v>NO</v>
      </c>
    </row>
    <row r="218" spans="1:5" ht="26.4" x14ac:dyDescent="0.25">
      <c r="A218" s="46">
        <f>IF(E218="YES",MAX(A$2:A217)+1,0)</f>
        <v>0</v>
      </c>
      <c r="B218" s="46" t="str">
        <f>'Circuit Criminal'!A76</f>
        <v>Circuit Criminal</v>
      </c>
      <c r="C218" s="46" t="str">
        <f>'Circuit Criminal'!C76</f>
        <v>CGE CQ2-17</v>
      </c>
      <c r="D218" s="46" t="str">
        <f>'Circuit Criminal'!D76</f>
        <v>Assessments dropped by more than set percentage of: 15%</v>
      </c>
      <c r="E218" s="46" t="str">
        <f>'Circuit Criminal'!E76</f>
        <v>NO</v>
      </c>
    </row>
    <row r="219" spans="1:5" x14ac:dyDescent="0.25">
      <c r="A219" s="46">
        <f>IF(E219="YES",MAX(A$2:A218)+1,0)</f>
        <v>0</v>
      </c>
      <c r="B219" s="46" t="str">
        <f>'Circuit Criminal'!A77</f>
        <v>Circuit Criminal</v>
      </c>
      <c r="C219" s="46" t="str">
        <f>'Circuit Criminal'!C77</f>
        <v>CGE CQ2-17</v>
      </c>
      <c r="D219" s="46" t="str">
        <f>'Circuit Criminal'!D77</f>
        <v>Collections amount decreased from prior quarter</v>
      </c>
      <c r="E219" s="46" t="str">
        <f>'Circuit Criminal'!E77</f>
        <v>NO</v>
      </c>
    </row>
    <row r="220" spans="1:5" x14ac:dyDescent="0.25">
      <c r="A220" s="46">
        <f>IF(E220="YES",MAX(A$2:A219)+1,0)</f>
        <v>0</v>
      </c>
      <c r="B220" s="46" t="str">
        <f>'Circuit Criminal'!A78</f>
        <v>Circuit Criminal</v>
      </c>
      <c r="C220" s="46" t="str">
        <f>'Circuit Criminal'!C78</f>
        <v>CGE CQ2-17</v>
      </c>
      <c r="D220" s="46" t="str">
        <f>'Circuit Criminal'!D78</f>
        <v>Assessment amount increased from prior quarter</v>
      </c>
      <c r="E220" s="46" t="str">
        <f>'Circuit Criminal'!E78</f>
        <v>NO</v>
      </c>
    </row>
    <row r="221" spans="1:5" ht="26.4" x14ac:dyDescent="0.25">
      <c r="A221" s="46">
        <f>IF(E221="YES",MAX(A$2:A220)+1,0)</f>
        <v>0</v>
      </c>
      <c r="B221" t="str">
        <f>'County Criminal'!A81</f>
        <v>County Criminal</v>
      </c>
      <c r="C221" t="str">
        <f>'County Criminal'!C81</f>
        <v>CGE CQ2-17</v>
      </c>
      <c r="D221" s="46" t="str">
        <f>'County Criminal'!D81</f>
        <v>Assessments dropped by more than set percentage of: 15%</v>
      </c>
      <c r="E221" t="str">
        <f>'County Criminal'!E81</f>
        <v>NO</v>
      </c>
    </row>
    <row r="222" spans="1:5" x14ac:dyDescent="0.25">
      <c r="A222" s="46">
        <f>IF(E222="YES",MAX(A$2:A221)+1,0)</f>
        <v>0</v>
      </c>
      <c r="B222" t="str">
        <f>'County Criminal'!A82</f>
        <v>County Criminal</v>
      </c>
      <c r="C222" t="str">
        <f>'County Criminal'!C82</f>
        <v>CGE CQ2-17</v>
      </c>
      <c r="D222" s="46" t="str">
        <f>'County Criminal'!D82</f>
        <v>Collections amount decreased from prior quarter</v>
      </c>
      <c r="E222" t="str">
        <f>'County Criminal'!E82</f>
        <v>NO</v>
      </c>
    </row>
    <row r="223" spans="1:5" x14ac:dyDescent="0.25">
      <c r="A223" s="46">
        <f>IF(E223="YES",MAX(A$2:A222)+1,0)</f>
        <v>0</v>
      </c>
      <c r="B223" t="str">
        <f>'County Criminal'!A83</f>
        <v>County Criminal</v>
      </c>
      <c r="C223" t="str">
        <f>'County Criminal'!C83</f>
        <v>CGE CQ2-17</v>
      </c>
      <c r="D223" s="46" t="str">
        <f>'County Criminal'!D83</f>
        <v>Assessment amount increased from prior quarter</v>
      </c>
      <c r="E223" t="str">
        <f>'County Criminal'!E83</f>
        <v>NO</v>
      </c>
    </row>
    <row r="224" spans="1:5" ht="26.4" x14ac:dyDescent="0.25">
      <c r="A224" s="46">
        <f>IF(E224="YES",MAX(A$2:A223)+1,0)</f>
        <v>0</v>
      </c>
      <c r="B224" t="str">
        <f>'Juvenile Delinquency'!A81</f>
        <v>Juvenile Delinquency</v>
      </c>
      <c r="C224" t="str">
        <f>'Juvenile Delinquency'!C81</f>
        <v>CGE CQ2-17</v>
      </c>
      <c r="D224" s="46" t="str">
        <f>'Juvenile Delinquency'!D81</f>
        <v>Assessments dropped by more than set percentage of: 15%</v>
      </c>
      <c r="E224" t="str">
        <f>'Juvenile Delinquency'!E81</f>
        <v>NO</v>
      </c>
    </row>
    <row r="225" spans="1:5" x14ac:dyDescent="0.25">
      <c r="A225" s="46">
        <f>IF(E225="YES",MAX(A$2:A224)+1,0)</f>
        <v>0</v>
      </c>
      <c r="B225" t="str">
        <f>'Juvenile Delinquency'!A82</f>
        <v>Juvenile Delinquency</v>
      </c>
      <c r="C225" t="str">
        <f>'Juvenile Delinquency'!C82</f>
        <v>CGE CQ2-17</v>
      </c>
      <c r="D225" s="46" t="str">
        <f>'Juvenile Delinquency'!D82</f>
        <v>Collections amount decreased from prior quarter</v>
      </c>
      <c r="E225" t="str">
        <f>'Juvenile Delinquency'!E82</f>
        <v>NO</v>
      </c>
    </row>
    <row r="226" spans="1:5" x14ac:dyDescent="0.25">
      <c r="A226" s="46">
        <f>IF(E226="YES",MAX(A$2:A225)+1,0)</f>
        <v>0</v>
      </c>
      <c r="B226" t="str">
        <f>'Juvenile Delinquency'!A83</f>
        <v>Juvenile Delinquency</v>
      </c>
      <c r="C226" t="str">
        <f>'Juvenile Delinquency'!C83</f>
        <v>CGE CQ2-17</v>
      </c>
      <c r="D226" s="46" t="str">
        <f>'Juvenile Delinquency'!D83</f>
        <v>Assessment amount increased from prior quarter</v>
      </c>
      <c r="E226" t="str">
        <f>'Juvenile Delinquency'!E83</f>
        <v>NO</v>
      </c>
    </row>
    <row r="227" spans="1:5" ht="26.4" x14ac:dyDescent="0.25">
      <c r="A227" s="46">
        <f>IF(E227="YES",MAX(A$2:A226)+1,0)</f>
        <v>0</v>
      </c>
      <c r="B227" t="str">
        <f>'Criminal Traffic'!A81</f>
        <v>Criminal Traffic</v>
      </c>
      <c r="C227" t="str">
        <f>'Criminal Traffic'!C81</f>
        <v>CGE CQ2-17</v>
      </c>
      <c r="D227" s="46" t="str">
        <f>'Criminal Traffic'!D81</f>
        <v>Assessments dropped by more than set percentage of: 15%</v>
      </c>
      <c r="E227" t="str">
        <f>'Criminal Traffic'!E81</f>
        <v>NO</v>
      </c>
    </row>
    <row r="228" spans="1:5" x14ac:dyDescent="0.25">
      <c r="A228" s="46">
        <f>IF(E228="YES",MAX(A$2:A227)+1,0)</f>
        <v>0</v>
      </c>
      <c r="B228" t="str">
        <f>'Criminal Traffic'!A82</f>
        <v>Criminal Traffic</v>
      </c>
      <c r="C228" t="str">
        <f>'Criminal Traffic'!C82</f>
        <v>CGE CQ2-17</v>
      </c>
      <c r="D228" s="46" t="str">
        <f>'Criminal Traffic'!D82</f>
        <v>Collections amount decreased from prior quarter</v>
      </c>
      <c r="E228" t="str">
        <f>'Criminal Traffic'!E82</f>
        <v>NO</v>
      </c>
    </row>
    <row r="229" spans="1:5" x14ac:dyDescent="0.25">
      <c r="A229" s="46">
        <f>IF(E229="YES",MAX(A$2:A228)+1,0)</f>
        <v>0</v>
      </c>
      <c r="B229" t="str">
        <f>'Criminal Traffic'!A83</f>
        <v>Criminal Traffic</v>
      </c>
      <c r="C229" t="str">
        <f>'Criminal Traffic'!C83</f>
        <v>CGE CQ2-17</v>
      </c>
      <c r="D229" s="46" t="str">
        <f>'Criminal Traffic'!D83</f>
        <v>Assessment amount increased from prior quarter</v>
      </c>
      <c r="E229" t="str">
        <f>'Criminal Traffic'!E83</f>
        <v>NO</v>
      </c>
    </row>
    <row r="230" spans="1:5" ht="26.4" x14ac:dyDescent="0.25">
      <c r="A230" s="46">
        <f>IF(E230="YES",MAX(A$2:A229)+1,0)</f>
        <v>0</v>
      </c>
      <c r="B230" t="str">
        <f>'Circuit Civil'!A81</f>
        <v>Circuit Civil</v>
      </c>
      <c r="C230" t="str">
        <f>'Circuit Civil'!C81</f>
        <v>CGE CQ2-17</v>
      </c>
      <c r="D230" s="46" t="str">
        <f>'Circuit Civil'!D81</f>
        <v>Assessments dropped by more than set percentage of: 15%</v>
      </c>
      <c r="E230" t="str">
        <f>'Circuit Civil'!E81</f>
        <v>NO</v>
      </c>
    </row>
    <row r="231" spans="1:5" x14ac:dyDescent="0.25">
      <c r="A231" s="46">
        <f>IF(E231="YES",MAX(A$2:A230)+1,0)</f>
        <v>0</v>
      </c>
      <c r="B231" t="str">
        <f>'Circuit Civil'!A82</f>
        <v>Circuit Civil</v>
      </c>
      <c r="C231" t="str">
        <f>'Circuit Civil'!C82</f>
        <v>CGE CQ2-17</v>
      </c>
      <c r="D231" s="46" t="str">
        <f>'Circuit Civil'!D82</f>
        <v>Collections amount decreased from prior quarter</v>
      </c>
      <c r="E231" t="str">
        <f>'Circuit Civil'!E82</f>
        <v>NO</v>
      </c>
    </row>
    <row r="232" spans="1:5" x14ac:dyDescent="0.25">
      <c r="A232" s="46">
        <f>IF(E232="YES",MAX(A$2:A231)+1,0)</f>
        <v>0</v>
      </c>
      <c r="B232" t="str">
        <f>'Circuit Civil'!A83</f>
        <v>Circuit Civil</v>
      </c>
      <c r="C232" t="str">
        <f>'Circuit Civil'!C83</f>
        <v>CGE CQ2-17</v>
      </c>
      <c r="D232" s="46" t="str">
        <f>'Circuit Civil'!D83</f>
        <v>Assessment amount increased from prior quarter</v>
      </c>
      <c r="E232" t="str">
        <f>'Circuit Civil'!E83</f>
        <v>NO</v>
      </c>
    </row>
    <row r="233" spans="1:5" ht="26.4" x14ac:dyDescent="0.25">
      <c r="A233" s="46">
        <f>IF(E233="YES",MAX(A$2:A232)+1,0)</f>
        <v>0</v>
      </c>
      <c r="B233" t="str">
        <f>'County Civil'!A81</f>
        <v>County Civil</v>
      </c>
      <c r="C233" t="str">
        <f>'County Civil'!C81</f>
        <v>CGE CQ2-17</v>
      </c>
      <c r="D233" s="46" t="str">
        <f>'County Civil'!D81</f>
        <v>Assessments dropped by more than set percentage of: 15%</v>
      </c>
      <c r="E233" t="str">
        <f>'County Civil'!E81</f>
        <v>NO</v>
      </c>
    </row>
    <row r="234" spans="1:5" x14ac:dyDescent="0.25">
      <c r="A234" s="46">
        <f>IF(E234="YES",MAX(A$2:A233)+1,0)</f>
        <v>0</v>
      </c>
      <c r="B234" t="str">
        <f>'County Civil'!A82</f>
        <v>County Civil</v>
      </c>
      <c r="C234" t="str">
        <f>'County Civil'!C82</f>
        <v>CGE CQ2-17</v>
      </c>
      <c r="D234" s="46" t="str">
        <f>'County Civil'!D82</f>
        <v>Collections amount decreased from prior quarter</v>
      </c>
      <c r="E234" t="str">
        <f>'County Civil'!E82</f>
        <v>NO</v>
      </c>
    </row>
    <row r="235" spans="1:5" x14ac:dyDescent="0.25">
      <c r="A235" s="46">
        <f>IF(E235="YES",MAX(A$2:A234)+1,0)</f>
        <v>0</v>
      </c>
      <c r="B235" t="str">
        <f>'County Civil'!A83</f>
        <v>County Civil</v>
      </c>
      <c r="C235" t="str">
        <f>'County Civil'!C83</f>
        <v>CGE CQ2-17</v>
      </c>
      <c r="D235" s="46" t="str">
        <f>'County Civil'!D83</f>
        <v>Assessment amount increased from prior quarter</v>
      </c>
      <c r="E235" t="str">
        <f>'County Civil'!E83</f>
        <v>NO</v>
      </c>
    </row>
    <row r="236" spans="1:5" ht="26.4" x14ac:dyDescent="0.25">
      <c r="A236" s="46">
        <f>IF(E236="YES",MAX(A$2:A235)+1,0)</f>
        <v>0</v>
      </c>
      <c r="B236" t="str">
        <f>'Civil Traffic'!A81</f>
        <v>Civil Traffic</v>
      </c>
      <c r="C236" t="str">
        <f>'Civil Traffic'!C81</f>
        <v>CGE CQ2-17</v>
      </c>
      <c r="D236" s="46" t="str">
        <f>'Civil Traffic'!D81</f>
        <v>Assessments dropped by more than set percentage of: 15%</v>
      </c>
      <c r="E236" t="str">
        <f>'Civil Traffic'!E81</f>
        <v>NO</v>
      </c>
    </row>
    <row r="237" spans="1:5" x14ac:dyDescent="0.25">
      <c r="A237" s="46">
        <f>IF(E237="YES",MAX(A$2:A236)+1,0)</f>
        <v>0</v>
      </c>
      <c r="B237" t="str">
        <f>'Civil Traffic'!A82</f>
        <v>Civil Traffic</v>
      </c>
      <c r="C237" t="str">
        <f>'Civil Traffic'!C82</f>
        <v>CGE CQ2-17</v>
      </c>
      <c r="D237" s="46" t="str">
        <f>'Civil Traffic'!D82</f>
        <v>Collections amount decreased from prior quarter</v>
      </c>
      <c r="E237" t="str">
        <f>'Civil Traffic'!E82</f>
        <v>NO</v>
      </c>
    </row>
    <row r="238" spans="1:5" x14ac:dyDescent="0.25">
      <c r="A238" s="46">
        <f>IF(E238="YES",MAX(A$2:A237)+1,0)</f>
        <v>0</v>
      </c>
      <c r="B238" t="str">
        <f>'Civil Traffic'!A83</f>
        <v>Civil Traffic</v>
      </c>
      <c r="C238" t="str">
        <f>'Civil Traffic'!C83</f>
        <v>CGE CQ2-17</v>
      </c>
      <c r="D238" s="46" t="str">
        <f>'Civil Traffic'!D83</f>
        <v>Assessment amount increased from prior quarter</v>
      </c>
      <c r="E238" t="str">
        <f>'Civil Traffic'!E83</f>
        <v>NO</v>
      </c>
    </row>
    <row r="239" spans="1:5" ht="26.4" x14ac:dyDescent="0.25">
      <c r="A239" s="46">
        <f>IF(E239="YES",MAX(A$2:A238)+1,0)</f>
        <v>15</v>
      </c>
      <c r="B239" t="str">
        <f>Probate!A86</f>
        <v>Probate</v>
      </c>
      <c r="C239" t="str">
        <f>Probate!C86</f>
        <v>CGE CQ2-17</v>
      </c>
      <c r="D239" s="46" t="str">
        <f>Probate!D86</f>
        <v>Assessments dropped by more than set percentage of: 15%</v>
      </c>
      <c r="E239" t="str">
        <f>Probate!E86</f>
        <v>YES</v>
      </c>
    </row>
    <row r="240" spans="1:5" x14ac:dyDescent="0.25">
      <c r="A240" s="46">
        <f>IF(E240="YES",MAX(A$2:A239)+1,0)</f>
        <v>16</v>
      </c>
      <c r="B240" t="str">
        <f>Probate!A87</f>
        <v>Probate</v>
      </c>
      <c r="C240" t="str">
        <f>Probate!C87</f>
        <v>CGE CQ2-17</v>
      </c>
      <c r="D240" s="46" t="str">
        <f>Probate!D87</f>
        <v>Collections amount decreased from prior quarter</v>
      </c>
      <c r="E240" t="str">
        <f>Probate!E87</f>
        <v>YES</v>
      </c>
    </row>
    <row r="241" spans="1:5" x14ac:dyDescent="0.25">
      <c r="A241" s="46">
        <f>IF(E241="YES",MAX(A$2:A240)+1,0)</f>
        <v>0</v>
      </c>
      <c r="B241" t="str">
        <f>Probate!A88</f>
        <v>Probate</v>
      </c>
      <c r="C241" t="str">
        <f>Probate!C88</f>
        <v>CGE CQ2-17</v>
      </c>
      <c r="D241" s="46" t="str">
        <f>Probate!D88</f>
        <v>Assessment amount increased from prior quarter</v>
      </c>
      <c r="E241" t="str">
        <f>Probate!E88</f>
        <v>NO</v>
      </c>
    </row>
    <row r="242" spans="1:5" ht="26.4" x14ac:dyDescent="0.25">
      <c r="A242" s="46">
        <f>IF(E242="YES",MAX(A$2:A241)+1,0)</f>
        <v>0</v>
      </c>
      <c r="B242" t="str">
        <f>Family!A81</f>
        <v>Family</v>
      </c>
      <c r="C242" t="str">
        <f>Family!C81</f>
        <v>CGE CQ2-17</v>
      </c>
      <c r="D242" s="46" t="str">
        <f>Family!D81</f>
        <v>Assessments dropped by more than set percentage of: 15%</v>
      </c>
      <c r="E242" t="str">
        <f>Family!E81</f>
        <v>NO</v>
      </c>
    </row>
    <row r="243" spans="1:5" x14ac:dyDescent="0.25">
      <c r="A243" s="46">
        <f>IF(E243="YES",MAX(A$2:A242)+1,0)</f>
        <v>0</v>
      </c>
      <c r="B243" t="str">
        <f>Family!A82</f>
        <v>Family</v>
      </c>
      <c r="C243" t="str">
        <f>Family!C82</f>
        <v>CGE CQ2-17</v>
      </c>
      <c r="D243" s="46" t="str">
        <f>Family!D82</f>
        <v>Collections amount decreased from prior quarter</v>
      </c>
      <c r="E243" t="str">
        <f>Family!E82</f>
        <v>NO</v>
      </c>
    </row>
    <row r="244" spans="1:5" x14ac:dyDescent="0.25">
      <c r="A244" s="46">
        <f>IF(E244="YES",MAX(A$2:A243)+1,0)</f>
        <v>0</v>
      </c>
      <c r="B244" t="str">
        <f>Family!A83</f>
        <v>Family</v>
      </c>
      <c r="C244" t="str">
        <f>Family!C83</f>
        <v>CGE CQ2-17</v>
      </c>
      <c r="D244" s="46" t="str">
        <f>Family!D83</f>
        <v>Assessment amount increased from prior quarter</v>
      </c>
      <c r="E244" t="str">
        <f>Family!E83</f>
        <v>NO</v>
      </c>
    </row>
    <row r="245" spans="1:5" ht="26.4" x14ac:dyDescent="0.25">
      <c r="A245" s="46">
        <f>IF(E245="YES",MAX(A$2:A244)+1,0)</f>
        <v>0</v>
      </c>
      <c r="B245" s="46" t="str">
        <f>'Circuit Criminal'!A79</f>
        <v>Circuit Criminal</v>
      </c>
      <c r="C245" s="46" t="str">
        <f>'Circuit Criminal'!C79</f>
        <v>CGE CQ3-17</v>
      </c>
      <c r="D245" s="46" t="str">
        <f>'Circuit Criminal'!D79</f>
        <v>Assessments dropped by more than set percentage of: 15%</v>
      </c>
      <c r="E245" s="46" t="str">
        <f>'Circuit Criminal'!E79</f>
        <v>NO</v>
      </c>
    </row>
    <row r="246" spans="1:5" x14ac:dyDescent="0.25">
      <c r="A246" s="46">
        <f>IF(E246="YES",MAX(A$2:A245)+1,0)</f>
        <v>0</v>
      </c>
      <c r="B246" s="46" t="str">
        <f>'Circuit Criminal'!A80</f>
        <v>Circuit Criminal</v>
      </c>
      <c r="C246" s="46" t="str">
        <f>'Circuit Criminal'!C80</f>
        <v>CGE CQ3-17</v>
      </c>
      <c r="D246" s="46" t="str">
        <f>'Circuit Criminal'!D80</f>
        <v>Collections amount decreased from prior quarter</v>
      </c>
      <c r="E246" s="46" t="str">
        <f>'Circuit Criminal'!E80</f>
        <v>NO</v>
      </c>
    </row>
    <row r="247" spans="1:5" x14ac:dyDescent="0.25">
      <c r="A247" s="46">
        <f>IF(E247="YES",MAX(A$2:A246)+1,0)</f>
        <v>0</v>
      </c>
      <c r="B247" s="46" t="str">
        <f>'Circuit Criminal'!A81</f>
        <v>Circuit Criminal</v>
      </c>
      <c r="C247" s="46" t="str">
        <f>'Circuit Criminal'!C81</f>
        <v>CGE CQ3-17</v>
      </c>
      <c r="D247" s="46" t="str">
        <f>'Circuit Criminal'!D81</f>
        <v>Assessment amount increased from prior quarter</v>
      </c>
      <c r="E247" s="46" t="str">
        <f>'Circuit Criminal'!E81</f>
        <v>NO</v>
      </c>
    </row>
    <row r="248" spans="1:5" ht="26.4" x14ac:dyDescent="0.25">
      <c r="A248" s="46">
        <f>IF(E248="YES",MAX(A$2:A247)+1,0)</f>
        <v>0</v>
      </c>
      <c r="B248" t="str">
        <f>'County Criminal'!A84</f>
        <v>County Criminal</v>
      </c>
      <c r="C248" t="str">
        <f>'County Criminal'!C84</f>
        <v>CGE CQ3-17</v>
      </c>
      <c r="D248" s="46" t="str">
        <f>'County Criminal'!D84</f>
        <v>Assessments dropped by more than set percentage of: 15%</v>
      </c>
      <c r="E248" t="str">
        <f>'County Criminal'!E84</f>
        <v>NO</v>
      </c>
    </row>
    <row r="249" spans="1:5" x14ac:dyDescent="0.25">
      <c r="A249" s="46">
        <f>IF(E249="YES",MAX(A$2:A248)+1,0)</f>
        <v>0</v>
      </c>
      <c r="B249" t="str">
        <f>'County Criminal'!A85</f>
        <v>County Criminal</v>
      </c>
      <c r="C249" t="str">
        <f>'County Criminal'!C85</f>
        <v>CGE CQ3-17</v>
      </c>
      <c r="D249" s="46" t="str">
        <f>'County Criminal'!D85</f>
        <v>Collections amount decreased from prior quarter</v>
      </c>
      <c r="E249" t="str">
        <f>'County Criminal'!E85</f>
        <v>NO</v>
      </c>
    </row>
    <row r="250" spans="1:5" x14ac:dyDescent="0.25">
      <c r="A250" s="46">
        <f>IF(E250="YES",MAX(A$2:A249)+1,0)</f>
        <v>0</v>
      </c>
      <c r="B250" t="str">
        <f>'County Criminal'!A86</f>
        <v>County Criminal</v>
      </c>
      <c r="C250" t="str">
        <f>'County Criminal'!C86</f>
        <v>CGE CQ3-17</v>
      </c>
      <c r="D250" s="46" t="str">
        <f>'County Criminal'!D86</f>
        <v>Assessment amount increased from prior quarter</v>
      </c>
      <c r="E250" t="str">
        <f>'County Criminal'!E86</f>
        <v>NO</v>
      </c>
    </row>
    <row r="251" spans="1:5" ht="26.4" x14ac:dyDescent="0.25">
      <c r="A251" s="46">
        <f>IF(E251="YES",MAX(A$2:A250)+1,0)</f>
        <v>0</v>
      </c>
      <c r="B251" t="str">
        <f>'Juvenile Delinquency'!A84</f>
        <v>Juvenile Delinquency</v>
      </c>
      <c r="C251" t="str">
        <f>'Juvenile Delinquency'!C84</f>
        <v>CGE CQ3-17</v>
      </c>
      <c r="D251" s="46" t="str">
        <f>'Juvenile Delinquency'!D84</f>
        <v>Assessments dropped by more than set percentage of: 15%</v>
      </c>
      <c r="E251" t="str">
        <f>'Juvenile Delinquency'!E84</f>
        <v>NO</v>
      </c>
    </row>
    <row r="252" spans="1:5" x14ac:dyDescent="0.25">
      <c r="A252" s="46">
        <f>IF(E252="YES",MAX(A$2:A251)+1,0)</f>
        <v>0</v>
      </c>
      <c r="B252" t="str">
        <f>'Juvenile Delinquency'!A85</f>
        <v>Juvenile Delinquency</v>
      </c>
      <c r="C252" t="str">
        <f>'Juvenile Delinquency'!C85</f>
        <v>CGE CQ3-17</v>
      </c>
      <c r="D252" s="46" t="str">
        <f>'Juvenile Delinquency'!D85</f>
        <v>Collections amount decreased from prior quarter</v>
      </c>
      <c r="E252" t="str">
        <f>'Juvenile Delinquency'!E85</f>
        <v>NO</v>
      </c>
    </row>
    <row r="253" spans="1:5" x14ac:dyDescent="0.25">
      <c r="A253" s="46">
        <f>IF(E253="YES",MAX(A$2:A252)+1,0)</f>
        <v>0</v>
      </c>
      <c r="B253" t="str">
        <f>'Juvenile Delinquency'!A86</f>
        <v>Juvenile Delinquency</v>
      </c>
      <c r="C253" t="str">
        <f>'Juvenile Delinquency'!C86</f>
        <v>CGE CQ3-17</v>
      </c>
      <c r="D253" s="46" t="str">
        <f>'Juvenile Delinquency'!D86</f>
        <v>Assessment amount increased from prior quarter</v>
      </c>
      <c r="E253" t="str">
        <f>'Juvenile Delinquency'!E86</f>
        <v>NO</v>
      </c>
    </row>
    <row r="254" spans="1:5" ht="26.4" x14ac:dyDescent="0.25">
      <c r="A254" s="46">
        <f>IF(E254="YES",MAX(A$2:A253)+1,0)</f>
        <v>0</v>
      </c>
      <c r="B254" t="str">
        <f>'Criminal Traffic'!A84</f>
        <v>Criminal Traffic</v>
      </c>
      <c r="C254" t="str">
        <f>'Criminal Traffic'!C84</f>
        <v>CGE CQ3-17</v>
      </c>
      <c r="D254" s="46" t="str">
        <f>'Criminal Traffic'!D84</f>
        <v>Assessments dropped by more than set percentage of: 15%</v>
      </c>
      <c r="E254" t="str">
        <f>'Criminal Traffic'!E84</f>
        <v>NO</v>
      </c>
    </row>
    <row r="255" spans="1:5" x14ac:dyDescent="0.25">
      <c r="A255" s="46">
        <f>IF(E255="YES",MAX(A$2:A254)+1,0)</f>
        <v>0</v>
      </c>
      <c r="B255" t="str">
        <f>'Criminal Traffic'!A85</f>
        <v>Criminal Traffic</v>
      </c>
      <c r="C255" t="str">
        <f>'Criminal Traffic'!C85</f>
        <v>CGE CQ3-17</v>
      </c>
      <c r="D255" s="46" t="str">
        <f>'Criminal Traffic'!D85</f>
        <v>Collections amount decreased from prior quarter</v>
      </c>
      <c r="E255" t="str">
        <f>'Criminal Traffic'!E85</f>
        <v>NO</v>
      </c>
    </row>
    <row r="256" spans="1:5" x14ac:dyDescent="0.25">
      <c r="A256" s="46">
        <f>IF(E256="YES",MAX(A$2:A255)+1,0)</f>
        <v>0</v>
      </c>
      <c r="B256" t="str">
        <f>'Criminal Traffic'!A86</f>
        <v>Criminal Traffic</v>
      </c>
      <c r="C256" t="str">
        <f>'Criminal Traffic'!C86</f>
        <v>CGE CQ3-17</v>
      </c>
      <c r="D256" s="46" t="str">
        <f>'Criminal Traffic'!D86</f>
        <v>Assessment amount increased from prior quarter</v>
      </c>
      <c r="E256" t="str">
        <f>'Criminal Traffic'!E86</f>
        <v>NO</v>
      </c>
    </row>
    <row r="257" spans="1:5" ht="26.4" x14ac:dyDescent="0.25">
      <c r="A257" s="46">
        <f>IF(E257="YES",MAX(A$2:A256)+1,0)</f>
        <v>0</v>
      </c>
      <c r="B257" t="str">
        <f>'Circuit Civil'!A84</f>
        <v>Circuit Civil</v>
      </c>
      <c r="C257" t="str">
        <f>'Circuit Civil'!C84</f>
        <v>CGE CQ3-17</v>
      </c>
      <c r="D257" s="46" t="str">
        <f>'Circuit Civil'!D84</f>
        <v>Assessments dropped by more than set percentage of: 15%</v>
      </c>
      <c r="E257" t="str">
        <f>'Circuit Civil'!E84</f>
        <v>NO</v>
      </c>
    </row>
    <row r="258" spans="1:5" x14ac:dyDescent="0.25">
      <c r="A258" s="46">
        <f>IF(E258="YES",MAX(A$2:A257)+1,0)</f>
        <v>0</v>
      </c>
      <c r="B258" t="str">
        <f>'Circuit Civil'!A85</f>
        <v>Circuit Civil</v>
      </c>
      <c r="C258" t="str">
        <f>'Circuit Civil'!C85</f>
        <v>CGE CQ3-17</v>
      </c>
      <c r="D258" s="46" t="str">
        <f>'Circuit Civil'!D85</f>
        <v>Collections amount decreased from prior quarter</v>
      </c>
      <c r="E258" t="str">
        <f>'Circuit Civil'!E85</f>
        <v>NO</v>
      </c>
    </row>
    <row r="259" spans="1:5" x14ac:dyDescent="0.25">
      <c r="A259" s="46">
        <f>IF(E259="YES",MAX(A$2:A258)+1,0)</f>
        <v>0</v>
      </c>
      <c r="B259" t="str">
        <f>'Circuit Civil'!A86</f>
        <v>Circuit Civil</v>
      </c>
      <c r="C259" t="str">
        <f>'Circuit Civil'!C86</f>
        <v>CGE CQ3-17</v>
      </c>
      <c r="D259" s="46" t="str">
        <f>'Circuit Civil'!D86</f>
        <v>Assessment amount increased from prior quarter</v>
      </c>
      <c r="E259" t="str">
        <f>'Circuit Civil'!E86</f>
        <v>NO</v>
      </c>
    </row>
    <row r="260" spans="1:5" ht="26.4" x14ac:dyDescent="0.25">
      <c r="A260" s="46">
        <f>IF(E260="YES",MAX(A$2:A259)+1,0)</f>
        <v>0</v>
      </c>
      <c r="B260" t="str">
        <f>'County Civil'!A84</f>
        <v>County Civil</v>
      </c>
      <c r="C260" t="str">
        <f>'County Civil'!C84</f>
        <v>CGE CQ3-17</v>
      </c>
      <c r="D260" s="46" t="str">
        <f>'County Civil'!D84</f>
        <v>Assessments dropped by more than set percentage of: 15%</v>
      </c>
      <c r="E260" t="str">
        <f>'County Civil'!E84</f>
        <v>NO</v>
      </c>
    </row>
    <row r="261" spans="1:5" x14ac:dyDescent="0.25">
      <c r="A261" s="46">
        <f>IF(E261="YES",MAX(A$2:A260)+1,0)</f>
        <v>0</v>
      </c>
      <c r="B261" t="str">
        <f>'County Civil'!A85</f>
        <v>County Civil</v>
      </c>
      <c r="C261" t="str">
        <f>'County Civil'!C85</f>
        <v>CGE CQ3-17</v>
      </c>
      <c r="D261" s="46" t="str">
        <f>'County Civil'!D85</f>
        <v>Collections amount decreased from prior quarter</v>
      </c>
      <c r="E261" t="str">
        <f>'County Civil'!E85</f>
        <v>NO</v>
      </c>
    </row>
    <row r="262" spans="1:5" x14ac:dyDescent="0.25">
      <c r="A262" s="46">
        <f>IF(E262="YES",MAX(A$2:A261)+1,0)</f>
        <v>0</v>
      </c>
      <c r="B262" t="str">
        <f>'County Civil'!A86</f>
        <v>County Civil</v>
      </c>
      <c r="C262" t="str">
        <f>'County Civil'!C86</f>
        <v>CGE CQ3-17</v>
      </c>
      <c r="D262" s="46" t="str">
        <f>'County Civil'!D86</f>
        <v>Assessment amount increased from prior quarter</v>
      </c>
      <c r="E262" t="str">
        <f>'County Civil'!E86</f>
        <v>NO</v>
      </c>
    </row>
    <row r="263" spans="1:5" ht="26.4" x14ac:dyDescent="0.25">
      <c r="A263" s="46">
        <f>IF(E263="YES",MAX(A$2:A262)+1,0)</f>
        <v>0</v>
      </c>
      <c r="B263" t="str">
        <f>'Civil Traffic'!A84</f>
        <v>Civil Traffic</v>
      </c>
      <c r="C263" t="str">
        <f>'Civil Traffic'!C84</f>
        <v>CGE CQ3-17</v>
      </c>
      <c r="D263" s="46" t="str">
        <f>'Civil Traffic'!D84</f>
        <v>Assessments dropped by more than set percentage of: 15%</v>
      </c>
      <c r="E263" t="str">
        <f>'Civil Traffic'!E84</f>
        <v>NO</v>
      </c>
    </row>
    <row r="264" spans="1:5" x14ac:dyDescent="0.25">
      <c r="A264" s="46">
        <f>IF(E264="YES",MAX(A$2:A263)+1,0)</f>
        <v>0</v>
      </c>
      <c r="B264" t="str">
        <f>'Civil Traffic'!A85</f>
        <v>Civil Traffic</v>
      </c>
      <c r="C264" t="str">
        <f>'Civil Traffic'!C85</f>
        <v>CGE CQ3-17</v>
      </c>
      <c r="D264" s="46" t="str">
        <f>'Civil Traffic'!D85</f>
        <v>Collections amount decreased from prior quarter</v>
      </c>
      <c r="E264" t="str">
        <f>'Civil Traffic'!E85</f>
        <v>NO</v>
      </c>
    </row>
    <row r="265" spans="1:5" x14ac:dyDescent="0.25">
      <c r="A265" s="46">
        <f>IF(E265="YES",MAX(A$2:A264)+1,0)</f>
        <v>0</v>
      </c>
      <c r="B265" t="str">
        <f>'Civil Traffic'!A86</f>
        <v>Civil Traffic</v>
      </c>
      <c r="C265" t="str">
        <f>'Civil Traffic'!C86</f>
        <v>CGE CQ3-17</v>
      </c>
      <c r="D265" s="46" t="str">
        <f>'Civil Traffic'!D86</f>
        <v>Assessment amount increased from prior quarter</v>
      </c>
      <c r="E265" t="str">
        <f>'Civil Traffic'!E86</f>
        <v>NO</v>
      </c>
    </row>
    <row r="266" spans="1:5" ht="26.4" x14ac:dyDescent="0.25">
      <c r="A266" s="46">
        <f>IF(E266="YES",MAX(A$2:A265)+1,0)</f>
        <v>0</v>
      </c>
      <c r="B266" t="str">
        <f>Probate!A89</f>
        <v>Probate</v>
      </c>
      <c r="C266" t="str">
        <f>Probate!C89</f>
        <v>CGE CQ3-17</v>
      </c>
      <c r="D266" s="46" t="str">
        <f>Probate!D89</f>
        <v>Assessments dropped by more than set percentage of: 15%</v>
      </c>
      <c r="E266" t="str">
        <f>Probate!E89</f>
        <v>NO</v>
      </c>
    </row>
    <row r="267" spans="1:5" x14ac:dyDescent="0.25">
      <c r="A267" s="46">
        <f>IF(E267="YES",MAX(A$2:A266)+1,0)</f>
        <v>0</v>
      </c>
      <c r="B267" t="str">
        <f>Probate!A90</f>
        <v>Probate</v>
      </c>
      <c r="C267" t="str">
        <f>Probate!C90</f>
        <v>CGE CQ3-17</v>
      </c>
      <c r="D267" s="46" t="str">
        <f>Probate!D90</f>
        <v>Collections amount decreased from prior quarter</v>
      </c>
      <c r="E267" t="str">
        <f>Probate!E90</f>
        <v>NO</v>
      </c>
    </row>
    <row r="268" spans="1:5" x14ac:dyDescent="0.25">
      <c r="A268" s="46">
        <f>IF(E268="YES",MAX(A$2:A267)+1,0)</f>
        <v>0</v>
      </c>
      <c r="B268" t="str">
        <f>Probate!A91</f>
        <v>Probate</v>
      </c>
      <c r="C268" t="str">
        <f>Probate!C91</f>
        <v>CGE CQ3-17</v>
      </c>
      <c r="D268" s="46" t="str">
        <f>Probate!D91</f>
        <v>Assessment amount increased from prior quarter</v>
      </c>
      <c r="E268" t="str">
        <f>Probate!E91</f>
        <v>NO</v>
      </c>
    </row>
    <row r="269" spans="1:5" ht="26.4" x14ac:dyDescent="0.25">
      <c r="A269" s="46">
        <f>IF(E269="YES",MAX(A$2:A268)+1,0)</f>
        <v>0</v>
      </c>
      <c r="B269" t="str">
        <f>Family!A84</f>
        <v>Family</v>
      </c>
      <c r="C269" t="str">
        <f>Family!C84</f>
        <v>CGE CQ3-17</v>
      </c>
      <c r="D269" s="46" t="str">
        <f>Family!D84</f>
        <v>Assessments dropped by more than set percentage of: 15%</v>
      </c>
      <c r="E269" t="str">
        <f>Family!E84</f>
        <v>NO</v>
      </c>
    </row>
    <row r="270" spans="1:5" x14ac:dyDescent="0.25">
      <c r="A270" s="46">
        <f>IF(E270="YES",MAX(A$2:A269)+1,0)</f>
        <v>0</v>
      </c>
      <c r="B270" t="str">
        <f>Family!A85</f>
        <v>Family</v>
      </c>
      <c r="C270" t="str">
        <f>Family!C85</f>
        <v>CGE CQ3-17</v>
      </c>
      <c r="D270" s="46" t="str">
        <f>Family!D85</f>
        <v>Collections amount decreased from prior quarter</v>
      </c>
      <c r="E270" t="str">
        <f>Family!E85</f>
        <v>NO</v>
      </c>
    </row>
    <row r="271" spans="1:5" x14ac:dyDescent="0.25">
      <c r="A271" s="46">
        <f>IF(E271="YES",MAX(A$2:A270)+1,0)</f>
        <v>0</v>
      </c>
      <c r="B271" t="str">
        <f>Family!A86</f>
        <v>Family</v>
      </c>
      <c r="C271" t="str">
        <f>Family!C86</f>
        <v>CGE CQ3-17</v>
      </c>
      <c r="D271" s="46" t="str">
        <f>Family!D86</f>
        <v>Assessment amount increased from prior quarter</v>
      </c>
      <c r="E271" t="str">
        <f>Family!E86</f>
        <v>NO</v>
      </c>
    </row>
  </sheetData>
  <sheetProtection password="EA21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F45"/>
  <sheetViews>
    <sheetView topLeftCell="A5" zoomScale="90" zoomScaleNormal="90" workbookViewId="0">
      <selection activeCell="F13" sqref="F13"/>
    </sheetView>
  </sheetViews>
  <sheetFormatPr defaultColWidth="9.109375" defaultRowHeight="13.2" x14ac:dyDescent="0.25"/>
  <cols>
    <col min="1" max="1" width="19.44140625" style="91" bestFit="1" customWidth="1"/>
    <col min="2" max="2" width="17.88671875" style="91" customWidth="1"/>
    <col min="3" max="3" width="10.109375" style="91" customWidth="1"/>
    <col min="4" max="4" width="13.44140625" style="91" customWidth="1"/>
    <col min="5" max="5" width="24" style="91" customWidth="1"/>
    <col min="6" max="6" width="150.6640625" style="91" customWidth="1"/>
    <col min="7" max="16384" width="9.109375" style="91"/>
  </cols>
  <sheetData>
    <row r="1" spans="1:6" ht="33" customHeight="1" x14ac:dyDescent="0.3">
      <c r="A1" s="183" t="s">
        <v>240</v>
      </c>
    </row>
    <row r="2" spans="1:6" ht="20.399999999999999" customHeight="1" x14ac:dyDescent="0.3">
      <c r="A2" s="183" t="s">
        <v>215</v>
      </c>
    </row>
    <row r="4" spans="1:6" ht="13.8" x14ac:dyDescent="0.25">
      <c r="B4" s="184" t="s">
        <v>216</v>
      </c>
      <c r="C4" s="185" t="str">
        <f>'Circuit Criminal'!D4</f>
        <v>March 2016</v>
      </c>
      <c r="D4" s="186"/>
      <c r="E4" s="25" t="s">
        <v>217</v>
      </c>
      <c r="F4" s="213"/>
    </row>
    <row r="5" spans="1:6" ht="13.8" x14ac:dyDescent="0.25">
      <c r="B5" s="184" t="s">
        <v>218</v>
      </c>
      <c r="C5" s="185">
        <f>'Circuit Criminal'!D5</f>
        <v>1</v>
      </c>
      <c r="D5" s="186"/>
      <c r="E5" s="25" t="s">
        <v>219</v>
      </c>
      <c r="F5" s="213"/>
    </row>
    <row r="6" spans="1:6" ht="13.8" x14ac:dyDescent="0.25">
      <c r="B6" s="184" t="s">
        <v>220</v>
      </c>
      <c r="C6" s="314" t="str">
        <f>'Circuit Criminal'!D6</f>
        <v>Brevard</v>
      </c>
      <c r="D6" s="314"/>
      <c r="E6" s="25" t="s">
        <v>221</v>
      </c>
      <c r="F6" s="213"/>
    </row>
    <row r="8" spans="1:6" ht="27" customHeight="1" thickBot="1" x14ac:dyDescent="0.3">
      <c r="A8" s="196" t="s">
        <v>195</v>
      </c>
      <c r="B8" s="197" t="s">
        <v>186</v>
      </c>
      <c r="C8" s="196" t="s">
        <v>196</v>
      </c>
      <c r="D8" s="196" t="s">
        <v>197</v>
      </c>
      <c r="E8" s="196" t="s">
        <v>185</v>
      </c>
      <c r="F8" s="196" t="s">
        <v>190</v>
      </c>
    </row>
    <row r="9" spans="1:6" x14ac:dyDescent="0.25">
      <c r="A9" s="315" t="s">
        <v>38</v>
      </c>
      <c r="B9" s="198" t="str">
        <f>'Circuit Criminal'!H10</f>
        <v>10/01/15 - 12/31/15</v>
      </c>
      <c r="C9" s="199">
        <f>'Circuit Criminal'!$H$8</f>
        <v>0.09</v>
      </c>
      <c r="D9" s="200" t="str">
        <f>IF('Circuit Criminal'!$H$14&lt;C9, 'Circuit Criminal'!$H$14, "")</f>
        <v/>
      </c>
      <c r="E9" s="201" t="str">
        <f>IF(IFERROR('Circuit Criminal'!L11:L11,"ERROR")="ERROR","",IF('Circuit Criminal'!L11:L11 =0,"",'Circuit Criminal'!L11:L11))</f>
        <v/>
      </c>
      <c r="F9" s="221" t="str">
        <f>IF(IFERROR('Circuit Criminal'!M11:M11,"ERROR")="ERROR","",IF('Circuit Criminal'!M11:M11 =0,"",'Circuit Criminal'!M11:M11))</f>
        <v/>
      </c>
    </row>
    <row r="10" spans="1:6" x14ac:dyDescent="0.25">
      <c r="A10" s="316"/>
      <c r="B10" s="202" t="str">
        <f>'Circuit Criminal'!I10</f>
        <v>01/01/16 - 03/31/16</v>
      </c>
      <c r="C10" s="203">
        <f>'Circuit Criminal'!$H$8</f>
        <v>0.09</v>
      </c>
      <c r="D10" s="200" t="str">
        <f>IF('Circuit Criminal'!$I$18&lt;C10, 'Circuit Criminal'!$I$18, "")</f>
        <v/>
      </c>
      <c r="E10" s="201" t="str">
        <f>IF(IFERROR('Circuit Criminal'!L15:L15,"ERROR")="ERROR","",IF('Circuit Criminal'!L15:L15 =0,"",'Circuit Criminal'!L15:L15))</f>
        <v/>
      </c>
      <c r="F10" s="221" t="str">
        <f>IF(IFERROR('Circuit Criminal'!M15:M15,"ERROR")="ERROR","",IF('Circuit Criminal'!M15:M15 =0,"",'Circuit Criminal'!M15:M15))</f>
        <v/>
      </c>
    </row>
    <row r="11" spans="1:6" x14ac:dyDescent="0.25">
      <c r="A11" s="316"/>
      <c r="B11" s="202" t="str">
        <f>'Circuit Criminal'!J10</f>
        <v>04/01/16 - 06/30/16</v>
      </c>
      <c r="C11" s="203">
        <f>'Circuit Criminal'!$H$8</f>
        <v>0.09</v>
      </c>
      <c r="D11" s="200" t="str">
        <f>IF('Circuit Criminal'!$J$22&lt;C11, 'Circuit Criminal'!$J$22, "")</f>
        <v/>
      </c>
      <c r="E11" s="201" t="str">
        <f>IF(IFERROR('Circuit Criminal'!L19:L19,"ERROR")="ERROR","",IF('Circuit Criminal'!L19:L19 =0,"",'Circuit Criminal'!L19:L19))</f>
        <v/>
      </c>
      <c r="F11" s="221" t="str">
        <f>IF(IFERROR('Circuit Criminal'!M19:M19,"ERROR")="ERROR","",IF('Circuit Criminal'!M19:M19 =0,"",'Circuit Criminal'!M19:M19))</f>
        <v/>
      </c>
    </row>
    <row r="12" spans="1:6" ht="13.8" thickBot="1" x14ac:dyDescent="0.3">
      <c r="A12" s="317"/>
      <c r="B12" s="204" t="str">
        <f>'Circuit Criminal'!K10</f>
        <v>07/01/16 - 09/30/16</v>
      </c>
      <c r="C12" s="205">
        <f>'Circuit Criminal'!$H$8</f>
        <v>0.09</v>
      </c>
      <c r="D12" s="206" t="str">
        <f>IF('Circuit Criminal'!$K$26&lt;C12, 'Circuit Criminal'!$K$26, "")</f>
        <v/>
      </c>
      <c r="E12" s="207" t="str">
        <f>IF(IFERROR('Circuit Criminal'!L23:L23,"ERROR")="ERROR","",IF('Circuit Criminal'!L23:L23 =0,"",'Circuit Criminal'!L23:L23))</f>
        <v/>
      </c>
      <c r="F12" s="222" t="str">
        <f>IF(IFERROR('Circuit Criminal'!M23:M23,"ERROR")="ERROR","",IF('Circuit Criminal'!M23:M23 =0,"",'Circuit Criminal'!M23:M23))</f>
        <v/>
      </c>
    </row>
    <row r="13" spans="1:6" ht="26.4" x14ac:dyDescent="0.25">
      <c r="A13" s="315" t="s">
        <v>39</v>
      </c>
      <c r="B13" s="198" t="str">
        <f>'County Criminal'!H10</f>
        <v>10/01/15 - 12/31/15</v>
      </c>
      <c r="C13" s="199">
        <f>'County Criminal'!$H$8</f>
        <v>0.4</v>
      </c>
      <c r="D13" s="200">
        <f>IF('County Criminal'!$H$14&lt;C13, 'County Criminal'!$H$14, "")</f>
        <v>0.38908588879357103</v>
      </c>
      <c r="E13" s="201" t="str">
        <f>IF(IFERROR('County Criminal'!L11:L11,"ERROR")="ERROR","",IF('County Criminal'!L11:L11 =0,"",'County Criminal'!L11:L11))</f>
        <v>External</v>
      </c>
      <c r="F13" s="221" t="str">
        <f>IF(IFERROR('County Criminal'!M11:M11,"ERROR")="ERROR","",IF('County Criminal'!M11:M11 =0,"",'County Criminal'!M11:M11))</f>
        <v>The standard was not met despite pursuit of all collection efforts within the control fo the Clerk.  By the end if this fiscal year, we anticipate a change by the judiciary which will require payment on the day of sentencing with direction to either pay in full or enroll in a payment plan.</v>
      </c>
    </row>
    <row r="14" spans="1:6" x14ac:dyDescent="0.25">
      <c r="A14" s="316"/>
      <c r="B14" s="202" t="str">
        <f>'County Criminal'!I10</f>
        <v>01/01/16 - 03/31/16</v>
      </c>
      <c r="C14" s="199">
        <f>'County Criminal'!$H$8</f>
        <v>0.4</v>
      </c>
      <c r="D14" s="200" t="str">
        <f>IF('County Criminal'!$I$18&lt;C14, 'County Criminal'!$I$18, "")</f>
        <v/>
      </c>
      <c r="E14" s="201" t="str">
        <f>IF(IFERROR('County Criminal'!L15:L15,"ERROR")="ERROR","",IF('County Criminal'!L15:L15 =0,"",'County Criminal'!L15:L15))</f>
        <v/>
      </c>
      <c r="F14" s="221" t="str">
        <f>IF(IFERROR('County Criminal'!M15:M15,"ERROR")="ERROR","",IF('County Criminal'!M15:M15 =0,"",'County Criminal'!M15:M15))</f>
        <v/>
      </c>
    </row>
    <row r="15" spans="1:6" x14ac:dyDescent="0.25">
      <c r="A15" s="316"/>
      <c r="B15" s="202" t="str">
        <f>'County Criminal'!J10</f>
        <v>04/01/16 - 06/30/16</v>
      </c>
      <c r="C15" s="199">
        <f>'County Criminal'!$H$8</f>
        <v>0.4</v>
      </c>
      <c r="D15" s="200" t="str">
        <f>IF('County Criminal'!$J$22&lt;C15, 'County Criminal'!$J$22, "")</f>
        <v/>
      </c>
      <c r="E15" s="201" t="str">
        <f>IF(IFERROR('County Criminal'!L19:L19,"ERROR")="ERROR","",IF('County Criminal'!L19:L19 =0,"",'County Criminal'!L19:L19))</f>
        <v/>
      </c>
      <c r="F15" s="221" t="str">
        <f>IF(IFERROR('County Criminal'!M19:M19,"ERROR")="ERROR","",IF('County Criminal'!M19:M19 =0,"",'County Criminal'!M19:M19))</f>
        <v/>
      </c>
    </row>
    <row r="16" spans="1:6" ht="13.8" thickBot="1" x14ac:dyDescent="0.3">
      <c r="A16" s="317"/>
      <c r="B16" s="204" t="str">
        <f>'County Criminal'!K10</f>
        <v>07/01/16 - 09/30/16</v>
      </c>
      <c r="C16" s="208">
        <f>'County Criminal'!$H$8</f>
        <v>0.4</v>
      </c>
      <c r="D16" s="206" t="str">
        <f>IF('County Criminal'!$K$26&lt;C16, 'County Criminal'!$K$26, "")</f>
        <v/>
      </c>
      <c r="E16" s="207" t="str">
        <f>IF(IFERROR('County Criminal'!L23:L23,"ERROR")="ERROR","",IF('County Criminal'!L23:L23 =0,"",'County Criminal'!L23:L23))</f>
        <v/>
      </c>
      <c r="F16" s="222" t="str">
        <f>IF(IFERROR('County Criminal'!M23:M23,"ERROR")="ERROR","",IF('County Criminal'!M23:M23 =0,"",'County Criminal'!M23:M23))</f>
        <v/>
      </c>
    </row>
    <row r="17" spans="1:6" x14ac:dyDescent="0.25">
      <c r="A17" s="315" t="s">
        <v>40</v>
      </c>
      <c r="B17" s="198" t="str">
        <f>'Juvenile Delinquency'!H10</f>
        <v>10/01/15 - 12/31/15</v>
      </c>
      <c r="C17" s="199">
        <f>'Juvenile Delinquency'!$H$8</f>
        <v>0.09</v>
      </c>
      <c r="D17" s="200" t="str">
        <f>IF('Juvenile Delinquency'!$H$14&lt;C17, 'Juvenile Delinquency'!H14, "")</f>
        <v/>
      </c>
      <c r="E17" s="201" t="str">
        <f>IF(IFERROR('Juvenile Delinquency'!L11:L11,"ERROR")="ERROR","",IF('Juvenile Delinquency'!L11:L11 =0,"",'Juvenile Delinquency'!L11:L11))</f>
        <v/>
      </c>
      <c r="F17" s="221" t="str">
        <f>IF(IFERROR('Juvenile Delinquency'!M11:M11,"ERROR")="ERROR","",IF('Juvenile Delinquency'!M11:M11 =0,"",'Juvenile Delinquency'!M11:M11))</f>
        <v/>
      </c>
    </row>
    <row r="18" spans="1:6" x14ac:dyDescent="0.25">
      <c r="A18" s="316"/>
      <c r="B18" s="202" t="str">
        <f>'Juvenile Delinquency'!I10</f>
        <v>01/01/16 - 03/31/16</v>
      </c>
      <c r="C18" s="199">
        <f>'Juvenile Delinquency'!$H$8</f>
        <v>0.09</v>
      </c>
      <c r="D18" s="200">
        <f>IF('Juvenile Delinquency'!$I$18&lt;C18, 'Juvenile Delinquency'!$I$18, "")</f>
        <v>8.6507009345794389E-2</v>
      </c>
      <c r="E18" s="201" t="str">
        <f>IF(IFERROR('Juvenile Delinquency'!L15:L15,"ERROR")="ERROR","",IF('Juvenile Delinquency'!L15:L15 =0,"",'Juvenile Delinquency'!L15:L15))</f>
        <v/>
      </c>
      <c r="F18" s="221" t="str">
        <f>IF(IFERROR('Juvenile Delinquency'!M15:M15,"ERROR")="ERROR","",IF('Juvenile Delinquency'!M15:M15 =0,"",'Juvenile Delinquency'!M15:M15))</f>
        <v/>
      </c>
    </row>
    <row r="19" spans="1:6" x14ac:dyDescent="0.25">
      <c r="A19" s="316"/>
      <c r="B19" s="202" t="str">
        <f>'Juvenile Delinquency'!J10</f>
        <v>04/01/16 - 06/30/16</v>
      </c>
      <c r="C19" s="199">
        <f>'Juvenile Delinquency'!$H$8</f>
        <v>0.09</v>
      </c>
      <c r="D19" s="200" t="str">
        <f>IF('Juvenile Delinquency'!$J$22&lt;C19, 'Juvenile Delinquency'!$J$22, "")</f>
        <v/>
      </c>
      <c r="E19" s="201" t="str">
        <f>IF(IFERROR('Juvenile Delinquency'!L19:L19,"ERROR")="ERROR","",IF('Juvenile Delinquency'!L19:L19 =0,"",'Juvenile Delinquency'!L19:L19))</f>
        <v/>
      </c>
      <c r="F19" s="221" t="str">
        <f>IF(IFERROR('Juvenile Delinquency'!M19:M19,"ERROR")="ERROR","",IF('Juvenile Delinquency'!M19:M19 =0,"",'Juvenile Delinquency'!M19:M19))</f>
        <v/>
      </c>
    </row>
    <row r="20" spans="1:6" ht="13.8" thickBot="1" x14ac:dyDescent="0.3">
      <c r="A20" s="317"/>
      <c r="B20" s="204" t="str">
        <f>'Juvenile Delinquency'!K10</f>
        <v>07/01/16 - 09/30/16</v>
      </c>
      <c r="C20" s="208">
        <f>'Juvenile Delinquency'!$H$8</f>
        <v>0.09</v>
      </c>
      <c r="D20" s="206" t="str">
        <f>IF('Juvenile Delinquency'!$K$26&lt;C20, 'Juvenile Delinquency'!$K$26, "")</f>
        <v/>
      </c>
      <c r="E20" s="207" t="str">
        <f>IF(IFERROR('Juvenile Delinquency'!L23:L23,"ERROR")="ERROR","",IF('Juvenile Delinquency'!L23:L23 =0,"",'Juvenile Delinquency'!L23:L23))</f>
        <v/>
      </c>
      <c r="F20" s="222" t="str">
        <f>IF(IFERROR('Juvenile Delinquency'!M23:M23,"ERROR")="ERROR","",IF('Juvenile Delinquency'!M23:M23 =0,"",'Juvenile Delinquency'!M23:M23))</f>
        <v/>
      </c>
    </row>
    <row r="21" spans="1:6" x14ac:dyDescent="0.25">
      <c r="A21" s="315" t="s">
        <v>41</v>
      </c>
      <c r="B21" s="198" t="str">
        <f>'Criminal Traffic'!H10</f>
        <v>10/01/15 - 12/31/15</v>
      </c>
      <c r="C21" s="199">
        <f>'Criminal Traffic'!$H$8</f>
        <v>0.4</v>
      </c>
      <c r="D21" s="200" t="str">
        <f>IF('Criminal Traffic'!$H$14&lt;C21, 'Criminal Traffic'!$H$14, "")</f>
        <v/>
      </c>
      <c r="E21" s="201" t="str">
        <f>IF(IFERROR('Criminal Traffic'!L11:L11,"ERROR")="ERROR","",IF('Criminal Traffic'!L11:L11 =0,"",'Criminal Traffic'!L11:L11))</f>
        <v/>
      </c>
      <c r="F21" s="221" t="str">
        <f>IF(IFERROR('Criminal Traffic'!M11:M11,"ERROR")="ERROR","",IF('Criminal Traffic'!M11:M11 =0,"",'Criminal Traffic'!M11:M11))</f>
        <v/>
      </c>
    </row>
    <row r="22" spans="1:6" x14ac:dyDescent="0.25">
      <c r="A22" s="316"/>
      <c r="B22" s="202" t="str">
        <f>'Criminal Traffic'!I10</f>
        <v>01/01/16 - 03/31/16</v>
      </c>
      <c r="C22" s="199">
        <f>'Criminal Traffic'!$H$8</f>
        <v>0.4</v>
      </c>
      <c r="D22" s="200" t="str">
        <f>IF('Criminal Traffic'!$I$18&lt;C22, 'Criminal Traffic'!$I$18, "")</f>
        <v/>
      </c>
      <c r="E22" s="201" t="str">
        <f>IF(IFERROR('Criminal Traffic'!L15:L15,"ERROR")="ERROR","",IF('Criminal Traffic'!L15:L15 =0,"",'Criminal Traffic'!L15:L15))</f>
        <v/>
      </c>
      <c r="F22" s="221"/>
    </row>
    <row r="23" spans="1:6" x14ac:dyDescent="0.25">
      <c r="A23" s="316"/>
      <c r="B23" s="202" t="str">
        <f>'Criminal Traffic'!J10</f>
        <v>04/01/16 - 06/30/16</v>
      </c>
      <c r="C23" s="199">
        <f>'Criminal Traffic'!$H$8</f>
        <v>0.4</v>
      </c>
      <c r="D23" s="200" t="str">
        <f>IF('Criminal Traffic'!$J$22&lt;C23, 'Criminal Traffic'!$J$22, "")</f>
        <v/>
      </c>
      <c r="E23" s="201" t="str">
        <f>IF(IFERROR('Criminal Traffic'!L19:L19,"ERROR")="ERROR","",IF('Criminal Traffic'!L19:L19 =0,"",'Criminal Traffic'!L19:L19))</f>
        <v/>
      </c>
      <c r="F23" s="221" t="str">
        <f>IF(IFERROR('Criminal Traffic'!M19:M19,"ERROR")="ERROR","",IF('Criminal Traffic'!M19:M19 =0,"",'Criminal Traffic'!M19:M19))</f>
        <v/>
      </c>
    </row>
    <row r="24" spans="1:6" ht="13.8" thickBot="1" x14ac:dyDescent="0.3">
      <c r="A24" s="317"/>
      <c r="B24" s="204" t="str">
        <f>'Criminal Traffic'!K10</f>
        <v>07/01/16 - 09/30/16</v>
      </c>
      <c r="C24" s="208">
        <f>'Criminal Traffic'!$H$8</f>
        <v>0.4</v>
      </c>
      <c r="D24" s="206" t="str">
        <f>IF('Criminal Traffic'!$K$26&lt;C24, 'Criminal Traffic'!$K$26, "")</f>
        <v/>
      </c>
      <c r="E24" s="207" t="str">
        <f>IF(IFERROR('Criminal Traffic'!L23:L23,"ERROR")="ERROR","",IF('Criminal Traffic'!L23:L23 =0,"",'Criminal Traffic'!L23:L23))</f>
        <v/>
      </c>
      <c r="F24" s="222" t="str">
        <f>IF(IFERROR('Criminal Traffic'!M23:M23,"ERROR")="ERROR","",IF('Criminal Traffic'!M23:M23 =0,"",'Criminal Traffic'!M23:M23))</f>
        <v/>
      </c>
    </row>
    <row r="25" spans="1:6" x14ac:dyDescent="0.25">
      <c r="A25" s="315" t="s">
        <v>42</v>
      </c>
      <c r="B25" s="198" t="str">
        <f>'Circuit Civil'!H10</f>
        <v>10/01/15 - 12/31/15</v>
      </c>
      <c r="C25" s="199">
        <f>'Circuit Civil'!$H$8</f>
        <v>0.9</v>
      </c>
      <c r="D25" s="200" t="str">
        <f>IF('Circuit Civil'!$H$14&lt;C25, 'Circuit Civil'!$H$14, "")</f>
        <v/>
      </c>
      <c r="E25" s="201" t="str">
        <f>IF(IFERROR('Circuit Civil'!L11:L11,"ERROR")="ERROR","",IF('Circuit Civil'!L11:L11 =0,"",'Circuit Civil'!L11:L11))</f>
        <v/>
      </c>
      <c r="F25" s="221" t="str">
        <f>IF(IFERROR('Circuit Civil'!M11:M11,"ERROR")="ERROR","",IF('Circuit Civil'!M11:M11 =0,"",'Circuit Civil'!M11:M11))</f>
        <v/>
      </c>
    </row>
    <row r="26" spans="1:6" x14ac:dyDescent="0.25">
      <c r="A26" s="316"/>
      <c r="B26" s="202" t="str">
        <f>'Circuit Civil'!I10</f>
        <v>01/01/16 - 03/31/16</v>
      </c>
      <c r="C26" s="199">
        <f>'Circuit Civil'!$H$8</f>
        <v>0.9</v>
      </c>
      <c r="D26" s="200" t="str">
        <f>IF('Circuit Civil'!$I$18&lt;C26, 'Circuit Civil'!$I$18, "")</f>
        <v/>
      </c>
      <c r="E26" s="201" t="str">
        <f>IF(IFERROR('Circuit Civil'!L15:L15,"ERROR")="ERROR","",IF('Circuit Civil'!L15:L15 =0,"",'Circuit Civil'!L15:L15))</f>
        <v/>
      </c>
      <c r="F26" s="221" t="str">
        <f>IF(IFERROR('Circuit Civil'!M15:M15,"ERROR")="ERROR","",IF('Circuit Civil'!M15:M15 =0,"",'Circuit Civil'!M15:M15))</f>
        <v/>
      </c>
    </row>
    <row r="27" spans="1:6" x14ac:dyDescent="0.25">
      <c r="A27" s="316"/>
      <c r="B27" s="202" t="str">
        <f>'Circuit Civil'!J10</f>
        <v>04/01/16 - 06/30/16</v>
      </c>
      <c r="C27" s="199">
        <f>'Circuit Civil'!$H$8</f>
        <v>0.9</v>
      </c>
      <c r="D27" s="200" t="str">
        <f>IF('Circuit Civil'!$J$22&lt;C27, 'Circuit Civil'!$J$22, "")</f>
        <v/>
      </c>
      <c r="E27" s="201" t="str">
        <f>IF(IFERROR('Circuit Civil'!L19:L19,"ERROR")="ERROR","",IF('Circuit Civil'!L19:L19 =0,"",'Circuit Civil'!L19:L19))</f>
        <v/>
      </c>
      <c r="F27" s="221" t="str">
        <f>IF(IFERROR('Circuit Civil'!M19:M19,"ERROR")="ERROR","",IF('Circuit Civil'!M19:M19 =0,"",'Circuit Civil'!M19:M19))</f>
        <v/>
      </c>
    </row>
    <row r="28" spans="1:6" ht="13.8" thickBot="1" x14ac:dyDescent="0.3">
      <c r="A28" s="317"/>
      <c r="B28" s="204" t="str">
        <f>'Circuit Civil'!K10</f>
        <v>07/01/16 - 09/30/16</v>
      </c>
      <c r="C28" s="208">
        <f>'Circuit Civil'!$H$8</f>
        <v>0.9</v>
      </c>
      <c r="D28" s="206" t="str">
        <f>IF('Circuit Civil'!$K$26&lt;C28, 'Circuit Civil'!$K$26, "")</f>
        <v/>
      </c>
      <c r="E28" s="207" t="str">
        <f>IF(IFERROR('Circuit Civil'!L23:L23,"ERROR")="ERROR","",IF('Circuit Civil'!L23:L23 =0,"",'Circuit Civil'!L23:L23))</f>
        <v/>
      </c>
      <c r="F28" s="222" t="str">
        <f>IF(IFERROR('Circuit Civil'!M23:M23,"ERROR")="ERROR","",IF('Circuit Civil'!M23:M23 =0,"",'Circuit Civil'!M23:M23))</f>
        <v/>
      </c>
    </row>
    <row r="29" spans="1:6" x14ac:dyDescent="0.25">
      <c r="A29" s="315" t="s">
        <v>43</v>
      </c>
      <c r="B29" s="198" t="str">
        <f>'County Civil'!H10</f>
        <v>10/01/15 - 12/31/15</v>
      </c>
      <c r="C29" s="199">
        <f>'County Civil'!$H$8</f>
        <v>0.9</v>
      </c>
      <c r="D29" s="200" t="str">
        <f>IF('County Civil'!$H$14&lt;C29, 'County Civil'!$H$14, "")</f>
        <v/>
      </c>
      <c r="E29" s="201" t="str">
        <f>IF(IFERROR('County Civil'!L11:L11,"ERROR")="ERROR","",IF('County Civil'!L11:L11 =0,"",'County Civil'!L11:L11))</f>
        <v/>
      </c>
      <c r="F29" s="221" t="str">
        <f>IF(IFERROR('County Civil'!M11:M11,"ERROR")="ERROR","",IF('County Civil'!M11:M11 =0,"",'County Civil'!M11:M11))</f>
        <v/>
      </c>
    </row>
    <row r="30" spans="1:6" x14ac:dyDescent="0.25">
      <c r="A30" s="316"/>
      <c r="B30" s="202" t="str">
        <f>'County Civil'!I10</f>
        <v>01/01/16 - 03/31/16</v>
      </c>
      <c r="C30" s="199">
        <f>'County Civil'!$H$8</f>
        <v>0.9</v>
      </c>
      <c r="D30" s="200" t="str">
        <f>IF('County Civil'!$I$18&lt;C30, 'County Civil'!$I$18, "")</f>
        <v/>
      </c>
      <c r="E30" s="201" t="str">
        <f>IF(IFERROR('County Civil'!L15:L15,"ERROR")="ERROR","",IF('County Civil'!L15:L15 =0,"",'County Civil'!L15:L15))</f>
        <v/>
      </c>
      <c r="F30" s="221" t="str">
        <f>IF(IFERROR('County Civil'!M15:M15,"ERROR")="ERROR","",IF('County Civil'!M15:M15 =0,"",'County Civil'!M15:M15))</f>
        <v/>
      </c>
    </row>
    <row r="31" spans="1:6" x14ac:dyDescent="0.25">
      <c r="A31" s="316"/>
      <c r="B31" s="202" t="str">
        <f>'County Civil'!J10</f>
        <v>04/01/16 - 06/30/16</v>
      </c>
      <c r="C31" s="199">
        <f>'County Civil'!$H$8</f>
        <v>0.9</v>
      </c>
      <c r="D31" s="200" t="str">
        <f>IF('County Civil'!$J$22&lt;C31, 'County Civil'!$J$22, "")</f>
        <v/>
      </c>
      <c r="E31" s="201" t="str">
        <f>IF(IFERROR('County Civil'!L19:L19,"ERROR")="ERROR","",IF('County Civil'!L19:L19 =0,"",'County Civil'!L19:L19))</f>
        <v/>
      </c>
      <c r="F31" s="221" t="str">
        <f>IF(IFERROR('County Civil'!M19:M19,"ERROR")="ERROR","",IF('County Civil'!M19:M19 =0,"",'County Civil'!M19:M19))</f>
        <v/>
      </c>
    </row>
    <row r="32" spans="1:6" ht="13.8" thickBot="1" x14ac:dyDescent="0.3">
      <c r="A32" s="317"/>
      <c r="B32" s="204" t="str">
        <f>'County Civil'!K10</f>
        <v>07/01/16 - 09/30/16</v>
      </c>
      <c r="C32" s="208">
        <f>'County Civil'!$H$8</f>
        <v>0.9</v>
      </c>
      <c r="D32" s="206" t="str">
        <f>IF('County Civil'!$K$26&lt;C32, 'County Civil'!$K$26, "")</f>
        <v/>
      </c>
      <c r="E32" s="207" t="str">
        <f>IF(IFERROR('County Civil'!L23:L23,"ERROR")="ERROR","",IF('County Civil'!L23:L23 =0,"",'County Civil'!L23:L23))</f>
        <v/>
      </c>
      <c r="F32" s="222" t="str">
        <f>IF(IFERROR('County Civil'!M23:M23,"ERROR")="ERROR","",IF('County Civil'!M23:M23 =0,"",'County Civil'!M23:M23))</f>
        <v/>
      </c>
    </row>
    <row r="33" spans="1:6" ht="26.4" x14ac:dyDescent="0.25">
      <c r="A33" s="315" t="s">
        <v>44</v>
      </c>
      <c r="B33" s="198" t="str">
        <f>'Civil Traffic'!H10</f>
        <v>10/01/15 - 12/31/15</v>
      </c>
      <c r="C33" s="199">
        <f>'Civil Traffic'!$H$8</f>
        <v>0.9</v>
      </c>
      <c r="D33" s="200">
        <f>IF('Civil Traffic'!$H$14&lt;C33, 'Civil Traffic'!$H$14, "")</f>
        <v>0.89573428575340108</v>
      </c>
      <c r="E33" s="201" t="str">
        <f>IF(IFERROR('Civil Traffic'!L11:L11,"ERROR")="ERROR","",IF('Civil Traffic'!L11:L11 =0,"",'Civil Traffic'!L11:L11))</f>
        <v>External</v>
      </c>
      <c r="F33" s="221" t="str">
        <f>IF(IFERROR('Civil Traffic'!M11:M11,"ERROR")="ERROR","",IF('Civil Traffic'!M11:M11 =0,"",'Civil Traffic'!M11:M11))</f>
        <v>The standard was not met despite pursuit of all collection efforts within the control the Clerk.  By the end of this fiscal year, we anticipate a change by the judiciary which will require payment on the day of sentencing with direction to either pay in full or enroll in a payment plan.</v>
      </c>
    </row>
    <row r="34" spans="1:6" x14ac:dyDescent="0.25">
      <c r="A34" s="316"/>
      <c r="B34" s="202" t="str">
        <f>'Civil Traffic'!I10</f>
        <v>01/01/16 - 03/31/16</v>
      </c>
      <c r="C34" s="199">
        <f>'Civil Traffic'!$H$8</f>
        <v>0.9</v>
      </c>
      <c r="D34" s="200">
        <f>IF('Civil Traffic'!$I$18&lt;C34, 'Civil Traffic'!$I$18, "")</f>
        <v>0.89908115820142742</v>
      </c>
      <c r="E34" s="201" t="str">
        <f>IF(IFERROR('Civil Traffic'!L15:L15,"ERROR")="ERROR","",IF('Civil Traffic'!L15:L15 =0,"",'Civil Traffic'!L15:L15))</f>
        <v/>
      </c>
      <c r="F34" s="221" t="str">
        <f>IF(IFERROR('Civil Traffic'!M15:M15,"ERROR")="ERROR","",IF('Civil Traffic'!M15:M15 =0,"",'Civil Traffic'!M15:M15))</f>
        <v/>
      </c>
    </row>
    <row r="35" spans="1:6" x14ac:dyDescent="0.25">
      <c r="A35" s="316"/>
      <c r="B35" s="202" t="str">
        <f>'Civil Traffic'!J10</f>
        <v>04/01/16 - 06/30/16</v>
      </c>
      <c r="C35" s="199">
        <f>'Civil Traffic'!$H$8</f>
        <v>0.9</v>
      </c>
      <c r="D35" s="200" t="str">
        <f>IF('Civil Traffic'!$J$22&lt;C35, 'Civil Traffic'!$J$22, "")</f>
        <v/>
      </c>
      <c r="E35" s="201" t="str">
        <f>IF(IFERROR('Civil Traffic'!L19:L19,"ERROR")="ERROR","",IF('Civil Traffic'!L19:L19 =0,"",'Civil Traffic'!L19:L19))</f>
        <v/>
      </c>
      <c r="F35" s="221" t="str">
        <f>IF(IFERROR('Civil Traffic'!M19:M19,"ERROR")="ERROR","",IF('Civil Traffic'!M19:M19 =0,"",'Civil Traffic'!M19:M19))</f>
        <v/>
      </c>
    </row>
    <row r="36" spans="1:6" ht="13.8" thickBot="1" x14ac:dyDescent="0.3">
      <c r="A36" s="317"/>
      <c r="B36" s="204" t="str">
        <f>'Civil Traffic'!K10</f>
        <v>07/01/16 - 09/30/16</v>
      </c>
      <c r="C36" s="208">
        <f>'Civil Traffic'!$H$8</f>
        <v>0.9</v>
      </c>
      <c r="D36" s="206" t="str">
        <f>IF('Civil Traffic'!$K$26&lt;C36, 'Civil Traffic'!$K$26, "")</f>
        <v/>
      </c>
      <c r="E36" s="207" t="str">
        <f>IF(IFERROR('Civil Traffic'!L23:L23,"ERROR")="ERROR","",IF('Civil Traffic'!L23:L23 =0,"",'Civil Traffic'!L23:L23))</f>
        <v/>
      </c>
      <c r="F36" s="222" t="str">
        <f>IF(IFERROR('Civil Traffic'!M23:M23,"ERROR")="ERROR","",IF('Civil Traffic'!M23:M23 =0,"",'Civil Traffic'!M23:M23))</f>
        <v/>
      </c>
    </row>
    <row r="37" spans="1:6" x14ac:dyDescent="0.25">
      <c r="A37" s="315" t="s">
        <v>45</v>
      </c>
      <c r="B37" s="198" t="str">
        <f>Probate!H10</f>
        <v>10/01/15 - 12/31/15</v>
      </c>
      <c r="C37" s="199">
        <f>Probate!$H$8</f>
        <v>0.9</v>
      </c>
      <c r="D37" s="200" t="str">
        <f>IF(Probate!$H$14&lt;C37, Probate!$H$14, "")</f>
        <v/>
      </c>
      <c r="E37" s="201" t="str">
        <f>IF(IFERROR(Probate!L11:L11,"ERROR")="ERROR","",IF(Probate!L11:L11 =0,"",Probate!L11:L11))</f>
        <v/>
      </c>
      <c r="F37" s="221" t="str">
        <f>IF(IFERROR(Probate!M11:M11,"ERROR")="ERROR","",IF(Probate!M11:M11 =0,"",Probate!M11:M11))</f>
        <v/>
      </c>
    </row>
    <row r="38" spans="1:6" x14ac:dyDescent="0.25">
      <c r="A38" s="316"/>
      <c r="B38" s="202" t="str">
        <f>Probate!I10</f>
        <v>01/01/16 - 03/31/16</v>
      </c>
      <c r="C38" s="199">
        <f>Probate!$H$8</f>
        <v>0.9</v>
      </c>
      <c r="D38" s="200" t="str">
        <f>IF(Probate!$I$18&lt;C38, Probate!$I$18, "")</f>
        <v/>
      </c>
      <c r="E38" s="201" t="str">
        <f>IF(IFERROR(Probate!L15:L15,"ERROR")="ERROR","",IF(Probate!L15:L15 =0,"",Probate!L15:L15))</f>
        <v/>
      </c>
      <c r="F38" s="221" t="str">
        <f>IF(IFERROR(Probate!M15:M15,"ERROR")="ERROR","",IF(Probate!M15:M15 =0,"",Probate!M15:M15))</f>
        <v/>
      </c>
    </row>
    <row r="39" spans="1:6" x14ac:dyDescent="0.25">
      <c r="A39" s="316"/>
      <c r="B39" s="202" t="str">
        <f>Probate!J10</f>
        <v>04/01/16 - 06/30/16</v>
      </c>
      <c r="C39" s="199">
        <f>Probate!$H$8</f>
        <v>0.9</v>
      </c>
      <c r="D39" s="200" t="str">
        <f>IF(Probate!$J$22&lt;C39, Probate!$J$22, "")</f>
        <v/>
      </c>
      <c r="E39" s="201" t="str">
        <f>IF(IFERROR(Probate!L19:L19,"ERROR")="ERROR","",IF(Probate!L19:L19 =0,"",Probate!L19:L19))</f>
        <v/>
      </c>
      <c r="F39" s="221" t="str">
        <f>IF(IFERROR(Probate!M19:M19,"ERROR")="ERROR","",IF(Probate!M19:M19 =0,"",Probate!M19:M19))</f>
        <v/>
      </c>
    </row>
    <row r="40" spans="1:6" ht="13.8" thickBot="1" x14ac:dyDescent="0.3">
      <c r="A40" s="317"/>
      <c r="B40" s="204" t="str">
        <f>Probate!K10</f>
        <v>07/01/16 - 09/30/16</v>
      </c>
      <c r="C40" s="208">
        <f>Probate!$H$8</f>
        <v>0.9</v>
      </c>
      <c r="D40" s="206" t="str">
        <f>IF(Probate!$K$26&lt;C40, Probate!$K$26, "")</f>
        <v/>
      </c>
      <c r="E40" s="207" t="str">
        <f>IF(IFERROR(Probate!L23:L23,"ERROR")="ERROR","",IF(Probate!L23:L23 =0,"",Probate!L23:L23))</f>
        <v/>
      </c>
      <c r="F40" s="222" t="str">
        <f>IF(IFERROR(Probate!M23:M23,"ERROR")="ERROR","",IF(Probate!M23:M23 =0,"",Probate!M23:M23))</f>
        <v/>
      </c>
    </row>
    <row r="41" spans="1:6" x14ac:dyDescent="0.25">
      <c r="A41" s="315" t="s">
        <v>46</v>
      </c>
      <c r="B41" s="198" t="str">
        <f>Family!H10</f>
        <v>10/01/15 - 12/31/15</v>
      </c>
      <c r="C41" s="199">
        <f>Family!$H$8</f>
        <v>0.75</v>
      </c>
      <c r="D41" s="200" t="str">
        <f>IF(Family!$H$14&lt;C41, Family!$H$14, "")</f>
        <v/>
      </c>
      <c r="E41" s="201" t="str">
        <f>IF(IFERROR(Family!L11:L11,"ERROR")="ERROR","",IF(Family!L11:L11 =0,"",Family!L11:L11))</f>
        <v/>
      </c>
      <c r="F41" s="221" t="str">
        <f>IF(IFERROR(Family!M11:M11,"ERROR")="ERROR","",IF(Family!M11:M11 =0,"",Family!M11:M11))</f>
        <v/>
      </c>
    </row>
    <row r="42" spans="1:6" x14ac:dyDescent="0.25">
      <c r="A42" s="316"/>
      <c r="B42" s="202" t="str">
        <f>Probate!I10</f>
        <v>01/01/16 - 03/31/16</v>
      </c>
      <c r="C42" s="199">
        <f>Family!$H$8</f>
        <v>0.75</v>
      </c>
      <c r="D42" s="200" t="str">
        <f>IF(Family!$I$18&lt;C42, Family!$I$18, "")</f>
        <v/>
      </c>
      <c r="E42" s="201" t="str">
        <f>IF(IFERROR(Family!L15:L15,"ERROR")="ERROR","",IF(Family!L15:L15 =0,"",Family!L15:L15))</f>
        <v/>
      </c>
      <c r="F42" s="221" t="str">
        <f>IF(IFERROR(Family!M15:M15,"ERROR")="ERROR","",IF(Family!M15:M15 =0,"",Family!M15:M15))</f>
        <v/>
      </c>
    </row>
    <row r="43" spans="1:6" x14ac:dyDescent="0.25">
      <c r="A43" s="316"/>
      <c r="B43" s="202" t="str">
        <f>Family!J10</f>
        <v>04/01/16 - 06/30/16</v>
      </c>
      <c r="C43" s="199">
        <f>Family!$H$8</f>
        <v>0.75</v>
      </c>
      <c r="D43" s="200" t="str">
        <f>IF(Family!$J$22&lt;C43, Family!$J$22, "")</f>
        <v/>
      </c>
      <c r="E43" s="201" t="str">
        <f>IF(IFERROR(Family!L19:L19,"ERROR")="ERROR","",IF(Family!L19:L19 =0,"",Family!L19:L19))</f>
        <v/>
      </c>
      <c r="F43" s="221" t="str">
        <f>IF(IFERROR(Family!M19:M19,"ERROR")="ERROR","",IF(Family!M19:M19 =0,"",Family!M19:M19))</f>
        <v/>
      </c>
    </row>
    <row r="44" spans="1:6" ht="13.8" thickBot="1" x14ac:dyDescent="0.3">
      <c r="A44" s="317"/>
      <c r="B44" s="204" t="str">
        <f>Family!K10</f>
        <v>07/01/16 - 09/30/16</v>
      </c>
      <c r="C44" s="208">
        <f>Family!$H$8</f>
        <v>0.75</v>
      </c>
      <c r="D44" s="206" t="str">
        <f>IF(Family!$K$26&lt;C44, Family!$K$26, "")</f>
        <v/>
      </c>
      <c r="E44" s="207" t="str">
        <f>IF(IFERROR(Family!L23:L23,"ERROR")="ERROR","",IF(Family!L23:L23 =0,"",Family!L23:L23))</f>
        <v/>
      </c>
      <c r="F44" s="222" t="str">
        <f>IF(IFERROR(Family!M23:M23,"ERROR")="ERROR","",IF(Family!M23:M23 =0,"",Family!M23:M23))</f>
        <v/>
      </c>
    </row>
    <row r="45" spans="1:6" x14ac:dyDescent="0.25">
      <c r="E45" s="209"/>
    </row>
  </sheetData>
  <sheetProtection algorithmName="SHA-512" hashValue="uNDFeoTw5lPXqKXKgN3n1D6Kd2Qa4oWsfP4CqeQVdr3b3mRFI3FMX/sRj/SscFsPGZ87+ac6gdP3Oj3kmLlw/w==" saltValue="39mhMUc6l+EL+aBqqVQ6SA==" spinCount="100000" sheet="1" objects="1" scenarios="1"/>
  <mergeCells count="10">
    <mergeCell ref="C6:D6"/>
    <mergeCell ref="A33:A36"/>
    <mergeCell ref="A37:A40"/>
    <mergeCell ref="A41:A44"/>
    <mergeCell ref="A9:A12"/>
    <mergeCell ref="A13:A16"/>
    <mergeCell ref="A17:A20"/>
    <mergeCell ref="A21:A24"/>
    <mergeCell ref="A25:A28"/>
    <mergeCell ref="A29:A32"/>
  </mergeCells>
  <pageMargins left="0.2" right="0.2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  <pageSetUpPr fitToPage="1"/>
  </sheetPr>
  <dimension ref="A1:Y80"/>
  <sheetViews>
    <sheetView showGridLines="0" topLeftCell="B2" zoomScale="75" zoomScaleNormal="75" zoomScaleSheetLayoutView="75" workbookViewId="0">
      <selection activeCell="I30" sqref="I30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1" width="18.6640625" style="1" customWidth="1"/>
    <col min="12" max="12" width="22.109375" style="1" customWidth="1"/>
    <col min="13" max="13" width="31.109375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40.109375" style="1" hidden="1" customWidth="1"/>
    <col min="22" max="22" width="11.5546875" style="1" hidden="1" customWidth="1"/>
    <col min="23" max="23" width="1.6640625" style="1" hidden="1" customWidth="1"/>
    <col min="24" max="24" width="5.33203125" style="1" hidden="1" customWidth="1"/>
    <col min="25" max="16384" width="9.109375" style="1"/>
  </cols>
  <sheetData>
    <row r="1" spans="1:25" ht="33" hidden="1" customHeight="1" x14ac:dyDescent="0.25"/>
    <row r="2" spans="1:25" ht="22.8" x14ac:dyDescent="0.4">
      <c r="K2" s="2"/>
      <c r="L2" s="2"/>
      <c r="M2" s="2" t="s">
        <v>241</v>
      </c>
      <c r="N2" s="2"/>
      <c r="T2" s="91" t="s">
        <v>48</v>
      </c>
    </row>
    <row r="3" spans="1:25" ht="22.8" x14ac:dyDescent="0.4">
      <c r="K3" s="2"/>
      <c r="L3" s="2"/>
      <c r="M3" s="2" t="s">
        <v>16</v>
      </c>
      <c r="N3" s="2"/>
      <c r="T3" s="91" t="s">
        <v>47</v>
      </c>
    </row>
    <row r="4" spans="1:25" ht="25.5" customHeight="1" x14ac:dyDescent="0.25">
      <c r="A4" s="3"/>
      <c r="C4" s="4" t="s">
        <v>28</v>
      </c>
      <c r="D4" s="38" t="str">
        <f>'Circuit Criminal'!$D$4</f>
        <v>March 2016</v>
      </c>
      <c r="O4" s="5"/>
      <c r="P4" s="5"/>
      <c r="T4" s="91" t="s">
        <v>49</v>
      </c>
    </row>
    <row r="5" spans="1:25" ht="18" customHeight="1" x14ac:dyDescent="0.25">
      <c r="A5" s="3"/>
      <c r="C5" s="4" t="s">
        <v>10</v>
      </c>
      <c r="D5" s="37">
        <f>'Circuit Criminal'!$D$5</f>
        <v>1</v>
      </c>
      <c r="T5" s="91" t="s">
        <v>50</v>
      </c>
    </row>
    <row r="6" spans="1:25" ht="24.75" customHeight="1" x14ac:dyDescent="0.25">
      <c r="A6" s="3"/>
      <c r="C6" s="6" t="s">
        <v>9</v>
      </c>
      <c r="D6" s="300" t="str">
        <f>'Circuit Criminal'!D6</f>
        <v>Brevard</v>
      </c>
      <c r="E6" s="300"/>
      <c r="F6" s="293" t="s">
        <v>226</v>
      </c>
      <c r="G6" s="293"/>
      <c r="H6" s="293"/>
      <c r="I6" s="293"/>
      <c r="J6" s="293"/>
      <c r="K6" s="293"/>
      <c r="L6" s="293"/>
      <c r="M6" s="293"/>
      <c r="N6" s="91"/>
      <c r="T6" s="91" t="s">
        <v>51</v>
      </c>
    </row>
    <row r="7" spans="1:25" ht="11.25" customHeight="1" x14ac:dyDescent="0.25">
      <c r="A7" s="3"/>
      <c r="F7" s="189"/>
      <c r="G7" s="189"/>
      <c r="H7" s="189"/>
      <c r="I7" s="189"/>
      <c r="J7" s="189"/>
      <c r="K7" s="189"/>
      <c r="T7" s="91" t="s">
        <v>52</v>
      </c>
    </row>
    <row r="8" spans="1:25" ht="16.5" customHeight="1" x14ac:dyDescent="0.25">
      <c r="A8" s="3"/>
      <c r="C8" s="6" t="s">
        <v>27</v>
      </c>
      <c r="D8" s="284" t="s">
        <v>273</v>
      </c>
      <c r="E8" s="284"/>
      <c r="F8" s="296" t="s">
        <v>225</v>
      </c>
      <c r="G8" s="297"/>
      <c r="H8" s="297"/>
      <c r="I8" s="297"/>
      <c r="J8" s="297"/>
      <c r="K8" s="297"/>
      <c r="L8" s="297"/>
      <c r="M8" s="297"/>
      <c r="T8" s="91" t="s">
        <v>53</v>
      </c>
    </row>
    <row r="9" spans="1:25" ht="34.5" customHeight="1" x14ac:dyDescent="0.25">
      <c r="A9" s="3"/>
      <c r="C9" s="6"/>
      <c r="D9" s="190"/>
      <c r="E9" s="190"/>
      <c r="F9" s="296" t="s">
        <v>227</v>
      </c>
      <c r="G9" s="297"/>
      <c r="H9" s="297"/>
      <c r="I9" s="297"/>
      <c r="J9" s="297"/>
      <c r="K9" s="297"/>
      <c r="L9" s="297"/>
      <c r="M9" s="297"/>
      <c r="T9" s="91"/>
    </row>
    <row r="10" spans="1:25" ht="15.6" x14ac:dyDescent="0.3">
      <c r="A10" s="7"/>
      <c r="B10" s="3"/>
      <c r="J10" s="8"/>
      <c r="K10" s="9"/>
      <c r="L10" s="294"/>
      <c r="M10" s="294"/>
      <c r="N10" s="90">
        <v>1</v>
      </c>
      <c r="O10" s="10">
        <v>1</v>
      </c>
      <c r="P10" s="1" t="s">
        <v>199</v>
      </c>
      <c r="Q10" s="1">
        <v>1</v>
      </c>
      <c r="T10" s="91" t="s">
        <v>54</v>
      </c>
    </row>
    <row r="11" spans="1:25" s="11" customFormat="1" ht="26.25" customHeight="1" x14ac:dyDescent="0.25">
      <c r="B11" s="19"/>
      <c r="C11" s="20" t="s">
        <v>17</v>
      </c>
      <c r="D11" s="100" t="s">
        <v>203</v>
      </c>
      <c r="E11" s="34" t="s">
        <v>204</v>
      </c>
      <c r="F11" s="34" t="s">
        <v>205</v>
      </c>
      <c r="G11" s="102" t="s">
        <v>206</v>
      </c>
      <c r="H11" s="100" t="s">
        <v>244</v>
      </c>
      <c r="I11" s="34" t="s">
        <v>245</v>
      </c>
      <c r="J11" s="34" t="s">
        <v>246</v>
      </c>
      <c r="K11" s="102" t="s">
        <v>247</v>
      </c>
      <c r="L11" s="248" t="s">
        <v>266</v>
      </c>
      <c r="M11" s="249"/>
      <c r="N11" s="87"/>
      <c r="O11" s="10">
        <v>2</v>
      </c>
      <c r="P11" s="215"/>
      <c r="Q11" s="216"/>
      <c r="R11" s="215"/>
      <c r="S11" s="215"/>
      <c r="T11" s="217" t="s">
        <v>55</v>
      </c>
      <c r="U11" s="215"/>
      <c r="V11" s="218">
        <v>5</v>
      </c>
      <c r="W11" s="215"/>
      <c r="X11" s="215"/>
      <c r="Y11" s="215"/>
    </row>
    <row r="12" spans="1:25" ht="15.75" customHeight="1" x14ac:dyDescent="0.25">
      <c r="A12" s="276" t="str">
        <f>LEFT(B12,3)&amp;" "&amp;RIGHT(B12,6)</f>
        <v>CGE CQ1-16</v>
      </c>
      <c r="B12" s="263" t="s">
        <v>207</v>
      </c>
      <c r="C12" s="119" t="s">
        <v>211</v>
      </c>
      <c r="D12" s="34" t="s">
        <v>18</v>
      </c>
      <c r="E12" s="34" t="s">
        <v>19</v>
      </c>
      <c r="F12" s="34" t="s">
        <v>20</v>
      </c>
      <c r="G12" s="34" t="s">
        <v>21</v>
      </c>
      <c r="H12" s="34" t="s">
        <v>22</v>
      </c>
      <c r="I12" s="295"/>
      <c r="J12" s="95"/>
      <c r="K12" s="191"/>
      <c r="L12" s="234" t="s">
        <v>268</v>
      </c>
      <c r="M12" s="195">
        <f>'Circuit Criminal'!H12-'Circ Crim Drug Trfc Cases'!H13</f>
        <v>103958.79</v>
      </c>
      <c r="N12" s="219" t="s">
        <v>188</v>
      </c>
      <c r="O12" s="10">
        <v>3</v>
      </c>
      <c r="P12" s="216"/>
      <c r="Q12" s="216">
        <v>3</v>
      </c>
      <c r="R12" s="216"/>
      <c r="S12" s="216"/>
      <c r="T12" s="217" t="s">
        <v>56</v>
      </c>
      <c r="U12" s="216" t="str">
        <f>D6&amp;" "&amp;D8</f>
        <v>Brevard Circuit Criminal Drug Trafficking  Cases</v>
      </c>
      <c r="V12" s="220">
        <v>0.15</v>
      </c>
      <c r="W12" s="216"/>
      <c r="X12" s="216"/>
      <c r="Y12" s="216"/>
    </row>
    <row r="13" spans="1:25" ht="15.75" customHeight="1" x14ac:dyDescent="0.25">
      <c r="A13" s="277"/>
      <c r="B13" s="264"/>
      <c r="C13" s="22" t="s">
        <v>23</v>
      </c>
      <c r="D13" s="158">
        <f>LOOKUP($U$12,Lookup!$C$3:$C$672,Lookup!I$3:I$672)</f>
        <v>222</v>
      </c>
      <c r="E13" s="158">
        <f>LOOKUP($U$12,Lookup!$C$3:$C$672,Lookup!J$3:J$672)</f>
        <v>200</v>
      </c>
      <c r="F13" s="158">
        <f>LOOKUP($U$12,Lookup!$C$3:$C$672,Lookup!K$3:K$672)</f>
        <v>200</v>
      </c>
      <c r="G13" s="158">
        <f>LOOKUP($U$12,Lookup!$C$3:$C$672,Lookup!L$3:L$672)</f>
        <v>200</v>
      </c>
      <c r="H13" s="144">
        <v>200</v>
      </c>
      <c r="I13" s="281"/>
      <c r="J13" s="96"/>
      <c r="K13" s="113"/>
      <c r="L13" s="234" t="s">
        <v>267</v>
      </c>
      <c r="M13" s="195">
        <f>'Circuit Criminal'!H13-'Circ Crim Drug Trfc Cases'!H14</f>
        <v>542476.94999999995</v>
      </c>
      <c r="N13" s="26" t="s">
        <v>189</v>
      </c>
      <c r="O13" s="10">
        <v>4</v>
      </c>
      <c r="Q13" s="1">
        <v>4</v>
      </c>
      <c r="T13" s="91" t="s">
        <v>57</v>
      </c>
      <c r="U13" s="1" t="str">
        <f>IF(P14=TRUE,A12,"")</f>
        <v>CGE CQ1-16</v>
      </c>
    </row>
    <row r="14" spans="1:25" ht="15.75" customHeight="1" thickBot="1" x14ac:dyDescent="0.3">
      <c r="A14" s="277"/>
      <c r="B14" s="264"/>
      <c r="C14" s="22" t="s">
        <v>24</v>
      </c>
      <c r="D14" s="160">
        <f>LOOKUP($U$12,Lookup!$C$3:$C$672,Lookup!D$3:D$672)</f>
        <v>2308</v>
      </c>
      <c r="E14" s="160">
        <f>LOOKUP($U$12,Lookup!$C$3:$C$672,Lookup!E$3:E$672)</f>
        <v>2556</v>
      </c>
      <c r="F14" s="160">
        <f>LOOKUP($U$12,Lookup!$C$3:$C$672,Lookup!F$3:F$672)</f>
        <v>2506</v>
      </c>
      <c r="G14" s="160">
        <f>LOOKUP($U$12,Lookup!$C$3:$C$672,Lookup!G$3:G$672)</f>
        <v>2506</v>
      </c>
      <c r="H14" s="54">
        <v>2506</v>
      </c>
      <c r="I14" s="282"/>
      <c r="J14" s="96"/>
      <c r="K14" s="113"/>
      <c r="L14" s="250" t="s">
        <v>269</v>
      </c>
      <c r="M14" s="251">
        <f>M12/M13</f>
        <v>0.19163724836603657</v>
      </c>
      <c r="N14" s="26" t="s">
        <v>191</v>
      </c>
      <c r="O14" s="10">
        <v>5</v>
      </c>
      <c r="P14" s="1" t="b">
        <f>OR(AND(E13&lt;D13,E13&gt;0),AND(F13&lt;E13,F13&gt;0),AND(G13&lt;F13,G13&gt;0),AND(H13&lt;G13,H13&gt;0),AND(F14&gt;E14,E14&gt;0),AND(G14&gt;F14,F14&gt;0),AND(H14&lt;G14,G14&gt;0))</f>
        <v>1</v>
      </c>
      <c r="Q14" s="1">
        <v>5</v>
      </c>
      <c r="T14" s="91" t="s">
        <v>58</v>
      </c>
      <c r="U14" s="1" t="str">
        <f>IF(P15=TRUE,A16,"")</f>
        <v/>
      </c>
    </row>
    <row r="15" spans="1:25" ht="15.75" customHeight="1" thickBot="1" x14ac:dyDescent="0.3">
      <c r="A15" s="278"/>
      <c r="B15" s="265"/>
      <c r="C15" s="23" t="s">
        <v>25</v>
      </c>
      <c r="D15" s="145">
        <f>IF(ISBLANK(D13),"N/A",IF(OR(D13=0,D13="N/A"),0,D13/D14))</f>
        <v>9.618717504332755E-2</v>
      </c>
      <c r="E15" s="145">
        <f>IF(ISBLANK(E13),"N/A",IF(OR(E13=0,E13="N/A"),0,E13/E14))</f>
        <v>7.82472613458529E-2</v>
      </c>
      <c r="F15" s="145">
        <f>IF(ISBLANK(F13),"N/A",IF(OR(F13=0,F13="N/A"),0,F13/F14))</f>
        <v>7.9808459696727854E-2</v>
      </c>
      <c r="G15" s="145">
        <f>IF(ISBLANK(G13),"N/A",IF(OR(G13=0,G13="N/A"),0,G13/G14))</f>
        <v>7.9808459696727854E-2</v>
      </c>
      <c r="H15" s="145">
        <f>IF(ISBLANK(H13),"N/A",IF(AND(H13=0,H14=0,NOT(ISBLANK(H13)),NOT(ISBLANK(H14))),1,H13/H14))</f>
        <v>7.9808459696727854E-2</v>
      </c>
      <c r="I15" s="283"/>
      <c r="J15" s="96"/>
      <c r="K15" s="113"/>
      <c r="L15" s="298"/>
      <c r="M15" s="299"/>
      <c r="N15" s="117" t="s">
        <v>200</v>
      </c>
      <c r="O15" s="10"/>
      <c r="P15" s="1" t="b">
        <f>OR(AND(F17&lt;E17,F17&gt;0),AND(G17&lt;F17,G17&gt;0),AND(H17&lt;G17,H17&gt;0),AND(I17&lt;H17,I17&gt;0),AND(G18&gt;F18, F18&gt;0),AND(H18&gt;G18, G18&gt;0),AND(I18&lt;H18,I18&gt;0))</f>
        <v>0</v>
      </c>
      <c r="Q15" s="1">
        <v>6</v>
      </c>
      <c r="T15" s="91" t="s">
        <v>59</v>
      </c>
      <c r="U15" s="1" t="str">
        <f>IF(P16=TRUE,A20,"")</f>
        <v>CGE CQ3-16</v>
      </c>
    </row>
    <row r="16" spans="1:25" ht="15.75" customHeight="1" x14ac:dyDescent="0.25">
      <c r="A16" s="276" t="str">
        <f>LEFT(B16,3)&amp;" "&amp;RIGHT(B16,6)</f>
        <v>CGE CQ2-16</v>
      </c>
      <c r="B16" s="266" t="s">
        <v>208</v>
      </c>
      <c r="C16" s="119" t="s">
        <v>212</v>
      </c>
      <c r="D16" s="161"/>
      <c r="E16" s="34" t="s">
        <v>18</v>
      </c>
      <c r="F16" s="34" t="s">
        <v>19</v>
      </c>
      <c r="G16" s="34" t="s">
        <v>20</v>
      </c>
      <c r="H16" s="34" t="s">
        <v>21</v>
      </c>
      <c r="I16" s="34" t="s">
        <v>22</v>
      </c>
      <c r="J16" s="98"/>
      <c r="K16" s="113"/>
      <c r="L16" s="234" t="s">
        <v>268</v>
      </c>
      <c r="M16" s="195">
        <f>'Circuit Criminal'!I16-'Circ Crim Drug Trfc Cases'!I17</f>
        <v>111934.61</v>
      </c>
      <c r="N16" s="26" t="s">
        <v>192</v>
      </c>
      <c r="O16" s="10"/>
      <c r="P16" s="1" t="b">
        <f>OR(AND(G21&lt;F21,D11&gt;0),AND(H21&lt;G21,H21&gt;0),AND(I21&lt;H21,I21&gt;0),AND(J21&lt;I21,J21&gt;0),AND(H22&gt;G22, G22&gt;0),AND(I22&gt;H22, H22&gt;0),AND(J22&lt;I22, J22&gt;0))</f>
        <v>1</v>
      </c>
      <c r="Q16" s="1">
        <v>7</v>
      </c>
      <c r="T16" s="91" t="s">
        <v>60</v>
      </c>
      <c r="U16" s="1" t="str">
        <f>IF(P17=TRUE,A24,"")</f>
        <v/>
      </c>
    </row>
    <row r="17" spans="1:21" ht="15.75" customHeight="1" x14ac:dyDescent="0.25">
      <c r="A17" s="277"/>
      <c r="B17" s="267"/>
      <c r="C17" s="22" t="s">
        <v>23</v>
      </c>
      <c r="D17" s="161"/>
      <c r="E17" s="137">
        <f>LOOKUP($U$12,Lookup!$C$3:$C$672,Lookup!S$3:S$672)</f>
        <v>188</v>
      </c>
      <c r="F17" s="137">
        <f>LOOKUP($U$12,Lookup!$C$3:$C$672,Lookup!T$3:T$672)</f>
        <v>193</v>
      </c>
      <c r="G17" s="137">
        <f>LOOKUP($U$12,Lookup!$C$3:$C$672,Lookup!U$3:U$672)</f>
        <v>193</v>
      </c>
      <c r="H17" s="144">
        <v>193</v>
      </c>
      <c r="I17" s="144">
        <v>193</v>
      </c>
      <c r="J17" s="98"/>
      <c r="K17" s="113"/>
      <c r="L17" s="234" t="s">
        <v>267</v>
      </c>
      <c r="M17" s="195">
        <f>'Circuit Criminal'!I17-'Circ Crim Drug Trfc Cases'!I18</f>
        <v>490552.75</v>
      </c>
      <c r="N17" s="26" t="s">
        <v>193</v>
      </c>
      <c r="O17" s="10"/>
      <c r="P17" s="1" t="b">
        <f>OR(AND(H25&lt;G25, H25&gt;0),AND(I25&lt;H25, I25&gt;0),AND(J25&lt;I25, J25&gt;0),AND(K25&lt;J25, K25&gt;0),AND(I26&gt;H26, H26&gt;0),AND(J26&gt;I26, I26&gt;0),AND(K26&lt;J26, J26&gt;0))</f>
        <v>0</v>
      </c>
      <c r="Q17" s="1">
        <v>8</v>
      </c>
      <c r="T17" s="91" t="s">
        <v>61</v>
      </c>
      <c r="U17" s="1" t="str">
        <f>IF(P18=TRUE,A28,"")</f>
        <v/>
      </c>
    </row>
    <row r="18" spans="1:21" ht="15.75" customHeight="1" thickBot="1" x14ac:dyDescent="0.3">
      <c r="A18" s="277"/>
      <c r="B18" s="267"/>
      <c r="C18" s="22" t="s">
        <v>24</v>
      </c>
      <c r="D18" s="161"/>
      <c r="E18" s="138">
        <f>LOOKUP($U$12,Lookup!$C$3:$C$672,Lookup!N$3:N$672)</f>
        <v>213130</v>
      </c>
      <c r="F18" s="138">
        <f>LOOKUP($U$12,Lookup!$C$3:$C$672,Lookup!O$3:O$672)</f>
        <v>218080</v>
      </c>
      <c r="G18" s="138">
        <f>LOOKUP($U$12,Lookup!$C$3:$C$672,Lookup!P$3:P$672)</f>
        <v>213080</v>
      </c>
      <c r="H18" s="54">
        <v>213080</v>
      </c>
      <c r="I18" s="54">
        <v>213080</v>
      </c>
      <c r="J18" s="98"/>
      <c r="K18" s="113"/>
      <c r="L18" s="250" t="s">
        <v>269</v>
      </c>
      <c r="M18" s="251">
        <f>M16/M17</f>
        <v>0.22818057792969257</v>
      </c>
      <c r="N18" s="117" t="s">
        <v>201</v>
      </c>
      <c r="O18" s="10"/>
      <c r="P18" s="1" t="b">
        <f>OR(AND(I29&lt;H29, I29&gt;0),AND(J29&lt;I29, J29&gt;0),AND(K29&lt;J29, K29&gt;0),AND(J30&gt;I30, I30&gt;0),AND(K30&gt;J30, J30&gt;0))</f>
        <v>0</v>
      </c>
      <c r="Q18" s="1">
        <v>9</v>
      </c>
      <c r="T18" s="91" t="s">
        <v>62</v>
      </c>
      <c r="U18" s="1" t="str">
        <f>IF(P19=TRUE,A32,"")</f>
        <v/>
      </c>
    </row>
    <row r="19" spans="1:21" ht="15.75" customHeight="1" thickBot="1" x14ac:dyDescent="0.3">
      <c r="A19" s="278"/>
      <c r="B19" s="268"/>
      <c r="C19" s="24" t="s">
        <v>26</v>
      </c>
      <c r="D19" s="162"/>
      <c r="E19" s="145">
        <f>IF(ISBLANK(E17),"N/A",IF(OR(E17=0,E17="N/A"),0,E17/E18))</f>
        <v>8.8209074273917331E-4</v>
      </c>
      <c r="F19" s="145">
        <f>IF(ISBLANK(F17),"N/A",IF(OR(F17=0,F17="N/A"),0,F17/F18))</f>
        <v>8.8499633162142334E-4</v>
      </c>
      <c r="G19" s="145">
        <f>IF(ISBLANK(G17),"N/A",IF(OR(G17=0,G17="N/A"),0,G17/G18))</f>
        <v>9.0576309367373757E-4</v>
      </c>
      <c r="H19" s="145">
        <f>IF(ISBLANK(H17),"N/A",IF(AND(H17=0,H18=0,NOT(ISBLANK(H17)),NOT(ISBLANK(H18))),1,H17/H18))</f>
        <v>9.0576309367373757E-4</v>
      </c>
      <c r="I19" s="145">
        <f>IF(ISBLANK(I17),"N/A",IF(AND(I17=0,I18=0,NOT(ISBLANK(I17)),NOT(ISBLANK(I18))),1,I17/I18))</f>
        <v>9.0576309367373757E-4</v>
      </c>
      <c r="J19" s="99"/>
      <c r="K19" s="113"/>
      <c r="L19" s="298"/>
      <c r="M19" s="299"/>
      <c r="N19" s="117" t="s">
        <v>202</v>
      </c>
      <c r="O19" s="10"/>
      <c r="P19" s="1" t="b">
        <f>OR(AND(J33&lt;I33, J33&gt;0),AND(K33&lt;J33, K33&gt;0),AND(K34&gt;J34, J34&gt;0))</f>
        <v>0</v>
      </c>
      <c r="Q19" s="1">
        <v>10</v>
      </c>
      <c r="T19" s="91" t="s">
        <v>63</v>
      </c>
      <c r="U19" s="1" t="str">
        <f>IF(P20=TRUE,A36,"")</f>
        <v/>
      </c>
    </row>
    <row r="20" spans="1:21" ht="15.75" customHeight="1" x14ac:dyDescent="0.25">
      <c r="A20" s="276" t="str">
        <f>LEFT(B20,3)&amp;" "&amp;RIGHT(B20,6)</f>
        <v>CGE CQ3-16</v>
      </c>
      <c r="B20" s="263" t="s">
        <v>209</v>
      </c>
      <c r="C20" s="119" t="s">
        <v>213</v>
      </c>
      <c r="D20" s="163"/>
      <c r="E20" s="31"/>
      <c r="F20" s="34" t="s">
        <v>18</v>
      </c>
      <c r="G20" s="34" t="s">
        <v>19</v>
      </c>
      <c r="H20" s="34" t="s">
        <v>20</v>
      </c>
      <c r="I20" s="34" t="s">
        <v>21</v>
      </c>
      <c r="J20" s="100" t="s">
        <v>22</v>
      </c>
      <c r="K20" s="192"/>
      <c r="L20" s="234" t="s">
        <v>268</v>
      </c>
      <c r="M20" s="195">
        <f>'Circuit Criminal'!J20-'Circ Crim Drug Trfc Cases'!J21</f>
        <v>0</v>
      </c>
      <c r="N20" s="26" t="s">
        <v>194</v>
      </c>
      <c r="O20" s="10"/>
      <c r="P20" s="1" t="b">
        <f>OR(K37&lt;J37)</f>
        <v>0</v>
      </c>
      <c r="Q20" s="1">
        <v>11</v>
      </c>
      <c r="T20" s="91" t="s">
        <v>64</v>
      </c>
      <c r="U20" s="1" t="str">
        <f>U13&amp;" "&amp;U14&amp;" "&amp;U15&amp;" "&amp;U16&amp;" "&amp;U17&amp;" "&amp;U18&amp;" "&amp;U19</f>
        <v xml:space="preserve">CGE CQ1-16  CGE CQ3-16    </v>
      </c>
    </row>
    <row r="21" spans="1:21" ht="15.75" customHeight="1" x14ac:dyDescent="0.25">
      <c r="A21" s="277"/>
      <c r="B21" s="264"/>
      <c r="C21" s="22" t="s">
        <v>23</v>
      </c>
      <c r="D21" s="163"/>
      <c r="E21" s="29"/>
      <c r="F21" s="137">
        <f>LOOKUP($U$12,Lookup!$C$3:$C$672,Lookup!AC$3:AC$672)</f>
        <v>230</v>
      </c>
      <c r="G21" s="137">
        <f>LOOKUP($U$12,Lookup!$C$3:$C$672,Lookup!AD$3:AD$672)</f>
        <v>245</v>
      </c>
      <c r="H21" s="144">
        <v>245</v>
      </c>
      <c r="I21" s="144">
        <v>245</v>
      </c>
      <c r="J21" s="144"/>
      <c r="K21" s="193"/>
      <c r="L21" s="234" t="s">
        <v>267</v>
      </c>
      <c r="M21" s="195">
        <f>'Circuit Criminal'!J21-'Circ Crim Drug Trfc Cases'!J22</f>
        <v>0</v>
      </c>
      <c r="N21" s="82"/>
      <c r="O21" s="10"/>
      <c r="P21" s="1">
        <f>COUNTIF(P14:P20,"TRUE")</f>
        <v>2</v>
      </c>
      <c r="Q21" s="1">
        <v>12</v>
      </c>
      <c r="T21" s="91" t="s">
        <v>65</v>
      </c>
    </row>
    <row r="22" spans="1:21" s="16" customFormat="1" ht="15.75" customHeight="1" thickBot="1" x14ac:dyDescent="0.3">
      <c r="A22" s="277"/>
      <c r="B22" s="264"/>
      <c r="C22" s="22" t="s">
        <v>24</v>
      </c>
      <c r="D22" s="163"/>
      <c r="E22" s="29"/>
      <c r="F22" s="138">
        <f>LOOKUP($U$12,Lookup!$C$3:$C$672,Lookup!X$3:X$672)</f>
        <v>108081.13</v>
      </c>
      <c r="G22" s="138">
        <f>LOOKUP($U$12,Lookup!$C$3:$C$672,Lookup!Y$3:Y$672)</f>
        <v>108031.13</v>
      </c>
      <c r="H22" s="54">
        <v>108076.13</v>
      </c>
      <c r="I22" s="54">
        <v>108076.13</v>
      </c>
      <c r="J22" s="54"/>
      <c r="K22" s="193"/>
      <c r="L22" s="250" t="s">
        <v>269</v>
      </c>
      <c r="M22" s="251" t="e">
        <f>M20/M21</f>
        <v>#DIV/0!</v>
      </c>
      <c r="N22" s="82"/>
      <c r="Q22" s="28"/>
      <c r="T22" s="91" t="s">
        <v>66</v>
      </c>
    </row>
    <row r="23" spans="1:21" ht="15.75" customHeight="1" thickBot="1" x14ac:dyDescent="0.3">
      <c r="A23" s="278"/>
      <c r="B23" s="265"/>
      <c r="C23" s="24" t="s">
        <v>26</v>
      </c>
      <c r="D23" s="163"/>
      <c r="E23" s="33"/>
      <c r="F23" s="152">
        <f>IF(ISBLANK(F21),"N/A",IF(OR(F21=0,F21="N/A"),0,F21/F22))</f>
        <v>2.1280310448271588E-3</v>
      </c>
      <c r="G23" s="145">
        <f>IF(ISBLANK(G21),"N/A",IF(OR(G21=0,G21="N/A"),0,G21/G22))</f>
        <v>2.2678648274807455E-3</v>
      </c>
      <c r="H23" s="145">
        <f>IF(ISBLANK(H21),"N/A",IF(AND(H21=0,H22=0,NOT(ISBLANK(H21)),NOT(ISBLANK(H22))),1,H21/H22))</f>
        <v>2.2669205494312201E-3</v>
      </c>
      <c r="I23" s="145">
        <f>IF(ISBLANK(I21),"N/A",IF(AND(I21=0,I22=0,NOT(ISBLANK(I21)),NOT(ISBLANK(I22))),1,I21/I22))</f>
        <v>2.2669205494312201E-3</v>
      </c>
      <c r="J23" s="145" t="str">
        <f>IF(ISBLANK(J21),"N/A",IF(AND(J21=0,J22=0,NOT(ISBLANK(J21)),NOT(ISBLANK(J22))),1,J21/J22))</f>
        <v>N/A</v>
      </c>
      <c r="K23" s="194"/>
      <c r="L23" s="298"/>
      <c r="M23" s="299"/>
      <c r="N23" s="83"/>
      <c r="O23" s="101" t="s">
        <v>34</v>
      </c>
      <c r="P23" s="101" t="s">
        <v>35</v>
      </c>
      <c r="Q23" s="11"/>
      <c r="T23" s="91" t="s">
        <v>67</v>
      </c>
    </row>
    <row r="24" spans="1:21" ht="15.75" customHeight="1" x14ac:dyDescent="0.25">
      <c r="A24" s="276" t="str">
        <f>LEFT(B24,3)&amp;" "&amp;RIGHT(B24,6)</f>
        <v>CGE CQ4-16</v>
      </c>
      <c r="B24" s="266" t="s">
        <v>210</v>
      </c>
      <c r="C24" s="21" t="s">
        <v>214</v>
      </c>
      <c r="D24" s="167"/>
      <c r="E24" s="32"/>
      <c r="F24" s="89"/>
      <c r="G24" s="88" t="s">
        <v>18</v>
      </c>
      <c r="H24" s="34" t="s">
        <v>19</v>
      </c>
      <c r="I24" s="34" t="s">
        <v>20</v>
      </c>
      <c r="J24" s="100" t="s">
        <v>21</v>
      </c>
      <c r="K24" s="100" t="s">
        <v>22</v>
      </c>
      <c r="L24" s="234" t="s">
        <v>268</v>
      </c>
      <c r="M24" s="195">
        <f>'Circuit Criminal'!K24-'Circ Crim Drug Trfc Cases'!K25</f>
        <v>0</v>
      </c>
      <c r="N24" s="94"/>
      <c r="O24" s="101" t="b">
        <v>0</v>
      </c>
      <c r="P24" s="101" t="b">
        <v>0</v>
      </c>
      <c r="Q24" s="1" t="str">
        <f>IF(AND(OR(ISBLANK(H13),ISBLANK(H14)),O24=FALSE),"Red","Gray")</f>
        <v>Gray</v>
      </c>
      <c r="R24" s="1" t="str">
        <f>IF(AND(OR(ISBLANK(I17),ISBLANK(I18)),P24=FALSE),"Red","Gray")</f>
        <v>Gray</v>
      </c>
      <c r="S24" s="1" t="str">
        <f>IF(AND('Circuit Criminal'!D4=1,S37=1),A12,IF(AND('Circuit Criminal'!D4=2,S37=1),A16,IF(AND('Circuit Criminal'!D4=3,S37=1),A20,IF(AND('Circuit Criminal'!D4=4,S37=1),A24,""))))</f>
        <v/>
      </c>
      <c r="T24" s="91" t="s">
        <v>68</v>
      </c>
    </row>
    <row r="25" spans="1:21" s="18" customFormat="1" ht="15.75" customHeight="1" x14ac:dyDescent="0.3">
      <c r="A25" s="277"/>
      <c r="B25" s="267"/>
      <c r="C25" s="22" t="s">
        <v>23</v>
      </c>
      <c r="D25" s="163"/>
      <c r="E25" s="33"/>
      <c r="F25" s="29"/>
      <c r="G25" s="139">
        <f>LOOKUP($U$12,Lookup!$C$3:$C$672,Lookup!AM$3:AM$672)</f>
        <v>255</v>
      </c>
      <c r="H25" s="144">
        <v>320</v>
      </c>
      <c r="I25" s="144">
        <v>320</v>
      </c>
      <c r="J25" s="144"/>
      <c r="K25" s="144"/>
      <c r="L25" s="234" t="s">
        <v>267</v>
      </c>
      <c r="M25" s="195">
        <f>'Circuit Criminal'!K25-'Circ Crim Drug Trfc Cases'!K26</f>
        <v>0</v>
      </c>
      <c r="N25" s="103"/>
      <c r="O25" s="120" t="b">
        <v>0</v>
      </c>
      <c r="P25" s="120" t="b">
        <v>0</v>
      </c>
      <c r="Q25" s="1" t="str">
        <f>IF(AND(OR(ISBLANK(H17),ISBLANK(H18)),O25=FALSE),"Red","Gray")</f>
        <v>Gray</v>
      </c>
      <c r="R25" s="1" t="str">
        <f>IF(AND(OR(ISBLANK(I21),ISBLANK(I22)),P25=FALSE),"Red","Gray")</f>
        <v>Gray</v>
      </c>
      <c r="S25" s="18" t="str">
        <f>IF(AND('Circuit Criminal'!D4=1,S38=1),A16,IF(AND('Circuit Criminal'!D4=2,S38=1),A20,IF(AND('Circuit Criminal'!D4=3,S38=1),A24,IF(AND('Circuit Criminal'!D4=4,S38=1),A28,""))))</f>
        <v/>
      </c>
      <c r="T25" s="91" t="s">
        <v>69</v>
      </c>
    </row>
    <row r="26" spans="1:21" ht="15.75" customHeight="1" thickBot="1" x14ac:dyDescent="0.3">
      <c r="A26" s="277"/>
      <c r="B26" s="267"/>
      <c r="C26" s="22" t="s">
        <v>24</v>
      </c>
      <c r="D26" s="287"/>
      <c r="E26" s="289"/>
      <c r="F26" s="269"/>
      <c r="G26" s="140">
        <f>LOOKUP($U$12,Lookup!$C$3:$C$672,Lookup!AH$3:AH$672)</f>
        <v>213292</v>
      </c>
      <c r="H26" s="54">
        <v>213337</v>
      </c>
      <c r="I26" s="54">
        <v>213337</v>
      </c>
      <c r="J26" s="54"/>
      <c r="K26" s="54"/>
      <c r="L26" s="250" t="s">
        <v>269</v>
      </c>
      <c r="M26" s="251" t="e">
        <f>M24/M25</f>
        <v>#DIV/0!</v>
      </c>
      <c r="N26" s="103"/>
      <c r="O26" s="101" t="b">
        <v>0</v>
      </c>
      <c r="P26" s="101" t="b">
        <v>0</v>
      </c>
      <c r="Q26" s="1" t="str">
        <f>IF(AND(OR(ISBLANK(H21),ISBLANK(H22)),O26=FALSE),"Red","Gray")</f>
        <v>Gray</v>
      </c>
      <c r="R26" s="1" t="str">
        <f>IF(AND(OR(ISBLANK(I25),ISBLANK(I26)),P26=FALSE),"Red","Gray")</f>
        <v>Gray</v>
      </c>
      <c r="S26" s="1" t="str">
        <f>IF(AND('Circuit Criminal'!D4=1,S39=1),A20,IF(AND('Circuit Criminal'!D4=2,S39=1),A24,IF(AND('Circuit Criminal'!D4=3,S39=1),A28,IF(AND('Circuit Criminal'!D4=4,S39=1),A32,""))))</f>
        <v/>
      </c>
      <c r="T26" s="91" t="s">
        <v>70</v>
      </c>
    </row>
    <row r="27" spans="1:21" ht="15.75" customHeight="1" thickBot="1" x14ac:dyDescent="0.3">
      <c r="A27" s="278"/>
      <c r="B27" s="268"/>
      <c r="C27" s="24" t="s">
        <v>26</v>
      </c>
      <c r="D27" s="288"/>
      <c r="E27" s="290"/>
      <c r="F27" s="270"/>
      <c r="G27" s="153">
        <f>IF(ISBLANK(G25),"N/A",IF(OR(G25=0,G25="N/A"),0,G25/G26))</f>
        <v>1.1955441366764811E-3</v>
      </c>
      <c r="H27" s="145">
        <f>IF(ISBLANK(H25),"N/A",IF(AND(H25=0,H26=0,NOT(ISBLANK(H25)),NOT(ISBLANK(H26))),1,H25/H26))</f>
        <v>1.4999742191931075E-3</v>
      </c>
      <c r="I27" s="145">
        <f>IF(ISBLANK(I25),"N/A",IF(AND(I25=0,I26=0,NOT(ISBLANK(I25)),NOT(ISBLANK(I26))),1,I25/I26))</f>
        <v>1.4999742191931075E-3</v>
      </c>
      <c r="J27" s="145" t="str">
        <f>IF(ISBLANK(J25),"N/A",IF(AND(J25=0,J26=0,NOT(ISBLANK(J25)),NOT(ISBLANK(J26))),1,J25/J26))</f>
        <v>N/A</v>
      </c>
      <c r="K27" s="145" t="str">
        <f>IF(ISBLANK(K25),"N/A",IF(AND(K25=0,K26=0,NOT(ISBLANK(K25)),NOT(ISBLANK(K26))),1,K25/K26))</f>
        <v>N/A</v>
      </c>
      <c r="N27" s="84"/>
      <c r="O27" s="101" t="b">
        <v>0</v>
      </c>
      <c r="P27" s="101" t="b">
        <v>0</v>
      </c>
      <c r="Q27" s="1" t="str">
        <f>IF(AND(OR(ISBLANK(H25),ISBLANK(H26)),O27=FALSE),"Red","Gray")</f>
        <v>Gray</v>
      </c>
      <c r="R27" s="1" t="str">
        <f>IF(AND(OR(ISBLANK(I29),ISBLANK(I30)),P27=FALSE),"Red","Gray")</f>
        <v>Gray</v>
      </c>
      <c r="S27" s="1" t="str">
        <f>IF(AND('Circuit Criminal'!D4=1,S40=1),A24,IF(AND('Circuit Criminal'!D4=2,S40=1),A28,IF(AND('Circuit Criminal'!D4=3,S40=1),A32,IF(AND('Circuit Criminal'!D4=4,S40=1),A36,""))))</f>
        <v/>
      </c>
      <c r="T27" s="91" t="s">
        <v>71</v>
      </c>
    </row>
    <row r="28" spans="1:21" ht="15.75" customHeight="1" x14ac:dyDescent="0.25">
      <c r="A28" s="276" t="str">
        <f>LEFT(B28,3)&amp;" "&amp;RIGHT(B28,6)</f>
        <v>CGE CQ1-17</v>
      </c>
      <c r="B28" s="263" t="s">
        <v>257</v>
      </c>
      <c r="C28" s="21" t="s">
        <v>261</v>
      </c>
      <c r="D28" s="79"/>
      <c r="E28" s="33"/>
      <c r="F28" s="33"/>
      <c r="G28" s="29"/>
      <c r="H28" s="34" t="s">
        <v>18</v>
      </c>
      <c r="I28" s="34" t="s">
        <v>19</v>
      </c>
      <c r="J28" s="100" t="s">
        <v>20</v>
      </c>
      <c r="K28" s="100" t="s">
        <v>21</v>
      </c>
      <c r="N28" s="94"/>
      <c r="O28" s="101" t="b">
        <v>0</v>
      </c>
      <c r="P28" s="101" t="b">
        <v>0</v>
      </c>
      <c r="Q28" s="1" t="str">
        <f>IF(AND(OR(ISBLANK(H29),ISBLANK(H30)),O28=FALSE),"Red","Gray")</f>
        <v>Gray</v>
      </c>
      <c r="R28" s="1" t="str">
        <f>IF(AND(OR(ISBLANK(I33),ISBLANK(I34)),P28=FALSE),"Red","Gray")</f>
        <v>Gray</v>
      </c>
      <c r="S28" s="1" t="str">
        <f>IF(AND('Circuit Criminal'!D4=1,S41=1),A28,IF(AND('Circuit Criminal'!D4=2,S41=1),A32,IF(AND('Circuit Criminal'!D4=3,S41=1),A36,IF(AND('Circuit Criminal'!D4=4,S41=1),A40,""))))</f>
        <v/>
      </c>
      <c r="T28" s="91" t="s">
        <v>72</v>
      </c>
    </row>
    <row r="29" spans="1:21" ht="15.75" customHeight="1" x14ac:dyDescent="0.25">
      <c r="A29" s="277"/>
      <c r="B29" s="264"/>
      <c r="C29" s="22" t="s">
        <v>23</v>
      </c>
      <c r="D29" s="77"/>
      <c r="E29" s="33"/>
      <c r="F29" s="33"/>
      <c r="G29" s="29"/>
      <c r="H29" s="144">
        <v>286.5</v>
      </c>
      <c r="I29" s="144">
        <v>286.5</v>
      </c>
      <c r="J29" s="144"/>
      <c r="K29" s="144"/>
      <c r="N29" s="103"/>
      <c r="O29" s="101"/>
      <c r="P29" s="101"/>
      <c r="T29" s="91" t="s">
        <v>73</v>
      </c>
    </row>
    <row r="30" spans="1:21" ht="15.75" customHeight="1" thickBot="1" x14ac:dyDescent="0.3">
      <c r="A30" s="277"/>
      <c r="B30" s="264"/>
      <c r="C30" s="22" t="s">
        <v>24</v>
      </c>
      <c r="D30" s="77"/>
      <c r="E30" s="33"/>
      <c r="F30" s="33"/>
      <c r="G30" s="29"/>
      <c r="H30" s="54">
        <v>107684.5</v>
      </c>
      <c r="I30" s="54">
        <v>107784.5</v>
      </c>
      <c r="J30" s="54"/>
      <c r="K30" s="54"/>
      <c r="N30" s="103"/>
      <c r="O30" s="101" t="s">
        <v>36</v>
      </c>
      <c r="P30" s="101" t="s">
        <v>37</v>
      </c>
      <c r="T30" s="91" t="s">
        <v>74</v>
      </c>
    </row>
    <row r="31" spans="1:21" ht="15.75" customHeight="1" thickBot="1" x14ac:dyDescent="0.3">
      <c r="A31" s="278"/>
      <c r="B31" s="265"/>
      <c r="C31" s="24" t="s">
        <v>26</v>
      </c>
      <c r="D31" s="78"/>
      <c r="E31" s="30"/>
      <c r="F31" s="30"/>
      <c r="G31" s="30"/>
      <c r="H31" s="145">
        <f>IF(ISBLANK(H29),"N/A",IF(AND(H29=0,H30=0,NOT(ISBLANK(H29)),NOT(ISBLANK(H30))),1,H29/H30))</f>
        <v>2.6605500327345163E-3</v>
      </c>
      <c r="I31" s="145">
        <f>IF(ISBLANK(I29),"N/A",IF(AND(I29=0,I30=0,NOT(ISBLANK(I29)),NOT(ISBLANK(I30))),1,I29/I30))</f>
        <v>2.658081635114511E-3</v>
      </c>
      <c r="J31" s="145" t="str">
        <f>IF(ISBLANK(J29),"N/A",IF(AND(J29=0,J30=0,NOT(ISBLANK(J29)),NOT(ISBLANK(J30))),1,J29/J30))</f>
        <v>N/A</v>
      </c>
      <c r="K31" s="145" t="str">
        <f>IF(ISBLANK(K29),"N/A",IF(AND(K29=0,K30=0,NOT(ISBLANK(K29)),NOT(ISBLANK(K30))),1,K29/K30))</f>
        <v>N/A</v>
      </c>
      <c r="N31" s="84"/>
      <c r="O31" s="101" t="b">
        <v>0</v>
      </c>
      <c r="P31" s="101" t="b">
        <v>0</v>
      </c>
      <c r="Q31" s="1" t="str">
        <f>IF(AND(OR(ISBLANK(J21),ISBLANK(J22)),O31=FALSE),"Red","Gray")</f>
        <v>Red</v>
      </c>
      <c r="R31" s="1" t="str">
        <f>IF(AND(OR(ISBLANK(K25),ISBLANK(K26)),P31=FALSE),"Red","Gray")</f>
        <v>Red</v>
      </c>
      <c r="T31" s="91" t="s">
        <v>75</v>
      </c>
    </row>
    <row r="32" spans="1:21" ht="15.75" customHeight="1" x14ac:dyDescent="0.25">
      <c r="A32" s="276" t="str">
        <f>LEFT(B32,3)&amp;" "&amp;RIGHT(B32,6)</f>
        <v>CGE CQ2-17</v>
      </c>
      <c r="B32" s="266" t="s">
        <v>258</v>
      </c>
      <c r="C32" s="119" t="s">
        <v>262</v>
      </c>
      <c r="D32" s="73"/>
      <c r="E32" s="74"/>
      <c r="F32" s="74"/>
      <c r="G32" s="74"/>
      <c r="H32" s="74"/>
      <c r="I32" s="34" t="s">
        <v>18</v>
      </c>
      <c r="J32" s="100" t="s">
        <v>19</v>
      </c>
      <c r="K32" s="100" t="s">
        <v>20</v>
      </c>
      <c r="N32" s="94"/>
      <c r="O32" s="101" t="b">
        <v>0</v>
      </c>
      <c r="P32" s="101" t="b">
        <v>0</v>
      </c>
      <c r="Q32" s="1" t="str">
        <f>IF(AND(OR(ISBLANK(J25),ISBLANK(J26)),O32=FALSE),"Red","Gray")</f>
        <v>Red</v>
      </c>
      <c r="R32" s="1" t="str">
        <f>IF(AND(OR(ISBLANK(K29),ISBLANK(K30)),P32=FALSE),"Red","Gray")</f>
        <v>Red</v>
      </c>
      <c r="T32" s="91" t="s">
        <v>76</v>
      </c>
    </row>
    <row r="33" spans="1:20" ht="15.75" customHeight="1" x14ac:dyDescent="0.25">
      <c r="A33" s="277"/>
      <c r="B33" s="267"/>
      <c r="C33" s="22" t="s">
        <v>23</v>
      </c>
      <c r="D33" s="73"/>
      <c r="E33" s="74"/>
      <c r="F33" s="74"/>
      <c r="G33" s="74"/>
      <c r="H33" s="74"/>
      <c r="I33" s="144">
        <v>273.5</v>
      </c>
      <c r="J33" s="144"/>
      <c r="K33" s="144"/>
      <c r="N33" s="103"/>
      <c r="O33" s="101" t="b">
        <v>0</v>
      </c>
      <c r="P33" s="101" t="b">
        <v>0</v>
      </c>
      <c r="Q33" s="1" t="str">
        <f>IF(AND(OR(ISBLANK(J29),ISBLANK(J30)),O33=FALSE),"Red","Gray")</f>
        <v>Red</v>
      </c>
      <c r="R33" s="1" t="str">
        <f>IF(AND(OR(ISBLANK(K33),ISBLANK(K34)),P33=FALSE),"Red","Gray")</f>
        <v>Red</v>
      </c>
      <c r="T33" s="91" t="s">
        <v>77</v>
      </c>
    </row>
    <row r="34" spans="1:20" ht="15.75" customHeight="1" thickBot="1" x14ac:dyDescent="0.3">
      <c r="A34" s="277"/>
      <c r="B34" s="267"/>
      <c r="C34" s="22" t="s">
        <v>24</v>
      </c>
      <c r="D34" s="73"/>
      <c r="E34" s="74"/>
      <c r="F34" s="74"/>
      <c r="G34" s="74"/>
      <c r="H34" s="74"/>
      <c r="I34" s="54">
        <v>108378.5</v>
      </c>
      <c r="J34" s="54"/>
      <c r="K34" s="54"/>
      <c r="N34" s="103"/>
      <c r="O34" s="101" t="b">
        <v>0</v>
      </c>
      <c r="P34" s="101" t="b">
        <v>0</v>
      </c>
      <c r="Q34" s="1" t="str">
        <f>IF(AND(OR(ISBLANK(J33),ISBLANK(J34)),O34=FALSE),"Red","Gray")</f>
        <v>Red</v>
      </c>
      <c r="R34" s="1" t="str">
        <f>IF(AND(OR(ISBLANK(K37),ISBLANK(K38)),P34=FALSE),"Red","Gray")</f>
        <v>Red</v>
      </c>
      <c r="T34" s="91" t="s">
        <v>78</v>
      </c>
    </row>
    <row r="35" spans="1:20" ht="15.75" customHeight="1" thickBot="1" x14ac:dyDescent="0.3">
      <c r="A35" s="278"/>
      <c r="B35" s="268"/>
      <c r="C35" s="24" t="s">
        <v>26</v>
      </c>
      <c r="D35" s="75"/>
      <c r="E35" s="76"/>
      <c r="F35" s="76"/>
      <c r="G35" s="76"/>
      <c r="H35" s="76"/>
      <c r="I35" s="145">
        <f>IF(ISBLANK(I33),"N/A",IF(AND(I33=0,I34=0,NOT(ISBLANK(I33)),NOT(ISBLANK(I34))),1,I33/I34))</f>
        <v>2.5235632528591927E-3</v>
      </c>
      <c r="J35" s="145" t="str">
        <f>IF(ISBLANK(J33),"N/A",IF(AND(J33=0,J34=0,NOT(ISBLANK(J33)),NOT(ISBLANK(J34))),1,J33/J34))</f>
        <v>N/A</v>
      </c>
      <c r="K35" s="145" t="str">
        <f>IF(ISBLANK(K33),"N/A",IF(AND(K33=0,K34=0,NOT(ISBLANK(K33)),NOT(ISBLANK(K34))),1,K33/K34))</f>
        <v>N/A</v>
      </c>
      <c r="N35" s="84"/>
      <c r="O35" s="121" t="b">
        <v>0</v>
      </c>
      <c r="P35" s="105" t="b">
        <v>0</v>
      </c>
      <c r="Q35" s="1" t="str">
        <f>IF(AND(OR(ISBLANK(J37),ISBLANK(J38)),O35=FALSE),"Red","Gray")</f>
        <v>Red</v>
      </c>
      <c r="R35" s="1" t="str">
        <f>IF(AND(OR(ISBLANK(K41),ISBLANK(K42)),P35=FALSE),"Red","Gray")</f>
        <v>Red</v>
      </c>
      <c r="T35" s="91" t="s">
        <v>79</v>
      </c>
    </row>
    <row r="36" spans="1:20" ht="15.75" customHeight="1" x14ac:dyDescent="0.25">
      <c r="A36" s="276" t="str">
        <f>LEFT(B36,3)&amp;" "&amp;RIGHT(B36,6)</f>
        <v>CGE CQ3-17</v>
      </c>
      <c r="B36" s="263" t="s">
        <v>259</v>
      </c>
      <c r="C36" s="119" t="s">
        <v>263</v>
      </c>
      <c r="D36" s="106"/>
      <c r="E36" s="107"/>
      <c r="F36" s="107"/>
      <c r="G36" s="107"/>
      <c r="H36" s="107"/>
      <c r="I36" s="108"/>
      <c r="J36" s="100" t="s">
        <v>18</v>
      </c>
      <c r="K36" s="100" t="s">
        <v>19</v>
      </c>
      <c r="N36" s="94"/>
      <c r="O36" s="14"/>
      <c r="P36" s="15"/>
      <c r="T36" s="91" t="s">
        <v>80</v>
      </c>
    </row>
    <row r="37" spans="1:20" ht="15.75" customHeight="1" x14ac:dyDescent="0.25">
      <c r="A37" s="277"/>
      <c r="B37" s="264"/>
      <c r="C37" s="122" t="s">
        <v>23</v>
      </c>
      <c r="D37" s="106"/>
      <c r="E37" s="107"/>
      <c r="F37" s="107"/>
      <c r="G37" s="107"/>
      <c r="H37" s="107"/>
      <c r="I37" s="108"/>
      <c r="J37" s="144"/>
      <c r="K37" s="144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81</v>
      </c>
    </row>
    <row r="38" spans="1:20" ht="15.75" customHeight="1" thickBot="1" x14ac:dyDescent="0.3">
      <c r="A38" s="277"/>
      <c r="B38" s="264"/>
      <c r="C38" s="122" t="s">
        <v>24</v>
      </c>
      <c r="D38" s="106"/>
      <c r="E38" s="107"/>
      <c r="F38" s="107"/>
      <c r="G38" s="107"/>
      <c r="H38" s="107"/>
      <c r="I38" s="107"/>
      <c r="J38" s="54"/>
      <c r="K38" s="54"/>
      <c r="N38" s="103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82</v>
      </c>
    </row>
    <row r="39" spans="1:20" ht="15.75" customHeight="1" thickBot="1" x14ac:dyDescent="0.3">
      <c r="A39" s="278"/>
      <c r="B39" s="265"/>
      <c r="C39" s="123" t="s">
        <v>26</v>
      </c>
      <c r="D39" s="111"/>
      <c r="E39" s="112"/>
      <c r="F39" s="112"/>
      <c r="G39" s="112"/>
      <c r="H39" s="112"/>
      <c r="I39" s="112"/>
      <c r="J39" s="145" t="str">
        <f>IF(ISBLANK(J37),"N/A",IF(AND(J37=0,J38=0,NOT(ISBLANK(J37)),NOT(ISBLANK(J38))),1,J37/J38))</f>
        <v>N/A</v>
      </c>
      <c r="K39" s="145" t="str">
        <f>IF(ISBLANK(K37),"N/A",IF(AND(K37=0,K38=0,NOT(ISBLANK(K37)),NOT(ISBLANK(K38))),1,K37/K38))</f>
        <v>N/A</v>
      </c>
      <c r="N39" s="8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83</v>
      </c>
    </row>
    <row r="40" spans="1:20" ht="15.75" customHeight="1" x14ac:dyDescent="0.25">
      <c r="A40" s="276" t="str">
        <f>LEFT(B40,3)&amp;" "&amp;RIGHT(B40,6)</f>
        <v>CGE CQ4-17</v>
      </c>
      <c r="B40" s="266" t="s">
        <v>260</v>
      </c>
      <c r="C40" s="21" t="s">
        <v>264</v>
      </c>
      <c r="D40" s="98"/>
      <c r="E40" s="96"/>
      <c r="F40" s="96"/>
      <c r="G40" s="96"/>
      <c r="H40" s="96"/>
      <c r="I40" s="95"/>
      <c r="J40" s="113"/>
      <c r="K40" s="100" t="s">
        <v>18</v>
      </c>
      <c r="N40" s="94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84</v>
      </c>
    </row>
    <row r="41" spans="1:20" ht="15.75" customHeight="1" x14ac:dyDescent="0.25">
      <c r="A41" s="277"/>
      <c r="B41" s="267"/>
      <c r="C41" s="122" t="s">
        <v>23</v>
      </c>
      <c r="D41" s="98"/>
      <c r="E41" s="96"/>
      <c r="F41" s="96"/>
      <c r="G41" s="96"/>
      <c r="H41" s="96"/>
      <c r="I41" s="96"/>
      <c r="J41" s="113"/>
      <c r="K41" s="144"/>
      <c r="N41" s="103"/>
      <c r="O41" s="14" t="str">
        <f>IF(AND('Circuit Criminal'!$D$4=1,Q28="Red"),"Red","Gray")</f>
        <v>Gray</v>
      </c>
      <c r="P41" s="14" t="str">
        <f>IF(AND('Circuit Criminal'!$D$4=2,R28="Red"),"Red","Gray")</f>
        <v>Gray</v>
      </c>
      <c r="Q41" s="14" t="str">
        <f>IF(AND('Circuit Criminal'!$D$4=3,Q35="Red"),"Red","Gray")</f>
        <v>Gray</v>
      </c>
      <c r="R41" s="14" t="str">
        <f>IF(AND('Circuit Criminal'!$D$4=4,R35="Red"),"Red","Gray")</f>
        <v>Gray</v>
      </c>
      <c r="S41" s="1">
        <f>COUNTIF(O41:R41,"Red")</f>
        <v>0</v>
      </c>
      <c r="T41" s="91" t="s">
        <v>85</v>
      </c>
    </row>
    <row r="42" spans="1:20" ht="15.75" customHeight="1" thickBot="1" x14ac:dyDescent="0.3">
      <c r="A42" s="277"/>
      <c r="B42" s="267"/>
      <c r="C42" s="122" t="s">
        <v>24</v>
      </c>
      <c r="D42" s="98"/>
      <c r="E42" s="96"/>
      <c r="F42" s="96"/>
      <c r="G42" s="96"/>
      <c r="H42" s="96"/>
      <c r="I42" s="96"/>
      <c r="J42" s="113"/>
      <c r="K42" s="54"/>
      <c r="N42" s="103"/>
      <c r="O42" s="35">
        <f>COUNTIF(O37:O41,"Red")</f>
        <v>0</v>
      </c>
      <c r="P42" s="35">
        <f>COUNTIF(P37:P41,"Red")</f>
        <v>0</v>
      </c>
      <c r="Q42" s="35">
        <f>COUNTIF(Q37:Q41,"Red")</f>
        <v>0</v>
      </c>
      <c r="R42" s="35">
        <f>COUNTIF(R37:R41,"Red")</f>
        <v>0</v>
      </c>
      <c r="T42" s="91" t="s">
        <v>86</v>
      </c>
    </row>
    <row r="43" spans="1:20" ht="15.6" customHeight="1" thickBot="1" x14ac:dyDescent="0.3">
      <c r="A43" s="278"/>
      <c r="B43" s="268"/>
      <c r="C43" s="123" t="s">
        <v>26</v>
      </c>
      <c r="D43" s="114"/>
      <c r="E43" s="115"/>
      <c r="F43" s="115"/>
      <c r="G43" s="115"/>
      <c r="H43" s="115"/>
      <c r="I43" s="115"/>
      <c r="J43" s="116"/>
      <c r="K43" s="145" t="str">
        <f>IF(ISBLANK(K41),"N/A",IF(OR(K41=0,K41="N/A"),0,K41/K42))</f>
        <v>N/A</v>
      </c>
      <c r="N43" s="84"/>
      <c r="O43" s="35">
        <f>SUM(O42:R42)</f>
        <v>0</v>
      </c>
      <c r="P43" s="15"/>
      <c r="T43" s="91" t="s">
        <v>87</v>
      </c>
    </row>
    <row r="44" spans="1:20" ht="61.2" customHeight="1" x14ac:dyDescent="0.25">
      <c r="C44" s="210" t="s">
        <v>223</v>
      </c>
      <c r="D44" s="254" t="s">
        <v>228</v>
      </c>
      <c r="E44" s="254"/>
      <c r="F44" s="254"/>
      <c r="G44" s="254"/>
      <c r="H44" s="254" t="s">
        <v>233</v>
      </c>
      <c r="I44" s="254"/>
      <c r="J44" s="254"/>
      <c r="K44" s="254"/>
      <c r="N44" s="84"/>
      <c r="O44" s="8"/>
      <c r="P44" s="9"/>
      <c r="T44" s="91" t="s">
        <v>88</v>
      </c>
    </row>
    <row r="45" spans="1:20" x14ac:dyDescent="0.25">
      <c r="C45" s="184" t="s">
        <v>224</v>
      </c>
      <c r="D45" s="101" t="s">
        <v>271</v>
      </c>
      <c r="P45" s="8"/>
      <c r="Q45" s="9"/>
      <c r="T45" s="91" t="s">
        <v>90</v>
      </c>
    </row>
    <row r="46" spans="1:20" s="11" customFormat="1" ht="16.95" customHeight="1" x14ac:dyDescent="0.25">
      <c r="B46" s="1"/>
      <c r="C46" s="1"/>
      <c r="D46" s="101" t="s">
        <v>272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2"/>
      <c r="P46" s="9"/>
      <c r="Q46" s="10"/>
      <c r="T46" s="91" t="s">
        <v>92</v>
      </c>
    </row>
    <row r="47" spans="1:20" ht="15.75" customHeight="1" x14ac:dyDescent="0.25">
      <c r="D47" s="101"/>
      <c r="O47" s="13"/>
      <c r="P47" s="13"/>
      <c r="Q47" s="10"/>
      <c r="T47" s="91" t="s">
        <v>93</v>
      </c>
    </row>
    <row r="48" spans="1:20" ht="15.75" customHeight="1" x14ac:dyDescent="0.25">
      <c r="O48" s="14"/>
      <c r="P48" s="15"/>
      <c r="Q48" s="10"/>
      <c r="T48" s="91" t="s">
        <v>94</v>
      </c>
    </row>
    <row r="49" spans="1:20" ht="15.75" customHeight="1" x14ac:dyDescent="0.25">
      <c r="O49" s="14"/>
      <c r="P49" s="15"/>
      <c r="Q49" s="10"/>
      <c r="T49" s="91" t="s">
        <v>95</v>
      </c>
    </row>
    <row r="50" spans="1:20" ht="15.75" hidden="1" customHeight="1" x14ac:dyDescent="0.25">
      <c r="B50" s="1">
        <f>MAX('Circuit Criminal'!B51:B98)</f>
        <v>0</v>
      </c>
      <c r="D50" s="1" t="s">
        <v>128</v>
      </c>
      <c r="F50" s="1" t="s">
        <v>129</v>
      </c>
      <c r="G50" s="1" t="s">
        <v>130</v>
      </c>
      <c r="H50" s="1" t="s">
        <v>131</v>
      </c>
      <c r="I50" s="1" t="s">
        <v>132</v>
      </c>
      <c r="J50" s="1" t="s">
        <v>139</v>
      </c>
      <c r="K50" s="14"/>
      <c r="L50" s="14"/>
      <c r="M50" s="14"/>
      <c r="N50" s="14"/>
      <c r="O50" s="15"/>
      <c r="T50" s="91" t="s">
        <v>101</v>
      </c>
    </row>
    <row r="51" spans="1:20" ht="69" hidden="1" customHeight="1" x14ac:dyDescent="0.25">
      <c r="A51" s="1" t="str">
        <f>D$8</f>
        <v>Circuit Criminal Drug Trafficking  Cases</v>
      </c>
      <c r="B51" s="1">
        <f>IF(E51="YES",MAX(B50)+1,0)</f>
        <v>0</v>
      </c>
      <c r="C51" s="1" t="str">
        <f>A$12</f>
        <v>CGE CQ1-16</v>
      </c>
      <c r="D51" s="42" t="str">
        <f>"After 3rd Q, Collections went up by more than set percentage of: "&amp;TEXT(J51,"#0%")</f>
        <v>After 3rd Q, Collections went up by more than set percentage of: 500%</v>
      </c>
      <c r="E51" s="1" t="str">
        <f>IF(MAX(F51:G51)&gt;V$11,"YES","NO")</f>
        <v>NO</v>
      </c>
      <c r="F51" s="43">
        <f>IFERROR(IF(NOT(ISBLANK(G13)),(G13-F13)/F13,0),0)</f>
        <v>0</v>
      </c>
      <c r="G51" s="43">
        <f>IFERROR(IF(NOT(ISBLANK(H13)),(H13-G13)/G13,0),0)</f>
        <v>0</v>
      </c>
      <c r="J51" s="41">
        <f>V$11</f>
        <v>5</v>
      </c>
      <c r="K51" s="14"/>
      <c r="L51" s="14"/>
      <c r="M51" s="14"/>
      <c r="N51" s="14"/>
      <c r="O51" s="15"/>
      <c r="T51" s="91" t="s">
        <v>102</v>
      </c>
    </row>
    <row r="52" spans="1:20" ht="72.75" hidden="1" customHeight="1" x14ac:dyDescent="0.25">
      <c r="A52" s="1" t="str">
        <f t="shared" ref="A52:A80" si="0">D$8</f>
        <v>Circuit Criminal Drug Trafficking  Cases</v>
      </c>
      <c r="B52" s="1">
        <f>IF(E52="YES",MAX(B$50:B51)+1,0)</f>
        <v>0</v>
      </c>
      <c r="C52" s="1" t="str">
        <f>A$12</f>
        <v>CGE CQ1-16</v>
      </c>
      <c r="D52" s="42" t="str">
        <f>"Assessments dropped by more than set percentage of: "&amp;TEXT(J52,"#0%")</f>
        <v>Assessments dropped by more than set percentage of: 15%</v>
      </c>
      <c r="E52" s="1" t="str">
        <f>IF(MIN(F52:I52)&lt;(-1*V$12),"YES","NO")</f>
        <v>NO</v>
      </c>
      <c r="F52" s="43">
        <f>IFERROR(IF(NOT(ISBLANK(E14)),(E14-D14)/D14,0),0)</f>
        <v>0.10745233968804159</v>
      </c>
      <c r="G52" s="43">
        <f>IFERROR(IF(NOT(ISBLANK(F14)),(F14-E14)/E14,0),0)</f>
        <v>-1.9561815336463225E-2</v>
      </c>
      <c r="H52" s="43">
        <f>IFERROR(IF(NOT(ISBLANK(G14)),(G14-F14)/F14,0),0)</f>
        <v>0</v>
      </c>
      <c r="I52" s="43">
        <f>IFERROR(IF(NOT(ISBLANK(H14)),(H14-G14)/G14,0),0)</f>
        <v>0</v>
      </c>
      <c r="J52" s="41">
        <f>V$12</f>
        <v>0.15</v>
      </c>
      <c r="K52" s="14"/>
      <c r="L52" s="14"/>
      <c r="M52" s="14"/>
      <c r="N52" s="14"/>
      <c r="O52" s="15"/>
      <c r="P52" s="10"/>
      <c r="T52" s="91" t="s">
        <v>107</v>
      </c>
    </row>
    <row r="53" spans="1:20" ht="52.5" hidden="1" customHeight="1" x14ac:dyDescent="0.25">
      <c r="A53" s="1" t="str">
        <f t="shared" si="0"/>
        <v>Circuit Criminal Drug Trafficking  Cases</v>
      </c>
      <c r="B53" s="1">
        <f>IF(E53="YES",MAX(B$50:B52)+1,0)</f>
        <v>0</v>
      </c>
      <c r="C53" s="1" t="str">
        <f>A$12</f>
        <v>CGE CQ1-16</v>
      </c>
      <c r="D53" s="42" t="str">
        <f>"The 5th Quarter Collection Rate did not meet the established performance measure standard of: "&amp;TEXT(J53,"#0%")</f>
        <v>The 5th Quarter Collection Rate did not meet the established performance measure standard of: 0%</v>
      </c>
      <c r="E53" s="1" t="str">
        <f>IF(F53="N/A","NO",IF(F53&lt;H$8,"YES","NO"))</f>
        <v>NO</v>
      </c>
      <c r="F53" s="44">
        <f>H15</f>
        <v>7.9808459696727854E-2</v>
      </c>
      <c r="J53" s="41">
        <f>H$8</f>
        <v>0</v>
      </c>
      <c r="K53" s="14"/>
      <c r="L53" s="14"/>
      <c r="M53" s="14"/>
      <c r="N53" s="14"/>
      <c r="O53" s="15"/>
      <c r="P53" s="10"/>
      <c r="T53" s="91" t="s">
        <v>114</v>
      </c>
    </row>
    <row r="54" spans="1:20" ht="45" hidden="1" customHeight="1" x14ac:dyDescent="0.25">
      <c r="A54" s="1" t="str">
        <f t="shared" si="0"/>
        <v>Circuit Criminal Drug Trafficking  Cases</v>
      </c>
      <c r="B54" s="1">
        <f>IF(E54="YES",MAX(B$50:B53)+1,0)</f>
        <v>1</v>
      </c>
      <c r="C54" s="1" t="str">
        <f>A$12</f>
        <v>CGE CQ1-16</v>
      </c>
      <c r="D54" s="42" t="s">
        <v>133</v>
      </c>
      <c r="E54" s="1" t="str">
        <f>IF(MIN(F54:I54)&lt;0,"YES","NO")</f>
        <v>YES</v>
      </c>
      <c r="F54" s="43">
        <f t="shared" ref="F54:I55" si="1">IFERROR(IF(NOT(ISBLANK(E13)),(E13-D13)/D13,0),0)</f>
        <v>-9.90990990990991E-2</v>
      </c>
      <c r="G54" s="43">
        <f t="shared" si="1"/>
        <v>0</v>
      </c>
      <c r="H54" s="43">
        <f t="shared" si="1"/>
        <v>0</v>
      </c>
      <c r="I54" s="43">
        <f t="shared" si="1"/>
        <v>0</v>
      </c>
      <c r="K54" s="14"/>
      <c r="L54" s="14"/>
      <c r="M54" s="14"/>
      <c r="N54" s="14"/>
      <c r="O54" s="15"/>
    </row>
    <row r="55" spans="1:20" ht="41.4" hidden="1" x14ac:dyDescent="0.25">
      <c r="A55" s="1" t="str">
        <f t="shared" si="0"/>
        <v>Circuit Criminal Drug Trafficking  Cases</v>
      </c>
      <c r="B55" s="1">
        <f>IF(E55="YES",MAX(B$50:B54)+1,0)</f>
        <v>2</v>
      </c>
      <c r="C55" s="1" t="str">
        <f>A$12</f>
        <v>CGE CQ1-16</v>
      </c>
      <c r="D55" s="42" t="s">
        <v>134</v>
      </c>
      <c r="E55" s="1" t="str">
        <f>IF(MAX(F55:I55)&gt;0,"YES","NO")</f>
        <v>YES</v>
      </c>
      <c r="F55" s="43">
        <f t="shared" si="1"/>
        <v>0.10745233968804159</v>
      </c>
      <c r="G55" s="43">
        <f t="shared" si="1"/>
        <v>-1.9561815336463225E-2</v>
      </c>
      <c r="H55" s="43">
        <f t="shared" si="1"/>
        <v>0</v>
      </c>
      <c r="I55" s="43">
        <f t="shared" si="1"/>
        <v>0</v>
      </c>
      <c r="K55" s="14"/>
      <c r="L55" s="14"/>
      <c r="M55" s="14"/>
      <c r="N55" s="14"/>
    </row>
    <row r="56" spans="1:20" s="16" customFormat="1" ht="65.25" hidden="1" customHeight="1" x14ac:dyDescent="0.25">
      <c r="A56" s="1" t="str">
        <f t="shared" si="0"/>
        <v>Circuit Criminal Drug Trafficking  Cases</v>
      </c>
      <c r="B56" s="1">
        <f>IF(E56="YES",MAX(B$50:B55)+1,0)</f>
        <v>0</v>
      </c>
      <c r="C56" s="1" t="str">
        <f>A$16</f>
        <v>CGE CQ2-16</v>
      </c>
      <c r="D56" s="42" t="str">
        <f>"After 3rd Q, Collections went up by more than set percentage of: "&amp;TEXT(J56,"#0%")</f>
        <v>After 3rd Q, Collections went up by more than set percentage of: 500%</v>
      </c>
      <c r="E56" s="1" t="str">
        <f>IF(MAX(F56:G56)&gt;V$11,"YES","NO")</f>
        <v>NO</v>
      </c>
      <c r="F56" s="43">
        <f>IFERROR(IF(NOT(ISBLANK(H17)),(H17-G17)/G17,0),0)</f>
        <v>0</v>
      </c>
      <c r="G56" s="43">
        <f>IFERROR(IF(NOT(ISBLANK(I17)),(I17-H17)/H17,0),0)</f>
        <v>0</v>
      </c>
      <c r="H56" s="43"/>
      <c r="I56" s="1"/>
      <c r="J56" s="41">
        <f>V$11</f>
        <v>5</v>
      </c>
      <c r="K56" s="14"/>
      <c r="L56" s="14"/>
      <c r="M56" s="14"/>
      <c r="N56" s="14"/>
      <c r="O56" s="11"/>
      <c r="P56" s="1"/>
      <c r="T56" s="91" t="s">
        <v>103</v>
      </c>
    </row>
    <row r="57" spans="1:20" ht="60.75" hidden="1" customHeight="1" x14ac:dyDescent="0.25">
      <c r="A57" s="1" t="str">
        <f t="shared" si="0"/>
        <v>Circuit Criminal Drug Trafficking  Cases</v>
      </c>
      <c r="B57" s="1">
        <f>IF(E57="YES",MAX(B$50:B56)+1,0)</f>
        <v>0</v>
      </c>
      <c r="C57" s="1" t="str">
        <f>A$16</f>
        <v>CGE CQ2-16</v>
      </c>
      <c r="D57" s="42" t="str">
        <f>"Assessments dropped by more than set percentage of: "&amp;TEXT(J57,"#0%")</f>
        <v>Assessments dropped by more than set percentage of: 15%</v>
      </c>
      <c r="E57" s="1" t="str">
        <f>IF(MIN(F57:I57)&lt;(-1*V$12),"YES","NO")</f>
        <v>NO</v>
      </c>
      <c r="F57" s="43">
        <f>IFERROR(IF(NOT(ISBLANK(F18)),(F18-E18)/E18,0),0)</f>
        <v>2.3225261577440998E-2</v>
      </c>
      <c r="G57" s="43">
        <f>IFERROR(IF(NOT(ISBLANK(G18)),(G18-F18)/F18,0),0)</f>
        <v>-2.2927366104181952E-2</v>
      </c>
      <c r="H57" s="43">
        <f>IFERROR(IF(NOT(ISBLANK(H18)),(H18-G18)/G18,0),0)</f>
        <v>0</v>
      </c>
      <c r="I57" s="43">
        <f>IFERROR(IF(NOT(ISBLANK(I18)),(I18-H18)/H18,0),0)</f>
        <v>0</v>
      </c>
      <c r="J57" s="41">
        <f>V$12</f>
        <v>0.15</v>
      </c>
      <c r="K57" s="14"/>
      <c r="L57" s="14"/>
      <c r="M57" s="14"/>
      <c r="N57" s="14"/>
      <c r="O57" s="15"/>
      <c r="P57" s="10"/>
      <c r="T57" s="91" t="s">
        <v>108</v>
      </c>
    </row>
    <row r="58" spans="1:20" ht="52.5" hidden="1" customHeight="1" x14ac:dyDescent="0.25">
      <c r="A58" s="1" t="str">
        <f t="shared" si="0"/>
        <v>Circuit Criminal Drug Trafficking  Cases</v>
      </c>
      <c r="B58" s="1">
        <f>IF(E58="YES",MAX(B$50:B57)+1,0)</f>
        <v>0</v>
      </c>
      <c r="C58" s="1" t="str">
        <f>A$16</f>
        <v>CGE CQ2-16</v>
      </c>
      <c r="D58" s="42" t="s">
        <v>133</v>
      </c>
      <c r="E58" s="1" t="str">
        <f>IF(MIN(F58:I58)&lt;0,"YES","NO")</f>
        <v>NO</v>
      </c>
      <c r="F58" s="43">
        <f t="shared" ref="F58:I59" si="2">IFERROR(IF(NOT(ISBLANK(F17)),(F17-E17)/E17,0),0)</f>
        <v>2.6595744680851064E-2</v>
      </c>
      <c r="G58" s="43">
        <f t="shared" si="2"/>
        <v>0</v>
      </c>
      <c r="H58" s="43">
        <f t="shared" si="2"/>
        <v>0</v>
      </c>
      <c r="I58" s="43">
        <f t="shared" si="2"/>
        <v>0</v>
      </c>
      <c r="K58" s="14"/>
      <c r="L58" s="14"/>
      <c r="M58" s="14"/>
      <c r="N58" s="14"/>
      <c r="O58" s="15"/>
      <c r="P58" s="10"/>
    </row>
    <row r="59" spans="1:20" s="16" customFormat="1" ht="45" hidden="1" customHeight="1" x14ac:dyDescent="0.25">
      <c r="A59" s="1" t="str">
        <f t="shared" si="0"/>
        <v>Circuit Criminal Drug Trafficking  Cases</v>
      </c>
      <c r="B59" s="1">
        <f>IF(E59="YES",MAX(B$50:B58)+1,0)</f>
        <v>3</v>
      </c>
      <c r="C59" s="1" t="str">
        <f>A$16</f>
        <v>CGE CQ2-16</v>
      </c>
      <c r="D59" s="42" t="s">
        <v>134</v>
      </c>
      <c r="E59" s="1" t="str">
        <f>IF(MAX(F59:I59)&gt;0,"YES","NO")</f>
        <v>YES</v>
      </c>
      <c r="F59" s="43">
        <f t="shared" si="2"/>
        <v>2.3225261577440998E-2</v>
      </c>
      <c r="G59" s="43">
        <f t="shared" si="2"/>
        <v>-2.2927366104181952E-2</v>
      </c>
      <c r="H59" s="43">
        <f t="shared" si="2"/>
        <v>0</v>
      </c>
      <c r="I59" s="43">
        <f t="shared" si="2"/>
        <v>0</v>
      </c>
      <c r="J59" s="1"/>
      <c r="K59" s="14"/>
      <c r="L59" s="14"/>
      <c r="M59" s="14"/>
      <c r="N59" s="14"/>
      <c r="O59" s="11"/>
      <c r="P59" s="1"/>
    </row>
    <row r="60" spans="1:20" ht="96.6" hidden="1" x14ac:dyDescent="0.25">
      <c r="A60" s="1" t="str">
        <f t="shared" si="0"/>
        <v>Circuit Criminal Drug Trafficking  Cases</v>
      </c>
      <c r="B60" s="1">
        <f>IF(E60="YES",MAX(B$50:B59)+1,0)</f>
        <v>0</v>
      </c>
      <c r="C60" s="1" t="str">
        <f>A$16</f>
        <v>CGE CQ2-16</v>
      </c>
      <c r="D60" s="42" t="str">
        <f>"The 5th Quarter Collection Rate did not meet the established performance measure standard of: "&amp;TEXT(J60,"#0%")</f>
        <v>The 5th Quarter Collection Rate did not meet the established performance measure standard of: 0%</v>
      </c>
      <c r="E60" s="1" t="str">
        <f>IF(F60="N/A","NO",IF(F60&lt;H$8,"YES","NO"))</f>
        <v>NO</v>
      </c>
      <c r="F60" s="44">
        <f>I19</f>
        <v>9.0576309367373757E-4</v>
      </c>
      <c r="J60" s="41">
        <f>H$8</f>
        <v>0</v>
      </c>
      <c r="K60" s="14"/>
      <c r="L60" s="14"/>
      <c r="M60" s="14"/>
      <c r="N60" s="14"/>
    </row>
    <row r="61" spans="1:20" ht="65.25" hidden="1" customHeight="1" x14ac:dyDescent="0.3">
      <c r="A61" s="1" t="str">
        <f t="shared" si="0"/>
        <v>Circuit Criminal Drug Trafficking  Cases</v>
      </c>
      <c r="B61" s="1">
        <f>IF(E61="YES",MAX(B$50:B60)+1,0)</f>
        <v>0</v>
      </c>
      <c r="C61" s="1" t="str">
        <f>A$20</f>
        <v>CGE CQ3-16</v>
      </c>
      <c r="D61" s="42" t="str">
        <f>"After 3rd Q, Collections went up by more than set percentage of: "&amp;TEXT(J61,"#0%")</f>
        <v>After 3rd Q, Collections went up by more than set percentage of: 500%</v>
      </c>
      <c r="E61" s="1" t="str">
        <f>IF(MAX(F61:G61)&gt;V$11,"YES","NO")</f>
        <v>NO</v>
      </c>
      <c r="F61" s="43">
        <f>IFERROR(IF(NOT(ISBLANK(I21)),(I21-H21)/H21,0),0)</f>
        <v>0</v>
      </c>
      <c r="G61" s="43">
        <f>IFERROR(IF(NOT(ISBLANK(J21)),(J21-I21)/I21,0),0)</f>
        <v>0</v>
      </c>
      <c r="J61" s="41">
        <f>V$11</f>
        <v>5</v>
      </c>
      <c r="K61" s="14"/>
      <c r="L61" s="14"/>
      <c r="M61" s="14"/>
      <c r="N61" s="14"/>
      <c r="O61" s="11"/>
      <c r="P61" s="18"/>
      <c r="T61" s="91" t="s">
        <v>104</v>
      </c>
    </row>
    <row r="62" spans="1:20" ht="60.75" hidden="1" customHeight="1" x14ac:dyDescent="0.25">
      <c r="A62" s="1" t="str">
        <f t="shared" si="0"/>
        <v>Circuit Criminal Drug Trafficking  Cases</v>
      </c>
      <c r="B62" s="1">
        <f>IF(E62="YES",MAX(B$50:B61)+1,0)</f>
        <v>0</v>
      </c>
      <c r="C62" s="1" t="str">
        <f>A$20</f>
        <v>CGE CQ3-16</v>
      </c>
      <c r="D62" s="42" t="str">
        <f>"Assessments dropped by more than set percentage of: "&amp;TEXT(J62,"#0%")</f>
        <v>Assessments dropped by more than set percentage of: 15%</v>
      </c>
      <c r="E62" s="1" t="str">
        <f>IF(MIN(F62:I62)&lt;(-1*V$12),"YES","NO")</f>
        <v>NO</v>
      </c>
      <c r="F62" s="43">
        <f>IFERROR(IF(NOT(ISBLANK(G22)),(G22-F22)/F22,0),0)</f>
        <v>-4.6261544452764325E-4</v>
      </c>
      <c r="G62" s="43">
        <f>IFERROR(IF(NOT(ISBLANK(H22)),(H22-G22)/G22,0),0)</f>
        <v>4.165466009658512E-4</v>
      </c>
      <c r="H62" s="43">
        <f>IFERROR(IF(NOT(ISBLANK(I22)),(I22-H22)/H22,0),0)</f>
        <v>0</v>
      </c>
      <c r="I62" s="43">
        <f>IFERROR(IF(NOT(ISBLANK(J22)),(J22-I22)/I22,0),0)</f>
        <v>0</v>
      </c>
      <c r="J62" s="41">
        <f>V$12</f>
        <v>0.15</v>
      </c>
      <c r="K62" s="14"/>
      <c r="L62" s="14"/>
      <c r="M62" s="14"/>
      <c r="N62" s="14"/>
      <c r="O62" s="15"/>
      <c r="P62" s="10"/>
      <c r="T62" s="91" t="s">
        <v>109</v>
      </c>
    </row>
    <row r="63" spans="1:20" ht="52.5" hidden="1" customHeight="1" x14ac:dyDescent="0.25">
      <c r="A63" s="1" t="str">
        <f t="shared" si="0"/>
        <v>Circuit Criminal Drug Trafficking  Cases</v>
      </c>
      <c r="B63" s="1">
        <f>IF(E63="YES",MAX(B$50:B62)+1,0)</f>
        <v>0</v>
      </c>
      <c r="C63" s="1" t="str">
        <f>A$20</f>
        <v>CGE CQ3-16</v>
      </c>
      <c r="D63" s="42" t="s">
        <v>133</v>
      </c>
      <c r="E63" s="1" t="str">
        <f>IF(MIN(F63:I63)&lt;0,"YES","NO")</f>
        <v>NO</v>
      </c>
      <c r="F63" s="43">
        <f t="shared" ref="F63:I64" si="3">IFERROR(IF(NOT(ISBLANK(G21)),(G21-F21)/F21,0),0)</f>
        <v>6.5217391304347824E-2</v>
      </c>
      <c r="G63" s="43">
        <f t="shared" si="3"/>
        <v>0</v>
      </c>
      <c r="H63" s="43">
        <f t="shared" si="3"/>
        <v>0</v>
      </c>
      <c r="I63" s="43">
        <f t="shared" si="3"/>
        <v>0</v>
      </c>
      <c r="K63" s="14"/>
      <c r="L63" s="14"/>
      <c r="M63" s="14"/>
      <c r="N63" s="14"/>
      <c r="O63" s="15"/>
      <c r="P63" s="10"/>
    </row>
    <row r="64" spans="1:20" ht="45" hidden="1" customHeight="1" x14ac:dyDescent="0.25">
      <c r="A64" s="1" t="str">
        <f t="shared" si="0"/>
        <v>Circuit Criminal Drug Trafficking  Cases</v>
      </c>
      <c r="B64" s="1">
        <f>IF(E64="YES",MAX(B$50:B63)+1,0)</f>
        <v>4</v>
      </c>
      <c r="C64" s="1" t="str">
        <f>A$20</f>
        <v>CGE CQ3-16</v>
      </c>
      <c r="D64" s="42" t="s">
        <v>134</v>
      </c>
      <c r="E64" s="1" t="str">
        <f>IF(MAX(F64:I64)&gt;0,"YES","NO")</f>
        <v>YES</v>
      </c>
      <c r="F64" s="43">
        <f t="shared" si="3"/>
        <v>-4.6261544452764325E-4</v>
      </c>
      <c r="G64" s="43">
        <f t="shared" si="3"/>
        <v>4.165466009658512E-4</v>
      </c>
      <c r="H64" s="43">
        <f t="shared" si="3"/>
        <v>0</v>
      </c>
      <c r="I64" s="43">
        <f t="shared" si="3"/>
        <v>0</v>
      </c>
      <c r="K64" s="14"/>
      <c r="L64" s="14"/>
      <c r="M64" s="14"/>
      <c r="N64" s="14"/>
      <c r="O64" s="11"/>
    </row>
    <row r="65" spans="1:20" ht="96.6" hidden="1" x14ac:dyDescent="0.25">
      <c r="A65" s="1" t="str">
        <f t="shared" si="0"/>
        <v>Circuit Criminal Drug Trafficking  Cases</v>
      </c>
      <c r="B65" s="1">
        <f>IF(E65="YES",MAX(B$50:B64)+1,0)</f>
        <v>0</v>
      </c>
      <c r="C65" s="1" t="str">
        <f>A$20</f>
        <v>CGE CQ3-16</v>
      </c>
      <c r="D65" s="42" t="str">
        <f>"The 5th Quarter Collection Rate did not meet the established performance measure standard of: "&amp;TEXT(J65,"#0%")</f>
        <v>The 5th Quarter Collection Rate did not meet the established performance measure standard of: 0%</v>
      </c>
      <c r="E65" s="1" t="str">
        <f>IF(F65="N/A","NO",IF(F65&lt;H$8,"YES","NO"))</f>
        <v>NO</v>
      </c>
      <c r="F65" s="44" t="str">
        <f>J23</f>
        <v>N/A</v>
      </c>
      <c r="J65" s="41">
        <f>H$8</f>
        <v>0</v>
      </c>
      <c r="K65" s="14"/>
      <c r="L65" s="14"/>
      <c r="M65" s="14"/>
      <c r="N65" s="14"/>
    </row>
    <row r="66" spans="1:20" ht="65.25" hidden="1" customHeight="1" x14ac:dyDescent="0.25">
      <c r="A66" s="1" t="str">
        <f t="shared" si="0"/>
        <v>Circuit Criminal Drug Trafficking  Cases</v>
      </c>
      <c r="B66" s="1">
        <f>IF(E66="YES",MAX(B$50:B65)+1,0)</f>
        <v>0</v>
      </c>
      <c r="C66" s="1" t="str">
        <f>A$24</f>
        <v>CGE CQ4-16</v>
      </c>
      <c r="D66" s="42" t="str">
        <f>"After 3rd Q, Collections went up by more than set percentage of: "&amp;TEXT(J66,"#0%")</f>
        <v>After 3rd Q, Collections went up by more than set percentage of: 500%</v>
      </c>
      <c r="E66" s="1" t="str">
        <f>IF(MAX(F66:G66)&gt;V$11,"YES","NO")</f>
        <v>NO</v>
      </c>
      <c r="F66" s="43">
        <f>IFERROR(IF(NOT(ISBLANK(J25)),(J25-I25)/I25,0),0)</f>
        <v>0</v>
      </c>
      <c r="G66" s="43">
        <f>IFERROR(IF(NOT(ISBLANK(K25)),(K25-J25)/J25,0),0)</f>
        <v>0</v>
      </c>
      <c r="J66" s="41">
        <f>V$11</f>
        <v>5</v>
      </c>
      <c r="K66" s="14"/>
      <c r="L66" s="14"/>
      <c r="M66" s="14"/>
      <c r="N66" s="14"/>
      <c r="O66" s="15"/>
      <c r="P66" s="10"/>
      <c r="T66" s="91" t="s">
        <v>105</v>
      </c>
    </row>
    <row r="67" spans="1:20" ht="60.75" hidden="1" customHeight="1" x14ac:dyDescent="0.25">
      <c r="A67" s="1" t="str">
        <f t="shared" si="0"/>
        <v>Circuit Criminal Drug Trafficking  Cases</v>
      </c>
      <c r="B67" s="1">
        <f>IF(E67="YES",MAX(B$50:B66)+1,0)</f>
        <v>0</v>
      </c>
      <c r="C67" s="1" t="str">
        <f>A$24</f>
        <v>CGE CQ4-16</v>
      </c>
      <c r="D67" s="42" t="str">
        <f>"Assessments dropped by more than set percentage of: "&amp;TEXT(J67,"#0%")</f>
        <v>Assessments dropped by more than set percentage of: 15%</v>
      </c>
      <c r="E67" s="1" t="str">
        <f>IF(MIN(F67:I67)&lt;(-1*V$12),"YES","NO")</f>
        <v>NO</v>
      </c>
      <c r="F67" s="43">
        <f>IFERROR(IF(NOT(ISBLANK(H26)),(H26-G26)/G26,0),0)</f>
        <v>2.1097837706055548E-4</v>
      </c>
      <c r="G67" s="43">
        <f>IFERROR(IF(NOT(ISBLANK(I26)),(I26-H26)/H26,0),0)</f>
        <v>0</v>
      </c>
      <c r="H67" s="43">
        <f>IFERROR(IF(NOT(ISBLANK(J26)),(J26-I26)/I26,0),0)</f>
        <v>0</v>
      </c>
      <c r="I67" s="43">
        <f>IFERROR(IF(NOT(ISBLANK(K26)),(K26-J26)/J26,0),0)</f>
        <v>0</v>
      </c>
      <c r="J67" s="41">
        <f>V$12</f>
        <v>0.15</v>
      </c>
      <c r="K67" s="14"/>
      <c r="L67" s="14"/>
      <c r="M67" s="14"/>
      <c r="N67" s="14"/>
      <c r="O67" s="15"/>
      <c r="P67" s="10"/>
      <c r="T67" s="91" t="s">
        <v>110</v>
      </c>
    </row>
    <row r="68" spans="1:20" ht="52.5" hidden="1" customHeight="1" x14ac:dyDescent="0.25">
      <c r="A68" s="1" t="str">
        <f t="shared" si="0"/>
        <v>Circuit Criminal Drug Trafficking  Cases</v>
      </c>
      <c r="B68" s="1">
        <f>IF(E68="YES",MAX(B$50:B67)+1,0)</f>
        <v>0</v>
      </c>
      <c r="C68" s="1" t="str">
        <f>A$24</f>
        <v>CGE CQ4-16</v>
      </c>
      <c r="D68" s="42" t="s">
        <v>133</v>
      </c>
      <c r="E68" s="1" t="str">
        <f>IF(MIN(F68:I68)&lt;0,"YES","NO")</f>
        <v>NO</v>
      </c>
      <c r="F68" s="43">
        <f t="shared" ref="F68:I69" si="4">IFERROR(IF(NOT(ISBLANK(H25)),(H25-G25)/G25,0),0)</f>
        <v>0.25490196078431371</v>
      </c>
      <c r="G68" s="43">
        <f t="shared" si="4"/>
        <v>0</v>
      </c>
      <c r="H68" s="43">
        <f t="shared" si="4"/>
        <v>0</v>
      </c>
      <c r="I68" s="43">
        <f t="shared" si="4"/>
        <v>0</v>
      </c>
      <c r="K68" s="14"/>
      <c r="L68" s="14"/>
      <c r="M68" s="14"/>
      <c r="N68" s="14"/>
      <c r="O68" s="15"/>
      <c r="P68" s="10"/>
    </row>
    <row r="69" spans="1:20" ht="45" hidden="1" customHeight="1" x14ac:dyDescent="0.25">
      <c r="A69" s="1" t="str">
        <f t="shared" si="0"/>
        <v>Circuit Criminal Drug Trafficking  Cases</v>
      </c>
      <c r="B69" s="1">
        <f>IF(E69="YES",MAX(B$50:B68)+1,0)</f>
        <v>5</v>
      </c>
      <c r="C69" s="1" t="str">
        <f>A$24</f>
        <v>CGE CQ4-16</v>
      </c>
      <c r="D69" s="42" t="s">
        <v>134</v>
      </c>
      <c r="E69" s="1" t="str">
        <f>IF(MAX(F69:I69)&gt;0,"YES","NO")</f>
        <v>YES</v>
      </c>
      <c r="F69" s="43">
        <f t="shared" si="4"/>
        <v>2.1097837706055548E-4</v>
      </c>
      <c r="G69" s="43">
        <f t="shared" si="4"/>
        <v>0</v>
      </c>
      <c r="H69" s="43">
        <f t="shared" si="4"/>
        <v>0</v>
      </c>
      <c r="I69" s="43">
        <f t="shared" si="4"/>
        <v>0</v>
      </c>
      <c r="K69" s="14"/>
      <c r="L69" s="14"/>
      <c r="M69" s="14"/>
      <c r="N69" s="14"/>
    </row>
    <row r="70" spans="1:20" ht="96.6" hidden="1" x14ac:dyDescent="0.25">
      <c r="A70" s="1" t="str">
        <f t="shared" si="0"/>
        <v>Circuit Criminal Drug Trafficking  Cases</v>
      </c>
      <c r="B70" s="1">
        <f>IF(E70="YES",MAX(B$50:B69)+1,0)</f>
        <v>0</v>
      </c>
      <c r="C70" s="1" t="str">
        <f>A$24</f>
        <v>CGE CQ4-16</v>
      </c>
      <c r="D70" s="42" t="str">
        <f>"The 5th Quarter Collection Rate did not meet the established performance measure standard of: "&amp;TEXT(J70,"#0%")</f>
        <v>The 5th Quarter Collection Rate did not meet the established performance measure standard of: 0%</v>
      </c>
      <c r="E70" s="1" t="str">
        <f>IF(F70="N/A","NO",IF(F70&lt;H$8,"YES","NO"))</f>
        <v>NO</v>
      </c>
      <c r="F70" s="44" t="str">
        <f>K27</f>
        <v>N/A</v>
      </c>
      <c r="J70" s="41">
        <f>H$8</f>
        <v>0</v>
      </c>
      <c r="K70" s="14"/>
      <c r="L70" s="14"/>
      <c r="M70" s="14"/>
      <c r="N70" s="14"/>
    </row>
    <row r="71" spans="1:20" s="18" customFormat="1" ht="65.25" hidden="1" customHeight="1" x14ac:dyDescent="0.3">
      <c r="A71" s="1" t="str">
        <f t="shared" si="0"/>
        <v>Circuit Criminal Drug Trafficking  Cases</v>
      </c>
      <c r="B71" s="1">
        <f>IF(E71="YES",MAX(B$50:B70)+1,0)</f>
        <v>0</v>
      </c>
      <c r="C71" s="1" t="str">
        <f>A$28</f>
        <v>CGE CQ1-17</v>
      </c>
      <c r="D71" s="42" t="str">
        <f>"After 3rd Q, Collections went up by more than set percentage of: "&amp;TEXT(J71,"#0%")</f>
        <v>After 3rd Q, Collections went up by more than set percentage of: 500%</v>
      </c>
      <c r="E71" s="1" t="str">
        <f>IF(MAX(F71)&gt;V$11,"YES","NO")</f>
        <v>NO</v>
      </c>
      <c r="F71" s="43">
        <f>IFERROR(IF(NOT(ISBLANK(K29)),(K29-J29)/J29,0),0)</f>
        <v>0</v>
      </c>
      <c r="G71" s="43"/>
      <c r="H71" s="1"/>
      <c r="I71" s="1"/>
      <c r="J71" s="41">
        <f>V$11</f>
        <v>5</v>
      </c>
      <c r="K71" s="14"/>
      <c r="L71" s="14"/>
      <c r="M71" s="14"/>
      <c r="N71" s="14"/>
      <c r="O71" s="17"/>
      <c r="P71" s="10"/>
      <c r="T71" s="91" t="s">
        <v>106</v>
      </c>
    </row>
    <row r="72" spans="1:20" ht="60.75" hidden="1" customHeight="1" x14ac:dyDescent="0.25">
      <c r="A72" s="1" t="str">
        <f t="shared" si="0"/>
        <v>Circuit Criminal Drug Trafficking  Cases</v>
      </c>
      <c r="B72" s="1">
        <f>IF(E72="YES",MAX(B$50:B71)+1,0)</f>
        <v>0</v>
      </c>
      <c r="C72" s="1" t="str">
        <f>A$28</f>
        <v>CGE CQ1-17</v>
      </c>
      <c r="D72" s="42" t="str">
        <f>"Assessments dropped by more than set percentage of: "&amp;TEXT(J72,"#0%")</f>
        <v>Assessments dropped by more than set percentage of: 15%</v>
      </c>
      <c r="E72" s="1" t="str">
        <f>IF(MIN(F72:H72)&lt;(-1*V$12),"YES","NO")</f>
        <v>NO</v>
      </c>
      <c r="F72" s="43">
        <f>IFERROR(IF(NOT(ISBLANK(I30)),(I30-H30)/H30,0),0)</f>
        <v>9.2863875488115744E-4</v>
      </c>
      <c r="G72" s="43">
        <f>IFERROR(IF(NOT(ISBLANK(J30)),(J30-I30)/I30,0),0)</f>
        <v>0</v>
      </c>
      <c r="H72" s="43">
        <f>IFERROR(IF(NOT(ISBLANK(K30)),(K30-J30)/J30,0),0)</f>
        <v>0</v>
      </c>
      <c r="J72" s="41">
        <f>V$12</f>
        <v>0.15</v>
      </c>
      <c r="K72" s="14"/>
      <c r="L72" s="14"/>
      <c r="M72" s="14"/>
      <c r="N72" s="14"/>
      <c r="O72" s="15"/>
      <c r="P72" s="10"/>
      <c r="T72" s="91" t="s">
        <v>111</v>
      </c>
    </row>
    <row r="73" spans="1:20" ht="52.5" hidden="1" customHeight="1" x14ac:dyDescent="0.25">
      <c r="A73" s="1" t="str">
        <f t="shared" si="0"/>
        <v>Circuit Criminal Drug Trafficking  Cases</v>
      </c>
      <c r="B73" s="1">
        <f>IF(E73="YES",MAX(B$50:B72)+1,0)</f>
        <v>0</v>
      </c>
      <c r="C73" s="1" t="str">
        <f>A$28</f>
        <v>CGE CQ1-17</v>
      </c>
      <c r="D73" s="42" t="s">
        <v>133</v>
      </c>
      <c r="E73" s="1" t="str">
        <f>IF(MIN(F73:H73)&lt;0,"YES","NO")</f>
        <v>NO</v>
      </c>
      <c r="F73" s="43">
        <f t="shared" ref="F73:H74" si="5">IFERROR(IF(NOT(ISBLANK(I29)),(I29-H29)/H29,0),0)</f>
        <v>0</v>
      </c>
      <c r="G73" s="43">
        <f t="shared" si="5"/>
        <v>0</v>
      </c>
      <c r="H73" s="43">
        <f t="shared" si="5"/>
        <v>0</v>
      </c>
      <c r="K73" s="14"/>
      <c r="L73" s="14"/>
      <c r="M73" s="14"/>
      <c r="N73" s="14"/>
      <c r="O73" s="15"/>
      <c r="P73" s="10"/>
    </row>
    <row r="74" spans="1:20" ht="45" hidden="1" customHeight="1" x14ac:dyDescent="0.25">
      <c r="A74" s="1" t="str">
        <f t="shared" si="0"/>
        <v>Circuit Criminal Drug Trafficking  Cases</v>
      </c>
      <c r="B74" s="1">
        <f>IF(E74="YES",MAX(B$50:B73)+1,0)</f>
        <v>6</v>
      </c>
      <c r="C74" s="1" t="str">
        <f>A$28</f>
        <v>CGE CQ1-17</v>
      </c>
      <c r="D74" s="42" t="s">
        <v>134</v>
      </c>
      <c r="E74" s="1" t="str">
        <f>IF(MAX(F74:H74)&gt;0,"YES","NO")</f>
        <v>YES</v>
      </c>
      <c r="F74" s="43">
        <f t="shared" si="5"/>
        <v>9.2863875488115744E-4</v>
      </c>
      <c r="G74" s="43">
        <f t="shared" si="5"/>
        <v>0</v>
      </c>
      <c r="H74" s="43">
        <f t="shared" si="5"/>
        <v>0</v>
      </c>
      <c r="K74" s="14"/>
      <c r="L74" s="14"/>
      <c r="M74" s="14"/>
      <c r="N74" s="14"/>
    </row>
    <row r="75" spans="1:20" ht="60.75" hidden="1" customHeight="1" x14ac:dyDescent="0.25">
      <c r="A75" s="1" t="str">
        <f t="shared" si="0"/>
        <v>Circuit Criminal Drug Trafficking  Cases</v>
      </c>
      <c r="B75" s="1">
        <f>IF(E75="YES",MAX(B$50:B74)+1,0)</f>
        <v>0</v>
      </c>
      <c r="C75" s="1" t="str">
        <f>A$32</f>
        <v>CGE CQ2-17</v>
      </c>
      <c r="D75" s="42" t="str">
        <f>"Assessments dropped by more than set percentage of: "&amp;TEXT(J75,"#0%")</f>
        <v>Assessments dropped by more than set percentage of: 15%</v>
      </c>
      <c r="E75" s="1" t="str">
        <f>IF(MIN(F75:G75)&lt;(-1*V$12),"YES","NO")</f>
        <v>NO</v>
      </c>
      <c r="F75" s="43">
        <f>IFERROR(IF(NOT(ISBLANK(J34)),(J34-I34)/I34,0),0)</f>
        <v>0</v>
      </c>
      <c r="G75" s="43">
        <f>IFERROR(IF(NOT(ISBLANK(K34)),(K34-J34)/J34,0),0)</f>
        <v>0</v>
      </c>
      <c r="J75" s="41">
        <f>V$12</f>
        <v>0.15</v>
      </c>
      <c r="K75" s="14"/>
      <c r="L75" s="14"/>
      <c r="M75" s="14"/>
      <c r="N75" s="14"/>
      <c r="O75" s="15"/>
      <c r="P75" s="10"/>
      <c r="T75" s="91" t="s">
        <v>112</v>
      </c>
    </row>
    <row r="76" spans="1:20" ht="52.5" hidden="1" customHeight="1" x14ac:dyDescent="0.25">
      <c r="A76" s="1" t="str">
        <f t="shared" si="0"/>
        <v>Circuit Criminal Drug Trafficking  Cases</v>
      </c>
      <c r="B76" s="1">
        <f>IF(E76="YES",MAX(B$50:B75)+1,0)</f>
        <v>0</v>
      </c>
      <c r="C76" s="1" t="str">
        <f>A$32</f>
        <v>CGE CQ2-17</v>
      </c>
      <c r="D76" s="42" t="s">
        <v>133</v>
      </c>
      <c r="E76" s="1" t="str">
        <f>IF(MIN(F76:G76)&lt;0,"YES","NO")</f>
        <v>NO</v>
      </c>
      <c r="F76" s="43">
        <f>IFERROR(IF(NOT(ISBLANK(J33)),(J33-I33)/I33,0),0)</f>
        <v>0</v>
      </c>
      <c r="G76" s="43">
        <f>IFERROR(IF(NOT(ISBLANK(K33)),(K33-J33)/J33,0),0)</f>
        <v>0</v>
      </c>
      <c r="K76" s="14"/>
      <c r="L76" s="14"/>
      <c r="M76" s="14"/>
      <c r="N76" s="14"/>
      <c r="O76" s="15"/>
      <c r="P76" s="10"/>
    </row>
    <row r="77" spans="1:20" ht="45" hidden="1" customHeight="1" x14ac:dyDescent="0.25">
      <c r="A77" s="1" t="str">
        <f t="shared" si="0"/>
        <v>Circuit Criminal Drug Trafficking  Cases</v>
      </c>
      <c r="B77" s="1">
        <f>IF(E77="YES",MAX(B$50:B76)+1,0)</f>
        <v>0</v>
      </c>
      <c r="C77" s="1" t="str">
        <f>A$32</f>
        <v>CGE CQ2-17</v>
      </c>
      <c r="D77" s="42" t="s">
        <v>134</v>
      </c>
      <c r="E77" s="1" t="str">
        <f>IF(MAX(F77:G77)&gt;0,"YES","NO")</f>
        <v>NO</v>
      </c>
      <c r="F77" s="43">
        <f>IFERROR(IF(NOT(ISBLANK(J34)),(J34-I34)/I34,0),0)</f>
        <v>0</v>
      </c>
      <c r="G77" s="43">
        <f>IFERROR(IF(NOT(ISBLANK(K34)),(K34-J34)/J34,0),0)</f>
        <v>0</v>
      </c>
      <c r="K77" s="14"/>
      <c r="L77" s="14"/>
      <c r="M77" s="14"/>
      <c r="N77" s="14"/>
    </row>
    <row r="78" spans="1:20" ht="60.75" hidden="1" customHeight="1" x14ac:dyDescent="0.25">
      <c r="A78" s="1" t="str">
        <f t="shared" si="0"/>
        <v>Circuit Criminal Drug Trafficking  Cases</v>
      </c>
      <c r="B78" s="1">
        <f>IF(E78="YES",MAX(B$50:B77)+1,0)</f>
        <v>0</v>
      </c>
      <c r="C78" s="1" t="str">
        <f>A$36</f>
        <v>CGE CQ3-17</v>
      </c>
      <c r="D78" s="42" t="str">
        <f>"Assessments dropped by more than set percentage of: "&amp;TEXT(J78,"#0%")</f>
        <v>Assessments dropped by more than set percentage of: 15%</v>
      </c>
      <c r="E78" s="1" t="str">
        <f>IF(MIN(F78)&lt;(-1*V$12),"YES","NO")</f>
        <v>NO</v>
      </c>
      <c r="F78" s="43">
        <f>IFERROR(IF(NOT(ISBLANK(K38)),(K38-J38)/J38,0),0)</f>
        <v>0</v>
      </c>
      <c r="J78" s="41">
        <f>V$12</f>
        <v>0.15</v>
      </c>
      <c r="K78" s="14"/>
      <c r="L78" s="14"/>
      <c r="M78" s="14"/>
      <c r="N78" s="14"/>
      <c r="O78" s="15"/>
      <c r="P78" s="10"/>
      <c r="T78" s="91" t="s">
        <v>113</v>
      </c>
    </row>
    <row r="79" spans="1:20" ht="52.5" hidden="1" customHeight="1" x14ac:dyDescent="0.25">
      <c r="A79" s="1" t="str">
        <f t="shared" si="0"/>
        <v>Circuit Criminal Drug Trafficking  Cases</v>
      </c>
      <c r="B79" s="1">
        <f>IF(E79="YES",MAX(B$50:B78)+1,0)</f>
        <v>0</v>
      </c>
      <c r="C79" s="1" t="str">
        <f>A$36</f>
        <v>CGE CQ3-17</v>
      </c>
      <c r="D79" s="42" t="s">
        <v>133</v>
      </c>
      <c r="E79" s="1" t="str">
        <f>IF(MIN(F79)&lt;0,"YES","NO")</f>
        <v>NO</v>
      </c>
      <c r="F79" s="43">
        <f>IFERROR(IF(NOT(ISBLANK(K37)),(K37-J37)/J37,0),0)</f>
        <v>0</v>
      </c>
      <c r="K79" s="14"/>
      <c r="L79" s="14"/>
      <c r="M79" s="14"/>
      <c r="N79" s="14"/>
      <c r="O79" s="15"/>
    </row>
    <row r="80" spans="1:20" ht="45" hidden="1" customHeight="1" x14ac:dyDescent="0.25">
      <c r="A80" s="1" t="str">
        <f t="shared" si="0"/>
        <v>Circuit Criminal Drug Trafficking  Cases</v>
      </c>
      <c r="B80" s="1">
        <f>IF(E80="YES",MAX(B$50:B79)+1,0)</f>
        <v>0</v>
      </c>
      <c r="C80" s="1" t="str">
        <f>A$36</f>
        <v>CGE CQ3-17</v>
      </c>
      <c r="D80" s="42" t="s">
        <v>134</v>
      </c>
      <c r="E80" s="1" t="str">
        <f>IF(MAX(F80)&gt;0,"YES","NO")</f>
        <v>NO</v>
      </c>
      <c r="F80" s="43">
        <f>IFERROR(IF(NOT(ISBLANK(K38)),(K38-J38)/J38,0),0)</f>
        <v>0</v>
      </c>
      <c r="K80" s="14"/>
      <c r="L80" s="14"/>
      <c r="M80" s="14"/>
      <c r="N80" s="14"/>
    </row>
  </sheetData>
  <sheetProtection algorithmName="SHA-512" hashValue="gpYZyneL8aNJpsHZHyBTzVQp8T/oB8Z0yE2Rb1aUclNbMC+ylP3O6KqzUyyO3W/K5y+UXG/ZsUv9LJFDEgKKEA==" saltValue="r6O5/kpY5oIMqScOv2PnvQ==" spinCount="100000" sheet="1" objects="1" scenarios="1" selectLockedCells="1"/>
  <mergeCells count="31">
    <mergeCell ref="E26:E27"/>
    <mergeCell ref="F26:F27"/>
    <mergeCell ref="L19:M19"/>
    <mergeCell ref="L23:M23"/>
    <mergeCell ref="D44:G44"/>
    <mergeCell ref="H44:K44"/>
    <mergeCell ref="A40:A43"/>
    <mergeCell ref="B40:B43"/>
    <mergeCell ref="A24:A27"/>
    <mergeCell ref="B24:B27"/>
    <mergeCell ref="D26:D27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D6:E6"/>
    <mergeCell ref="D8:E8"/>
    <mergeCell ref="A12:A15"/>
    <mergeCell ref="B12:B15"/>
    <mergeCell ref="F6:M6"/>
    <mergeCell ref="L10:M10"/>
    <mergeCell ref="I12:I15"/>
    <mergeCell ref="F8:M8"/>
    <mergeCell ref="F9:M9"/>
    <mergeCell ref="L15:M15"/>
  </mergeCells>
  <conditionalFormatting sqref="I40:I43">
    <cfRule type="cellIs" dxfId="375" priority="122" stopIfTrue="1" operator="lessThan">
      <formula>$H$8</formula>
    </cfRule>
  </conditionalFormatting>
  <conditionalFormatting sqref="I40:I43">
    <cfRule type="cellIs" dxfId="374" priority="13" stopIfTrue="1" operator="lessThan">
      <formula>$H$8</formula>
    </cfRule>
  </conditionalFormatting>
  <conditionalFormatting sqref="K37">
    <cfRule type="expression" dxfId="373" priority="12">
      <formula>(K$37&lt;J$37)</formula>
    </cfRule>
  </conditionalFormatting>
  <conditionalFormatting sqref="K38">
    <cfRule type="expression" dxfId="372" priority="11">
      <formula>(K$38&gt;J$38)</formula>
    </cfRule>
  </conditionalFormatting>
  <conditionalFormatting sqref="I29">
    <cfRule type="expression" dxfId="371" priority="10">
      <formula>(I$29&lt;H$29)</formula>
    </cfRule>
  </conditionalFormatting>
  <conditionalFormatting sqref="J29">
    <cfRule type="expression" dxfId="370" priority="9">
      <formula>(J$29&lt;I$29)</formula>
    </cfRule>
  </conditionalFormatting>
  <conditionalFormatting sqref="K29">
    <cfRule type="expression" dxfId="369" priority="8">
      <formula>(K$29&lt;J$29)</formula>
    </cfRule>
  </conditionalFormatting>
  <conditionalFormatting sqref="I30">
    <cfRule type="expression" dxfId="368" priority="7">
      <formula>(I$30&gt;H$30)</formula>
    </cfRule>
  </conditionalFormatting>
  <conditionalFormatting sqref="J30">
    <cfRule type="expression" dxfId="367" priority="6">
      <formula>(J$30&gt;I$30)</formula>
    </cfRule>
  </conditionalFormatting>
  <conditionalFormatting sqref="K30">
    <cfRule type="expression" dxfId="366" priority="5">
      <formula>(K$30&gt;J$30)</formula>
    </cfRule>
  </conditionalFormatting>
  <conditionalFormatting sqref="J33">
    <cfRule type="expression" dxfId="365" priority="4">
      <formula>(J$33&lt;I$33)</formula>
    </cfRule>
  </conditionalFormatting>
  <conditionalFormatting sqref="K33">
    <cfRule type="expression" dxfId="364" priority="3">
      <formula>(K$33&lt;J$33)</formula>
    </cfRule>
  </conditionalFormatting>
  <conditionalFormatting sqref="J34">
    <cfRule type="expression" dxfId="363" priority="2">
      <formula>(J$34&gt;I$34)</formula>
    </cfRule>
  </conditionalFormatting>
  <conditionalFormatting sqref="K34">
    <cfRule type="expression" dxfId="362" priority="1">
      <formula>(K$34&gt;J$34)</formula>
    </cfRule>
  </conditionalFormatting>
  <dataValidations count="2">
    <dataValidation type="textLength" allowBlank="1" showInputMessage="1" showErrorMessage="1" sqref="N11:N40 L11 M28:M29 M40:M41 M32:M33 M36:M37 M12:M13 M20:M21 M16:M17 M24:M25">
      <formula1>0</formula1>
      <formula2>500</formula2>
    </dataValidation>
    <dataValidation type="decimal" allowBlank="1" showInputMessage="1" showErrorMessage="1" sqref="J13:K14 H16:K17 J36:J38 J40:J43 H22:I22 G16 G26:I26 G40:H43 J19:K20 G29:I30 I32:I33 G20:I20 D13:H14">
      <formula1>0</formula1>
      <formula2>999999999999999</formula2>
    </dataValidation>
  </dataValidations>
  <printOptions horizontalCentered="1" verticalCentered="1"/>
  <pageMargins left="0.21" right="0.23" top="0.3" bottom="0.36" header="0.2" footer="0.17"/>
  <pageSetup scale="55" orientation="landscape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86"/>
  <sheetViews>
    <sheetView showGridLines="0" topLeftCell="B2" zoomScale="75" zoomScaleNormal="75" zoomScaleSheetLayoutView="115" workbookViewId="0">
      <selection activeCell="J20" sqref="J20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2" width="18.6640625" style="1" customWidth="1"/>
    <col min="13" max="13" width="33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13.6640625" style="1" hidden="1" customWidth="1"/>
    <col min="22" max="22" width="11.5546875" style="1" hidden="1" customWidth="1"/>
    <col min="23" max="23" width="13.33203125" style="1" hidden="1" customWidth="1"/>
    <col min="24" max="26" width="9.109375" style="1" hidden="1" customWidth="1"/>
    <col min="27" max="31" width="9.109375" style="1" customWidth="1"/>
    <col min="32" max="16384" width="9.109375" style="1"/>
  </cols>
  <sheetData>
    <row r="1" spans="1:22" ht="33" hidden="1" customHeight="1" x14ac:dyDescent="0.25"/>
    <row r="2" spans="1:22" ht="22.8" x14ac:dyDescent="0.4">
      <c r="K2" s="2"/>
      <c r="L2" s="2"/>
      <c r="M2" s="2" t="s">
        <v>241</v>
      </c>
      <c r="N2" s="2"/>
      <c r="T2" s="91" t="s">
        <v>48</v>
      </c>
    </row>
    <row r="3" spans="1:22" ht="22.8" x14ac:dyDescent="0.4">
      <c r="K3" s="2"/>
      <c r="L3" s="2"/>
      <c r="M3" s="2" t="s">
        <v>16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38" t="str">
        <f>'Circuit Criminal'!$D$4</f>
        <v>March 2016</v>
      </c>
      <c r="I4" s="223" t="s">
        <v>248</v>
      </c>
      <c r="J4" s="224"/>
      <c r="K4" s="224"/>
      <c r="L4" s="224"/>
      <c r="M4" s="225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37">
        <f>'Circuit Criminal'!$D$5</f>
        <v>1</v>
      </c>
      <c r="I5" s="226"/>
      <c r="J5" s="227" t="s">
        <v>249</v>
      </c>
      <c r="K5" s="227"/>
      <c r="L5" s="227"/>
      <c r="M5" s="228"/>
      <c r="T5" s="91" t="s">
        <v>50</v>
      </c>
    </row>
    <row r="6" spans="1:22" ht="20.25" customHeight="1" x14ac:dyDescent="0.25">
      <c r="A6" s="3"/>
      <c r="C6" s="6" t="s">
        <v>9</v>
      </c>
      <c r="D6" s="300" t="str">
        <f>'Circuit Criminal'!D6</f>
        <v>Brevard</v>
      </c>
      <c r="E6" s="300"/>
      <c r="F6" s="91"/>
      <c r="G6" s="91"/>
      <c r="H6" s="91"/>
      <c r="I6" s="232"/>
      <c r="J6" s="230" t="s">
        <v>250</v>
      </c>
      <c r="K6" s="230"/>
      <c r="L6" s="230"/>
      <c r="M6" s="231"/>
      <c r="N6" s="91"/>
      <c r="T6" s="91" t="s">
        <v>51</v>
      </c>
    </row>
    <row r="7" spans="1:22" ht="11.25" customHeight="1" x14ac:dyDescent="0.25">
      <c r="A7" s="3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39</v>
      </c>
      <c r="E8" s="284"/>
      <c r="G8" s="6" t="s">
        <v>33</v>
      </c>
      <c r="H8" s="27">
        <v>0.4</v>
      </c>
      <c r="T8" s="91" t="s">
        <v>53</v>
      </c>
    </row>
    <row r="9" spans="1:22" ht="15.6" x14ac:dyDescent="0.3">
      <c r="A9" s="7"/>
      <c r="B9" s="3"/>
      <c r="J9" s="8"/>
      <c r="K9" s="9"/>
      <c r="L9" s="291" t="s">
        <v>187</v>
      </c>
      <c r="M9" s="292"/>
      <c r="N9" s="90">
        <v>1</v>
      </c>
      <c r="O9" s="10">
        <v>1</v>
      </c>
      <c r="P9" s="1" t="s">
        <v>199</v>
      </c>
      <c r="Q9" s="1">
        <v>1</v>
      </c>
      <c r="T9" s="91" t="s">
        <v>54</v>
      </c>
    </row>
    <row r="10" spans="1:22" s="11" customFormat="1" ht="26.25" customHeight="1" thickBot="1" x14ac:dyDescent="0.3">
      <c r="B10" s="19"/>
      <c r="C10" s="20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118" t="s">
        <v>190</v>
      </c>
      <c r="N10" s="87"/>
      <c r="O10" s="10">
        <v>2</v>
      </c>
      <c r="Q10" s="1"/>
      <c r="T10" s="91" t="s">
        <v>55</v>
      </c>
      <c r="V10" s="40"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21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 t="s">
        <v>243</v>
      </c>
      <c r="M11" s="303" t="s">
        <v>277</v>
      </c>
      <c r="N11" s="117" t="s">
        <v>188</v>
      </c>
      <c r="O11" s="10">
        <v>3</v>
      </c>
      <c r="Q11" s="1">
        <v>3</v>
      </c>
      <c r="T11" s="91" t="s">
        <v>56</v>
      </c>
      <c r="U11" s="1" t="str">
        <f>D6&amp;" "&amp;D8</f>
        <v>Brevard County Criminal</v>
      </c>
      <c r="V11" s="41">
        <v>0.15</v>
      </c>
    </row>
    <row r="12" spans="1:22" ht="15.75" customHeight="1" x14ac:dyDescent="0.25">
      <c r="A12" s="277"/>
      <c r="B12" s="264"/>
      <c r="C12" s="22" t="s">
        <v>23</v>
      </c>
      <c r="D12" s="158">
        <f>LOOKUP($U$11,Lookup!$C$3:$C$672,Lookup!I$3:I$672)</f>
        <v>61568.06</v>
      </c>
      <c r="E12" s="137">
        <f>LOOKUP($U$11,Lookup!$C$3:$C$672,Lookup!J$3:J$672)</f>
        <v>96437.22</v>
      </c>
      <c r="F12" s="137">
        <f>LOOKUP($U$11,Lookup!$C$3:$C$672,Lookup!K$3:K$672)</f>
        <v>126634.26</v>
      </c>
      <c r="G12" s="143">
        <f>LOOKUP($U$11,Lookup!$C$3:$C$672,Lookup!L$3:L$672)</f>
        <v>143224.31</v>
      </c>
      <c r="H12" s="144">
        <v>162825.82999999999</v>
      </c>
      <c r="I12" s="281"/>
      <c r="J12" s="96"/>
      <c r="K12" s="159"/>
      <c r="L12" s="271"/>
      <c r="M12" s="301"/>
      <c r="N12" s="26" t="s">
        <v>189</v>
      </c>
      <c r="O12" s="10">
        <v>4</v>
      </c>
      <c r="Q12" s="1">
        <v>4</v>
      </c>
      <c r="T12" s="91" t="s">
        <v>57</v>
      </c>
      <c r="U12" s="1" t="str">
        <f>IF(P13=TRUE,A11,"")</f>
        <v>CGE CQ1-16</v>
      </c>
    </row>
    <row r="13" spans="1:22" ht="15.75" customHeight="1" thickBot="1" x14ac:dyDescent="0.3">
      <c r="A13" s="277"/>
      <c r="B13" s="264"/>
      <c r="C13" s="22" t="s">
        <v>24</v>
      </c>
      <c r="D13" s="160">
        <f>LOOKUP($U$11,Lookup!$C$3:$C$672,Lookup!D$3:D$672)</f>
        <v>428220</v>
      </c>
      <c r="E13" s="138">
        <f>LOOKUP($U$11,Lookup!$C$3:$C$672,Lookup!E$3:E$672)</f>
        <v>421237</v>
      </c>
      <c r="F13" s="138">
        <f>LOOKUP($U$11,Lookup!$C$3:$C$672,Lookup!F$3:F$672)</f>
        <v>418983</v>
      </c>
      <c r="G13" s="138">
        <f>LOOKUP($U$11,Lookup!$C$3:$C$672,Lookup!G$3:G$672)</f>
        <v>418633</v>
      </c>
      <c r="H13" s="54">
        <v>418483</v>
      </c>
      <c r="I13" s="282"/>
      <c r="J13" s="96"/>
      <c r="K13" s="159"/>
      <c r="L13" s="271"/>
      <c r="M13" s="301"/>
      <c r="N13" s="26" t="s">
        <v>191</v>
      </c>
      <c r="O13" s="10">
        <v>5</v>
      </c>
      <c r="P13" s="1" t="b">
        <f>OR(AND(E12&lt;D12,E12&gt;0),AND(F12&lt;E12,F12&gt;0),AND(G12&lt;F12,G12&gt;0),AND(H12&lt;G12,H12&gt;0),AND(F13&gt;E13,E13&gt;0),AND(G13&gt;F13,F13&gt;0),AND(H13&lt;G13,G13&gt;0))</f>
        <v>1</v>
      </c>
      <c r="Q13" s="1">
        <v>5</v>
      </c>
      <c r="T13" s="91" t="s">
        <v>58</v>
      </c>
      <c r="U13" s="1" t="str">
        <f>IF(P14=TRUE,A15,"")</f>
        <v>CGE CQ2-16</v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0.14377670356358879</v>
      </c>
      <c r="E14" s="145">
        <f>IF(ISBLANK(E12),"N/A",IF(OR(E12=0,E12="N/A"),0,E12/E13))</f>
        <v>0.22893815120704022</v>
      </c>
      <c r="F14" s="145">
        <f>IF(ISBLANK(F12),"N/A",IF(OR(F12=0,F12="N/A"),0,F12/F13))</f>
        <v>0.30224200027208742</v>
      </c>
      <c r="G14" s="145">
        <f>IF(ISBLANK(G12),"N/A",IF(OR(G12=0,G12="N/A"),0,G12/G13))</f>
        <v>0.342123793394214</v>
      </c>
      <c r="H14" s="145">
        <f>IF(ISBLANK(H12),"N/A",IF(AND(H12=0,H13=0,NOT(ISBLANK(H12)),NOT(ISBLANK(H13))),1,H12/H13))</f>
        <v>0.38908588879357103</v>
      </c>
      <c r="I14" s="283"/>
      <c r="J14" s="96"/>
      <c r="K14" s="159"/>
      <c r="L14" s="271"/>
      <c r="M14" s="301"/>
      <c r="N14" s="117" t="s">
        <v>200</v>
      </c>
      <c r="O14" s="10"/>
      <c r="P14" s="1" t="b">
        <f>OR(AND(F16&lt;E16,F16&gt;0),AND(G16&lt;F16,G16&gt;0),AND(H16&lt;G16,H16&gt;0),AND(I16&lt;H16,I16&gt;0),AND(G17&gt;F17, F17&gt;0),AND(H17&gt;G17, G17&gt;0),AND(I17&lt;H17,I17&gt;0))</f>
        <v>1</v>
      </c>
      <c r="Q14" s="1">
        <v>6</v>
      </c>
      <c r="T14" s="91" t="s">
        <v>59</v>
      </c>
      <c r="U14" s="1" t="str">
        <f>IF(P15=TRUE,A19,"")</f>
        <v/>
      </c>
    </row>
    <row r="15" spans="1:22" ht="15.75" customHeight="1" x14ac:dyDescent="0.25">
      <c r="A15" s="276" t="str">
        <f>LEFT(B15,3)&amp;" "&amp;RIGHT(B15,6)</f>
        <v>CGE CQ2-16</v>
      </c>
      <c r="B15" s="266" t="s">
        <v>208</v>
      </c>
      <c r="C15" s="119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301"/>
      <c r="N15" s="26" t="s">
        <v>192</v>
      </c>
      <c r="O15" s="10"/>
      <c r="P15" s="1" t="b">
        <f>OR(AND(G20&lt;F20,D10&gt;0),AND(H20&lt;G20,H20&gt;0),AND(I20&lt;H20,I20&gt;0),AND(J20&lt;I20,J20&gt;0),AND(H21&gt;G21, G21&gt;0),AND(I21&gt;H21, H21&gt;0),AND(J21&lt;I21, J21&gt;0))</f>
        <v>0</v>
      </c>
      <c r="Q15" s="1">
        <v>7</v>
      </c>
      <c r="T15" s="91" t="s">
        <v>60</v>
      </c>
      <c r="U15" s="1" t="str">
        <f>IF(P16=TRUE,A23,"")</f>
        <v/>
      </c>
    </row>
    <row r="16" spans="1:22" ht="15.75" customHeight="1" x14ac:dyDescent="0.25">
      <c r="A16" s="277"/>
      <c r="B16" s="267"/>
      <c r="C16" s="22" t="s">
        <v>23</v>
      </c>
      <c r="D16" s="161"/>
      <c r="E16" s="137">
        <f>LOOKUP($U$11,Lookup!$C$3:$C$672,Lookup!S$3:S$672)</f>
        <v>73697.960000000006</v>
      </c>
      <c r="F16" s="137">
        <f>LOOKUP($U$11,Lookup!$C$3:$C$672,Lookup!T$3:T$672)</f>
        <v>113163.62</v>
      </c>
      <c r="G16" s="137">
        <f>LOOKUP($U$11,Lookup!$C$3:$C$672,Lookup!U$3:U$672)</f>
        <v>149463.4</v>
      </c>
      <c r="H16" s="144">
        <v>172202.38</v>
      </c>
      <c r="I16" s="144">
        <v>193150</v>
      </c>
      <c r="J16" s="98"/>
      <c r="K16" s="159"/>
      <c r="L16" s="271"/>
      <c r="M16" s="301"/>
      <c r="N16" s="26" t="s">
        <v>193</v>
      </c>
      <c r="O16" s="10"/>
      <c r="P16" s="1" t="b">
        <f>OR(AND(H24&lt;G24, H24&gt;0),AND(I24&lt;H24, I24&gt;0),AND(J24&lt;I24, J24&gt;0),AND(K24&lt;J24, K24&gt;0),AND(I25&gt;H25, H25&gt;0),AND(J25&gt;I25, I25&gt;0),AND(K25&lt;J25, J25&gt;0))</f>
        <v>0</v>
      </c>
      <c r="Q16" s="1">
        <v>8</v>
      </c>
      <c r="T16" s="91" t="s">
        <v>61</v>
      </c>
      <c r="U16" s="1" t="str">
        <f>IF(P17=TRUE,A27,"")</f>
        <v/>
      </c>
    </row>
    <row r="17" spans="1:21" ht="15.75" customHeight="1" thickBot="1" x14ac:dyDescent="0.3">
      <c r="A17" s="277"/>
      <c r="B17" s="267"/>
      <c r="C17" s="22" t="s">
        <v>24</v>
      </c>
      <c r="D17" s="161"/>
      <c r="E17" s="138">
        <f>LOOKUP($U$11,Lookup!$C$3:$C$672,Lookup!N$3:N$672)</f>
        <v>453592.65</v>
      </c>
      <c r="F17" s="138">
        <f>LOOKUP($U$11,Lookup!$C$3:$C$672,Lookup!O$3:O$672)</f>
        <v>448043.65</v>
      </c>
      <c r="G17" s="138">
        <f>LOOKUP($U$11,Lookup!$C$3:$C$672,Lookup!P$3:P$672)</f>
        <v>446698.65</v>
      </c>
      <c r="H17" s="54">
        <v>446300.65</v>
      </c>
      <c r="I17" s="54">
        <v>445831.65</v>
      </c>
      <c r="J17" s="98"/>
      <c r="K17" s="159"/>
      <c r="L17" s="271"/>
      <c r="M17" s="301"/>
      <c r="N17" s="117" t="s">
        <v>201</v>
      </c>
      <c r="O17" s="10"/>
      <c r="P17" s="1" t="b">
        <f>OR(AND(I28&lt;H28, I28&gt;0),AND(J28&lt;I28, J28&gt;0),AND(K28&lt;J28, K28&gt;0),AND(J29&gt;I29, I29&gt;0),AND(K29&gt;J29, J29&gt;0))</f>
        <v>0</v>
      </c>
      <c r="Q17" s="1">
        <v>9</v>
      </c>
      <c r="T17" s="91" t="s">
        <v>62</v>
      </c>
      <c r="U17" s="1" t="str">
        <f>IF(P18=TRUE,A31,"")</f>
        <v/>
      </c>
    </row>
    <row r="18" spans="1:21" ht="15.75" customHeight="1" thickBot="1" x14ac:dyDescent="0.3">
      <c r="A18" s="278"/>
      <c r="B18" s="268"/>
      <c r="C18" s="24" t="s">
        <v>26</v>
      </c>
      <c r="D18" s="162"/>
      <c r="E18" s="145">
        <f>IF(ISBLANK(E16),"N/A",IF(OR(E16=0,E16="N/A"),0,E16/E17))</f>
        <v>0.16247608950453674</v>
      </c>
      <c r="F18" s="145">
        <f>IF(ISBLANK(F16),"N/A",IF(OR(F16=0,F16="N/A"),0,F16/F17))</f>
        <v>0.25257275714096156</v>
      </c>
      <c r="G18" s="145">
        <f>IF(ISBLANK(G16),"N/A",IF(OR(G16=0,G16="N/A"),0,G16/G17))</f>
        <v>0.33459559369610808</v>
      </c>
      <c r="H18" s="145">
        <f>IF(ISBLANK(H16),"N/A",IF(AND(H16=0,H17=0,NOT(ISBLANK(H16)),NOT(ISBLANK(H17))),1,H16/H17))</f>
        <v>0.38584389245231887</v>
      </c>
      <c r="I18" s="145">
        <f>IF(ISBLANK(I16),"N/A",IF(AND(I16=0,I17=0,NOT(ISBLANK(I16)),NOT(ISBLANK(I17))),1,I16/I17))</f>
        <v>0.433235280626667</v>
      </c>
      <c r="J18" s="99"/>
      <c r="K18" s="159"/>
      <c r="L18" s="271"/>
      <c r="M18" s="301"/>
      <c r="N18" s="117" t="s">
        <v>202</v>
      </c>
      <c r="O18" s="10"/>
      <c r="P18" s="1" t="b">
        <f>OR(AND(J32&lt;I32, J32&gt;0),AND(K32&lt;J32, K32&gt;0),AND(K33&gt;J33, J33&gt;0))</f>
        <v>0</v>
      </c>
      <c r="Q18" s="1">
        <v>10</v>
      </c>
      <c r="T18" s="91" t="s">
        <v>63</v>
      </c>
      <c r="U18" s="1" t="str">
        <f>IF(P19=TRUE,A35,"")</f>
        <v/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119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301"/>
      <c r="N19" s="26" t="s">
        <v>194</v>
      </c>
      <c r="O19" s="10"/>
      <c r="P19" s="1" t="b">
        <f>OR(K36&lt;J36)</f>
        <v>0</v>
      </c>
      <c r="Q19" s="1">
        <v>11</v>
      </c>
      <c r="T19" s="91" t="s">
        <v>64</v>
      </c>
      <c r="U19" s="1" t="str">
        <f>U12&amp;" "&amp;U13&amp;" "&amp;U14&amp;" "&amp;U15&amp;" "&amp;U16&amp;" "&amp;U17&amp;" "&amp;U18</f>
        <v xml:space="preserve">CGE CQ1-16 CGE CQ2-16     </v>
      </c>
    </row>
    <row r="20" spans="1:21" ht="15.75" customHeight="1" x14ac:dyDescent="0.25">
      <c r="A20" s="277"/>
      <c r="B20" s="264"/>
      <c r="C20" s="22" t="s">
        <v>23</v>
      </c>
      <c r="D20" s="163"/>
      <c r="E20" s="29"/>
      <c r="F20" s="137">
        <f>LOOKUP($U$11,Lookup!$C$3:$C$672,Lookup!AC$3:AC$672)</f>
        <v>81201.58</v>
      </c>
      <c r="G20" s="137">
        <f>LOOKUP($U$11,Lookup!$C$3:$C$672,Lookup!AD$3:AD$672)</f>
        <v>112062.86</v>
      </c>
      <c r="H20" s="144">
        <v>143014.29</v>
      </c>
      <c r="I20" s="144">
        <v>167223.04999999999</v>
      </c>
      <c r="J20" s="144"/>
      <c r="K20" s="165"/>
      <c r="L20" s="271"/>
      <c r="M20" s="301"/>
      <c r="N20" s="82"/>
      <c r="O20" s="10"/>
      <c r="P20" s="1">
        <f>COUNTIF(P13:P19,"TRUE")</f>
        <v>2</v>
      </c>
      <c r="Q20" s="1">
        <v>12</v>
      </c>
      <c r="T20" s="91" t="s">
        <v>65</v>
      </c>
    </row>
    <row r="21" spans="1:21" s="16" customFormat="1" ht="15.75" customHeight="1" thickBot="1" x14ac:dyDescent="0.3">
      <c r="A21" s="277"/>
      <c r="B21" s="264"/>
      <c r="C21" s="22" t="s">
        <v>24</v>
      </c>
      <c r="D21" s="163"/>
      <c r="E21" s="29"/>
      <c r="F21" s="138">
        <f>LOOKUP($U$11,Lookup!$C$3:$C$672,Lookup!X$3:X$672)</f>
        <v>429970.2</v>
      </c>
      <c r="G21" s="138">
        <f>LOOKUP($U$11,Lookup!$C$3:$C$672,Lookup!Y$3:Y$672)</f>
        <v>422632.7</v>
      </c>
      <c r="H21" s="54">
        <v>421498.7</v>
      </c>
      <c r="I21" s="54">
        <v>420762.7</v>
      </c>
      <c r="J21" s="54"/>
      <c r="K21" s="165"/>
      <c r="L21" s="271"/>
      <c r="M21" s="301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4" t="s">
        <v>26</v>
      </c>
      <c r="D22" s="163"/>
      <c r="E22" s="33"/>
      <c r="F22" s="152">
        <f>IF(ISBLANK(F20),"N/A",IF(OR(F20=0,F20="N/A"),0,F20/F21))</f>
        <v>0.18885397174036711</v>
      </c>
      <c r="G22" s="145">
        <f>IF(ISBLANK(G20),"N/A",IF(OR(G20=0,G20="N/A"),0,G20/G21))</f>
        <v>0.26515425805906639</v>
      </c>
      <c r="H22" s="145">
        <f>IF(ISBLANK(H20),"N/A",IF(AND(H20=0,H21=0,NOT(ISBLANK(H20)),NOT(ISBLANK(H21))),1,H20/H21))</f>
        <v>0.33929948063896759</v>
      </c>
      <c r="I22" s="145">
        <f>IF(ISBLANK(I20),"N/A",IF(AND(I20=0,I21=0,NOT(ISBLANK(I20)),NOT(ISBLANK(I21))),1,I20/I21))</f>
        <v>0.39742840798388257</v>
      </c>
      <c r="J22" s="145" t="str">
        <f>IF(ISBLANK(J20),"N/A",IF(AND(J20=0,J21=0,NOT(ISBLANK(J20)),NOT(ISBLANK(J21))),1,J20/J21))</f>
        <v>N/A</v>
      </c>
      <c r="K22" s="166"/>
      <c r="L22" s="271"/>
      <c r="M22" s="301"/>
      <c r="N22" s="83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266" t="s">
        <v>210</v>
      </c>
      <c r="C23" s="21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301"/>
      <c r="N23" s="94"/>
      <c r="O23" s="101" t="b">
        <v>0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IF(AND('Circuit Criminal'!D4=1,S36=1),A11,IF(AND('Circuit Criminal'!D4=2,S36=1),A15,IF(AND('Circuit Criminal'!D4=3,S36=1),A19,IF(AND('Circuit Criminal'!D4=4,S36=1),A23,""))))</f>
        <v/>
      </c>
      <c r="T23" s="91" t="s">
        <v>68</v>
      </c>
    </row>
    <row r="24" spans="1:21" s="18" customFormat="1" ht="15.75" customHeight="1" x14ac:dyDescent="0.3">
      <c r="A24" s="277"/>
      <c r="B24" s="267"/>
      <c r="C24" s="22" t="s">
        <v>23</v>
      </c>
      <c r="D24" s="163"/>
      <c r="E24" s="33"/>
      <c r="F24" s="29"/>
      <c r="G24" s="139">
        <f>LOOKUP($U$11,Lookup!$C$3:$C$672,Lookup!AM$3:AM$672)</f>
        <v>80615.100000000006</v>
      </c>
      <c r="H24" s="144">
        <v>114056.79</v>
      </c>
      <c r="I24" s="144">
        <v>152033.42000000001</v>
      </c>
      <c r="J24" s="144"/>
      <c r="K24" s="144"/>
      <c r="L24" s="271"/>
      <c r="M24" s="301"/>
      <c r="N24" s="103"/>
      <c r="O24" s="120" t="b">
        <v>0</v>
      </c>
      <c r="P24" s="120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IF(AND('Circuit Criminal'!D4=1,S37=1),A15,IF(AND('Circuit Criminal'!D4=2,S37=1),A19,IF(AND('Circuit Criminal'!D4=3,S37=1),A23,IF(AND('Circuit Criminal'!D4=4,S37=1),A27,""))))</f>
        <v/>
      </c>
      <c r="T24" s="91" t="s">
        <v>69</v>
      </c>
    </row>
    <row r="25" spans="1:21" ht="15.75" customHeight="1" thickBot="1" x14ac:dyDescent="0.3">
      <c r="A25" s="277"/>
      <c r="B25" s="267"/>
      <c r="C25" s="22" t="s">
        <v>24</v>
      </c>
      <c r="D25" s="287"/>
      <c r="E25" s="289"/>
      <c r="F25" s="269"/>
      <c r="G25" s="140">
        <f>LOOKUP($U$11,Lookup!$C$3:$C$672,Lookup!AH$3:AH$672)</f>
        <v>459854.04</v>
      </c>
      <c r="H25" s="54">
        <v>454533.04</v>
      </c>
      <c r="I25" s="54">
        <v>452474.04</v>
      </c>
      <c r="J25" s="54"/>
      <c r="K25" s="54"/>
      <c r="L25" s="271"/>
      <c r="M25" s="301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IF(AND('Circuit Criminal'!D4=1,S38=1),A19,IF(AND('Circuit Criminal'!D4=2,S38=1),A23,IF(AND('Circuit Criminal'!D4=3,S38=1),A27,IF(AND('Circuit Criminal'!D4=4,S38=1),A31,""))))</f>
        <v/>
      </c>
      <c r="T25" s="91" t="s">
        <v>70</v>
      </c>
    </row>
    <row r="26" spans="1:21" ht="15.75" customHeight="1" thickBot="1" x14ac:dyDescent="0.3">
      <c r="A26" s="278"/>
      <c r="B26" s="268"/>
      <c r="C26" s="24" t="s">
        <v>26</v>
      </c>
      <c r="D26" s="288"/>
      <c r="E26" s="290"/>
      <c r="F26" s="270"/>
      <c r="G26" s="153">
        <f>IF(ISBLANK(G24),"N/A",IF(OR(G24=0,G24="N/A"),0,G24/G25))</f>
        <v>0.17530584269739158</v>
      </c>
      <c r="H26" s="145">
        <f>IF(ISBLANK(H24),"N/A",IF(AND(H24=0,H25=0,NOT(ISBLANK(H24)),NOT(ISBLANK(H25))),1,H24/H25))</f>
        <v>0.25093179144908806</v>
      </c>
      <c r="I26" s="145">
        <f>IF(ISBLANK(I24),"N/A",IF(AND(I24=0,I25=0,NOT(ISBLANK(I24)),NOT(ISBLANK(I25))),1,I24/I25))</f>
        <v>0.33600473521088642</v>
      </c>
      <c r="J26" s="145" t="str">
        <f>IF(ISBLANK(J24),"N/A",IF(AND(J24=0,J25=0,NOT(ISBLANK(J24)),NOT(ISBLANK(J25))),1,J24/J25))</f>
        <v>N/A</v>
      </c>
      <c r="K26" s="171" t="str">
        <f>IF(ISBLANK(K24),"N/A",IF(AND(K24=0,K25=0,NOT(ISBLANK(K24)),NOT(ISBLANK(K25))),1,K24/K25))</f>
        <v>N/A</v>
      </c>
      <c r="L26" s="271"/>
      <c r="M26" s="302"/>
      <c r="N26" s="84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IF(AND('Circuit Criminal'!D4=1,S39=1),A23,IF(AND('Circuit Criminal'!D4=2,S39=1),A27,IF(AND('Circuit Criminal'!D4=3,S39=1),A31,IF(AND('Circuit Criminal'!D4=4,S39=1),A35,""))))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21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94"/>
      <c r="M27" s="94"/>
      <c r="N27" s="9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IF(AND('Circuit Criminal'!D4=1,S40=1),A27,IF(AND('Circuit Criminal'!D4=2,S40=1),A31,IF(AND('Circuit Criminal'!D4=3,S40=1),A35,IF(AND('Circuit Criminal'!D4=4,S40=1),A39,""))))</f>
        <v/>
      </c>
      <c r="T27" s="91" t="s">
        <v>72</v>
      </c>
    </row>
    <row r="28" spans="1:21" ht="15.75" customHeight="1" x14ac:dyDescent="0.25">
      <c r="A28" s="277"/>
      <c r="B28" s="264"/>
      <c r="C28" s="22" t="s">
        <v>23</v>
      </c>
      <c r="D28" s="173"/>
      <c r="E28" s="33"/>
      <c r="F28" s="33"/>
      <c r="G28" s="29"/>
      <c r="H28" s="144">
        <v>68907.64</v>
      </c>
      <c r="I28" s="144">
        <v>100770.07</v>
      </c>
      <c r="J28" s="144"/>
      <c r="K28" s="169"/>
      <c r="L28" s="103"/>
      <c r="M28" s="103"/>
      <c r="N28" s="103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22" t="s">
        <v>24</v>
      </c>
      <c r="D29" s="173"/>
      <c r="E29" s="33"/>
      <c r="F29" s="33"/>
      <c r="G29" s="29"/>
      <c r="H29" s="54">
        <v>412342.25</v>
      </c>
      <c r="I29" s="54">
        <v>405775.25</v>
      </c>
      <c r="J29" s="54"/>
      <c r="K29" s="54"/>
      <c r="L29" s="103"/>
      <c r="M29" s="103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4" t="s">
        <v>26</v>
      </c>
      <c r="D30" s="174"/>
      <c r="E30" s="30"/>
      <c r="F30" s="30"/>
      <c r="G30" s="30"/>
      <c r="H30" s="145">
        <f>IF(ISBLANK(H28),"N/A",IF(AND(H28=0,H29=0,NOT(ISBLANK(H28)),NOT(ISBLANK(H29))),1,H28/H29))</f>
        <v>0.16711273220243619</v>
      </c>
      <c r="I30" s="145">
        <f>IF(ISBLANK(I28),"N/A",IF(AND(I28=0,I29=0,NOT(ISBLANK(I28)),NOT(ISBLANK(I29))),1,I28/I29))</f>
        <v>0.24833961657346032</v>
      </c>
      <c r="J30" s="145" t="str">
        <f>IF(ISBLANK(J28),"N/A",IF(AND(J28=0,J29=0,NOT(ISBLANK(J28)),NOT(ISBLANK(J29))),1,J28/J29))</f>
        <v>N/A</v>
      </c>
      <c r="K30" s="171" t="str">
        <f>IF(ISBLANK(K28),"N/A",IF(AND(K28=0,K29=0,NOT(ISBLANK(K28)),NOT(ISBLANK(K29))),1,K28/K29))</f>
        <v>N/A</v>
      </c>
      <c r="L30" s="84"/>
      <c r="M30" s="84"/>
      <c r="N30" s="84"/>
      <c r="O30" s="101" t="b">
        <v>0</v>
      </c>
      <c r="P30" s="101" t="b">
        <v>0</v>
      </c>
      <c r="Q30" s="1" t="str">
        <f>IF(AND(OR(ISBLANK(J20),ISBLANK(J21)),O30=FALSE),"Red","Gray")</f>
        <v>Red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266" t="s">
        <v>258</v>
      </c>
      <c r="C31" s="119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94"/>
      <c r="O31" s="101" t="b">
        <v>0</v>
      </c>
      <c r="P31" s="101" t="b">
        <v>0</v>
      </c>
      <c r="Q31" s="1" t="str">
        <f>IF(AND(OR(ISBLANK(J24),ISBLANK(J25)),O31=FALSE),"Red","Gray")</f>
        <v>Red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267"/>
      <c r="C32" s="22" t="s">
        <v>23</v>
      </c>
      <c r="D32" s="175"/>
      <c r="E32" s="74"/>
      <c r="F32" s="74"/>
      <c r="G32" s="74"/>
      <c r="H32" s="74"/>
      <c r="I32" s="144">
        <v>73063.27</v>
      </c>
      <c r="J32" s="144"/>
      <c r="K32" s="169"/>
      <c r="L32" s="257"/>
      <c r="M32" s="258"/>
      <c r="N32" s="103"/>
      <c r="O32" s="101" t="b">
        <v>0</v>
      </c>
      <c r="P32" s="101" t="b">
        <v>0</v>
      </c>
      <c r="Q32" s="1" t="str">
        <f>IF(AND(OR(ISBLANK(J28),ISBLANK(J29)),O32=FALSE),"Red","Gray")</f>
        <v>Red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267"/>
      <c r="C33" s="22" t="s">
        <v>24</v>
      </c>
      <c r="D33" s="175"/>
      <c r="E33" s="74"/>
      <c r="F33" s="74"/>
      <c r="G33" s="74"/>
      <c r="H33" s="74"/>
      <c r="I33" s="54">
        <v>468820</v>
      </c>
      <c r="J33" s="54"/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Red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268"/>
      <c r="C34" s="24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0.15584503647455314</v>
      </c>
      <c r="J34" s="145" t="str">
        <f>IF(ISBLANK(J32),"N/A",IF(AND(J32=0,J33=0,NOT(ISBLANK(J32)),NOT(ISBLANK(J33))),1,J32/J33))</f>
        <v>N/A</v>
      </c>
      <c r="K34" s="171" t="str">
        <f>IF(ISBLANK(K32),"N/A",IF(AND(K32=0,K33=0,NOT(ISBLANK(K32)),NOT(ISBLANK(K33))),1,K32/K33))</f>
        <v>N/A</v>
      </c>
      <c r="L34" s="259"/>
      <c r="M34" s="260"/>
      <c r="N34" s="84"/>
      <c r="O34" s="121" t="b">
        <v>0</v>
      </c>
      <c r="P34" s="105" t="b">
        <v>0</v>
      </c>
      <c r="Q34" s="1" t="str">
        <f>IF(AND(OR(ISBLANK(J36),ISBLANK(J37)),O34=FALSE),"Red","Gray")</f>
        <v>Red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119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9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22" t="s">
        <v>23</v>
      </c>
      <c r="D36" s="177"/>
      <c r="E36" s="107"/>
      <c r="F36" s="107"/>
      <c r="G36" s="107"/>
      <c r="H36" s="107"/>
      <c r="I36" s="108"/>
      <c r="J36" s="144"/>
      <c r="K36" s="169"/>
      <c r="L36" s="259"/>
      <c r="M36" s="260"/>
      <c r="N36" s="103"/>
      <c r="O36" s="14" t="str">
        <f>IF(AND('Circuit Criminal'!$D$4=1,Q23="Red"),"Red","Gray")</f>
        <v>Gray</v>
      </c>
      <c r="P36" s="14" t="str">
        <f>IF(AND('Circuit Criminal'!$D$4=2,R23="Red"),"Red","Gray")</f>
        <v>Gray</v>
      </c>
      <c r="Q36" s="14" t="str">
        <f>IF(AND('Circuit Criminal'!$D$4=3,Q30="Red"),"Red","Gray")</f>
        <v>Gray</v>
      </c>
      <c r="R36" s="14" t="str">
        <f>IF(AND('Circuit Criminal'!$D$4=4,R30="Red"),"Red","Gray")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22" t="s">
        <v>24</v>
      </c>
      <c r="D37" s="177"/>
      <c r="E37" s="107"/>
      <c r="F37" s="107"/>
      <c r="G37" s="107"/>
      <c r="H37" s="107"/>
      <c r="I37" s="107"/>
      <c r="J37" s="54"/>
      <c r="K37" s="54"/>
      <c r="L37" s="259"/>
      <c r="M37" s="260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23" t="s">
        <v>26</v>
      </c>
      <c r="D38" s="178"/>
      <c r="E38" s="112"/>
      <c r="F38" s="112"/>
      <c r="G38" s="112"/>
      <c r="H38" s="112"/>
      <c r="I38" s="112"/>
      <c r="J38" s="145" t="str">
        <f>IF(ISBLANK(J36),"N/A",IF(AND(J36=0,J37=0,NOT(ISBLANK(J36)),NOT(ISBLANK(J37))),1,J36/J37))</f>
        <v>N/A</v>
      </c>
      <c r="K38" s="171" t="str">
        <f>IF(ISBLANK(K36),"N/A",IF(AND(K36=0,K37=0,NOT(ISBLANK(K36)),NOT(ISBLANK(K37))),1,K36/K37))</f>
        <v>N/A</v>
      </c>
      <c r="L38" s="259"/>
      <c r="M38" s="260"/>
      <c r="N38" s="84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266" t="s">
        <v>260</v>
      </c>
      <c r="C39" s="21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9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267"/>
      <c r="C40" s="233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103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267"/>
      <c r="C41" s="122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268"/>
      <c r="C42" s="123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84"/>
      <c r="O42" s="35">
        <f>SUM(O41:R41)</f>
        <v>0</v>
      </c>
      <c r="P42" s="15"/>
      <c r="T42" s="91" t="s">
        <v>87</v>
      </c>
    </row>
    <row r="43" spans="1:20" ht="61.2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90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92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93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94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95</v>
      </c>
    </row>
    <row r="49" spans="1:20" s="11" customFormat="1" ht="20.2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9"/>
      <c r="Q49" s="10"/>
      <c r="T49" s="91" t="s">
        <v>92</v>
      </c>
    </row>
    <row r="50" spans="1:20" ht="15.75" hidden="1" customHeight="1" x14ac:dyDescent="0.25">
      <c r="O50" s="13"/>
      <c r="P50" s="13"/>
      <c r="Q50" s="10"/>
      <c r="T50" s="91" t="s">
        <v>93</v>
      </c>
    </row>
    <row r="51" spans="1:20" ht="15.75" hidden="1" customHeight="1" x14ac:dyDescent="0.25">
      <c r="O51" s="14"/>
      <c r="P51" s="15"/>
      <c r="Q51" s="10"/>
      <c r="T51" s="91" t="s">
        <v>94</v>
      </c>
    </row>
    <row r="52" spans="1:20" ht="15.75" hidden="1" customHeight="1" x14ac:dyDescent="0.25">
      <c r="O52" s="14"/>
      <c r="P52" s="15"/>
      <c r="Q52" s="10"/>
      <c r="T52" s="91" t="s">
        <v>95</v>
      </c>
    </row>
    <row r="53" spans="1:20" ht="15.75" hidden="1" customHeight="1" x14ac:dyDescent="0.25">
      <c r="A53" s="275"/>
      <c r="B53" s="275"/>
      <c r="K53" s="14"/>
      <c r="L53" s="14"/>
      <c r="M53" s="14"/>
      <c r="N53" s="14"/>
      <c r="O53" s="15"/>
      <c r="P53" s="10"/>
      <c r="T53" s="91" t="s">
        <v>98</v>
      </c>
    </row>
    <row r="54" spans="1:20" ht="15.75" customHeight="1" x14ac:dyDescent="0.25">
      <c r="K54" s="14"/>
      <c r="L54" s="14"/>
      <c r="M54" s="14"/>
      <c r="N54" s="14"/>
      <c r="O54" s="15"/>
      <c r="P54" s="10"/>
      <c r="T54" s="91" t="s">
        <v>99</v>
      </c>
    </row>
    <row r="55" spans="1:20" ht="15.75" customHeight="1" x14ac:dyDescent="0.25">
      <c r="K55" s="14"/>
      <c r="L55" s="14"/>
      <c r="M55" s="14"/>
      <c r="N55" s="14"/>
      <c r="O55" s="15"/>
      <c r="P55" s="10"/>
      <c r="T55" s="91" t="s">
        <v>100</v>
      </c>
    </row>
    <row r="56" spans="1:20" ht="15.75" hidden="1" customHeight="1" x14ac:dyDescent="0.25">
      <c r="B56" s="1">
        <f>MAX('Circuit Criminal'!B51:B98)</f>
        <v>0</v>
      </c>
      <c r="D56" s="1" t="s">
        <v>128</v>
      </c>
      <c r="F56" s="1" t="s">
        <v>129</v>
      </c>
      <c r="G56" s="1" t="s">
        <v>130</v>
      </c>
      <c r="H56" s="1" t="s">
        <v>131</v>
      </c>
      <c r="I56" s="1" t="s">
        <v>132</v>
      </c>
      <c r="J56" s="1" t="s">
        <v>139</v>
      </c>
      <c r="K56" s="14"/>
      <c r="L56" s="14"/>
      <c r="M56" s="14"/>
      <c r="N56" s="14"/>
      <c r="O56" s="15"/>
      <c r="T56" s="91" t="s">
        <v>101</v>
      </c>
    </row>
    <row r="57" spans="1:20" ht="69" hidden="1" customHeight="1" x14ac:dyDescent="0.25">
      <c r="A57" s="1" t="str">
        <f>D$8</f>
        <v>County Criminal</v>
      </c>
      <c r="B57" s="1">
        <f>IF(E57="YES",MAX(B56)+1,0)</f>
        <v>0</v>
      </c>
      <c r="C57" s="1" t="str">
        <f>A$11</f>
        <v>CGE CQ1-16</v>
      </c>
      <c r="D57" s="42" t="str">
        <f>"After 3rd Q, Collections went up by more than set percentage of: "&amp;TEXT(J57,"#0%")</f>
        <v>After 3rd Q, Collections went up by more than set percentage of: 500%</v>
      </c>
      <c r="E57" s="1" t="str">
        <f>IF(MAX(F57:G57)&gt;V$10,"YES","NO")</f>
        <v>NO</v>
      </c>
      <c r="F57" s="43">
        <f>IFERROR(IF(NOT(ISBLANK(G12)),(G12-F12)/F12,0),0)</f>
        <v>0.13100759620658742</v>
      </c>
      <c r="G57" s="43">
        <f>IFERROR(IF(NOT(ISBLANK(H12)),(H12-G12)/G12,0),0)</f>
        <v>0.13685888938826091</v>
      </c>
      <c r="J57" s="41">
        <f>V$10</f>
        <v>5</v>
      </c>
      <c r="K57" s="14"/>
      <c r="L57" s="14"/>
      <c r="M57" s="14"/>
      <c r="N57" s="14"/>
      <c r="O57" s="15"/>
      <c r="T57" s="91" t="s">
        <v>102</v>
      </c>
    </row>
    <row r="58" spans="1:20" ht="72.75" hidden="1" customHeight="1" x14ac:dyDescent="0.25">
      <c r="A58" s="1" t="str">
        <f t="shared" ref="A58:A86" si="0">D$8</f>
        <v>County Criminal</v>
      </c>
      <c r="B58" s="1">
        <f>IF(E58="YES",MAX(B$56:B57)+1,0)</f>
        <v>0</v>
      </c>
      <c r="C58" s="1" t="str">
        <f>A$11</f>
        <v>CGE CQ1-16</v>
      </c>
      <c r="D58" s="42" t="str">
        <f>"Assessments dropped by more than set percentage of: "&amp;TEXT(J58,"#0%")</f>
        <v>Assessments dropped by more than set percentage of: 15%</v>
      </c>
      <c r="E58" s="1" t="str">
        <f>IF(MIN(F58:I58)&lt;(-1*V$11),"YES","NO")</f>
        <v>NO</v>
      </c>
      <c r="F58" s="43">
        <f>IFERROR(IF(NOT(ISBLANK(E13)),(E13-D13)/D13,0),0)</f>
        <v>-1.630703843818598E-2</v>
      </c>
      <c r="G58" s="43">
        <f>IFERROR(IF(NOT(ISBLANK(F13)),(F13-E13)/E13,0),0)</f>
        <v>-5.3509069716098064E-3</v>
      </c>
      <c r="H58" s="43">
        <f>IFERROR(IF(NOT(ISBLANK(G13)),(G13-F13)/F13,0),0)</f>
        <v>-8.3535608843318221E-4</v>
      </c>
      <c r="I58" s="43">
        <f>IFERROR(IF(NOT(ISBLANK(H13)),(H13-G13)/G13,0),0)</f>
        <v>-3.5830906784701638E-4</v>
      </c>
      <c r="J58" s="41">
        <f>V$11</f>
        <v>0.15</v>
      </c>
      <c r="K58" s="14"/>
      <c r="L58" s="14"/>
      <c r="M58" s="14"/>
      <c r="N58" s="14"/>
      <c r="O58" s="15"/>
      <c r="P58" s="10"/>
      <c r="T58" s="91" t="s">
        <v>107</v>
      </c>
    </row>
    <row r="59" spans="1:20" ht="52.5" hidden="1" customHeight="1" x14ac:dyDescent="0.25">
      <c r="A59" s="1" t="str">
        <f t="shared" si="0"/>
        <v>County Criminal</v>
      </c>
      <c r="B59" s="1">
        <f>IF(E59="YES",MAX(B$56:B58)+1,0)</f>
        <v>1</v>
      </c>
      <c r="C59" s="1" t="str">
        <f>A$11</f>
        <v>CGE CQ1-16</v>
      </c>
      <c r="D59" s="42" t="str">
        <f>"The 5th Quarter Collection Rate did not meet the established performance measure standard of: "&amp;TEXT(J59,"#0%")</f>
        <v>The 5th Quarter Collection Rate did not meet the established performance measure standard of: 40%</v>
      </c>
      <c r="E59" s="1" t="str">
        <f>IF(F59="N/A","NO",IF(F59&lt;H$8,"YES","NO"))</f>
        <v>YES</v>
      </c>
      <c r="F59" s="44">
        <f>H14</f>
        <v>0.38908588879357103</v>
      </c>
      <c r="J59" s="41">
        <f>H$8</f>
        <v>0.4</v>
      </c>
      <c r="K59" s="14"/>
      <c r="L59" s="14"/>
      <c r="M59" s="14"/>
      <c r="N59" s="14"/>
      <c r="O59" s="15"/>
      <c r="P59" s="10"/>
      <c r="T59" s="91" t="s">
        <v>114</v>
      </c>
    </row>
    <row r="60" spans="1:20" ht="45" hidden="1" customHeight="1" x14ac:dyDescent="0.25">
      <c r="A60" s="1" t="str">
        <f t="shared" si="0"/>
        <v>County Criminal</v>
      </c>
      <c r="B60" s="1">
        <f>IF(E60="YES",MAX(B$56:B59)+1,0)</f>
        <v>0</v>
      </c>
      <c r="C60" s="1" t="str">
        <f>A$11</f>
        <v>CGE CQ1-16</v>
      </c>
      <c r="D60" s="42" t="s">
        <v>133</v>
      </c>
      <c r="E60" s="1" t="str">
        <f>IF(MIN(F60:I60)&lt;0,"YES","NO")</f>
        <v>NO</v>
      </c>
      <c r="F60" s="43">
        <f t="shared" ref="F60:I61" si="1">IFERROR(IF(NOT(ISBLANK(E12)),(E12-D12)/D12,0),0)</f>
        <v>0.56635144911176349</v>
      </c>
      <c r="G60" s="43">
        <f t="shared" si="1"/>
        <v>0.31312640492954891</v>
      </c>
      <c r="H60" s="43">
        <f t="shared" si="1"/>
        <v>0.13100759620658742</v>
      </c>
      <c r="I60" s="43">
        <f t="shared" si="1"/>
        <v>0.13685888938826091</v>
      </c>
      <c r="K60" s="14"/>
      <c r="L60" s="14"/>
      <c r="M60" s="14"/>
      <c r="N60" s="14"/>
      <c r="O60" s="15"/>
    </row>
    <row r="61" spans="1:20" ht="41.4" hidden="1" x14ac:dyDescent="0.25">
      <c r="A61" s="1" t="str">
        <f t="shared" si="0"/>
        <v>County Criminal</v>
      </c>
      <c r="B61" s="1">
        <f>IF(E61="YES",MAX(B$56:B60)+1,0)</f>
        <v>0</v>
      </c>
      <c r="C61" s="1" t="str">
        <f>A$11</f>
        <v>CGE CQ1-16</v>
      </c>
      <c r="D61" s="42" t="s">
        <v>134</v>
      </c>
      <c r="E61" s="1" t="str">
        <f>IF(MAX(F61:I61)&gt;0,"YES","NO")</f>
        <v>NO</v>
      </c>
      <c r="F61" s="43">
        <f t="shared" si="1"/>
        <v>-1.630703843818598E-2</v>
      </c>
      <c r="G61" s="43">
        <f t="shared" si="1"/>
        <v>-5.3509069716098064E-3</v>
      </c>
      <c r="H61" s="43">
        <f t="shared" si="1"/>
        <v>-8.3535608843318221E-4</v>
      </c>
      <c r="I61" s="43">
        <f t="shared" si="1"/>
        <v>-3.5830906784701638E-4</v>
      </c>
      <c r="K61" s="14"/>
      <c r="L61" s="14"/>
      <c r="M61" s="14"/>
      <c r="N61" s="14"/>
    </row>
    <row r="62" spans="1:20" s="16" customFormat="1" ht="65.25" hidden="1" customHeight="1" x14ac:dyDescent="0.25">
      <c r="A62" s="1" t="str">
        <f t="shared" si="0"/>
        <v>County Criminal</v>
      </c>
      <c r="B62" s="1">
        <f>IF(E62="YES",MAX(B$56:B61)+1,0)</f>
        <v>0</v>
      </c>
      <c r="C62" s="1" t="str">
        <f>A$15</f>
        <v>CGE CQ2-16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IFERROR(IF(NOT(ISBLANK(H16)),(H16-G16)/G16,0),0)</f>
        <v>0.15213744635810514</v>
      </c>
      <c r="G62" s="43">
        <f>IFERROR(IF(NOT(ISBLANK(I16)),(I16-H16)/H16,0),0)</f>
        <v>0.12164535705023354</v>
      </c>
      <c r="H62" s="43"/>
      <c r="I62" s="1"/>
      <c r="J62" s="41">
        <f>V$10</f>
        <v>5</v>
      </c>
      <c r="K62" s="14"/>
      <c r="L62" s="14"/>
      <c r="M62" s="14"/>
      <c r="N62" s="14"/>
      <c r="O62" s="11"/>
      <c r="P62" s="1"/>
      <c r="T62" s="91" t="s">
        <v>103</v>
      </c>
    </row>
    <row r="63" spans="1:20" ht="60.75" hidden="1" customHeight="1" x14ac:dyDescent="0.25">
      <c r="A63" s="1" t="str">
        <f t="shared" si="0"/>
        <v>County Criminal</v>
      </c>
      <c r="B63" s="1">
        <f>IF(E63="YES",MAX(B$56:B62)+1,0)</f>
        <v>0</v>
      </c>
      <c r="C63" s="1" t="str">
        <f>A$15</f>
        <v>CGE CQ2-16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IFERROR(IF(NOT(ISBLANK(F17)),(F17-E17)/E17,0),0)</f>
        <v>-1.2233443377003573E-2</v>
      </c>
      <c r="G63" s="43">
        <f>IFERROR(IF(NOT(ISBLANK(G17)),(G17-F17)/F17,0),0)</f>
        <v>-3.001939654763548E-3</v>
      </c>
      <c r="H63" s="43">
        <f>IFERROR(IF(NOT(ISBLANK(H17)),(H17-G17)/G17,0),0)</f>
        <v>-8.9098097789191879E-4</v>
      </c>
      <c r="I63" s="43">
        <f>IFERROR(IF(NOT(ISBLANK(I17)),(I17-H17)/H17,0),0)</f>
        <v>-1.0508611179481813E-3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108</v>
      </c>
    </row>
    <row r="64" spans="1:20" ht="52.5" hidden="1" customHeight="1" x14ac:dyDescent="0.25">
      <c r="A64" s="1" t="str">
        <f t="shared" si="0"/>
        <v>County Criminal</v>
      </c>
      <c r="B64" s="1">
        <f>IF(E64="YES",MAX(B$56:B63)+1,0)</f>
        <v>0</v>
      </c>
      <c r="C64" s="1" t="str">
        <f>A$15</f>
        <v>CGE CQ2-16</v>
      </c>
      <c r="D64" s="42" t="s">
        <v>133</v>
      </c>
      <c r="E64" s="1" t="str">
        <f>IF(MIN(F64:I64)&lt;0,"YES","NO")</f>
        <v>NO</v>
      </c>
      <c r="F64" s="43">
        <f t="shared" ref="F64:I65" si="2">IFERROR(IF(NOT(ISBLANK(F16)),(F16-E16)/E16,0),0)</f>
        <v>0.53550546039537572</v>
      </c>
      <c r="G64" s="43">
        <f t="shared" si="2"/>
        <v>0.32077252389062844</v>
      </c>
      <c r="H64" s="43">
        <f t="shared" si="2"/>
        <v>0.15213744635810514</v>
      </c>
      <c r="I64" s="43">
        <f t="shared" si="2"/>
        <v>0.12164535705023354</v>
      </c>
      <c r="K64" s="14"/>
      <c r="L64" s="14"/>
      <c r="M64" s="14"/>
      <c r="N64" s="14"/>
      <c r="O64" s="15"/>
      <c r="P64" s="10"/>
    </row>
    <row r="65" spans="1:20" s="16" customFormat="1" ht="45" hidden="1" customHeight="1" x14ac:dyDescent="0.25">
      <c r="A65" s="1" t="str">
        <f t="shared" si="0"/>
        <v>County Criminal</v>
      </c>
      <c r="B65" s="1">
        <f>IF(E65="YES",MAX(B$56:B64)+1,0)</f>
        <v>0</v>
      </c>
      <c r="C65" s="1" t="str">
        <f>A$15</f>
        <v>CGE CQ2-16</v>
      </c>
      <c r="D65" s="42" t="s">
        <v>134</v>
      </c>
      <c r="E65" s="1" t="str">
        <f>IF(MAX(F65:I65)&gt;0,"YES","NO")</f>
        <v>NO</v>
      </c>
      <c r="F65" s="43">
        <f t="shared" si="2"/>
        <v>-1.2233443377003573E-2</v>
      </c>
      <c r="G65" s="43">
        <f t="shared" si="2"/>
        <v>-3.001939654763548E-3</v>
      </c>
      <c r="H65" s="43">
        <f t="shared" si="2"/>
        <v>-8.9098097789191879E-4</v>
      </c>
      <c r="I65" s="43">
        <f t="shared" si="2"/>
        <v>-1.0508611179481813E-3</v>
      </c>
      <c r="J65" s="1"/>
      <c r="K65" s="14"/>
      <c r="L65" s="14"/>
      <c r="M65" s="14"/>
      <c r="N65" s="14"/>
      <c r="O65" s="11"/>
      <c r="P65" s="1"/>
    </row>
    <row r="66" spans="1:20" ht="96.6" hidden="1" x14ac:dyDescent="0.25">
      <c r="A66" s="1" t="str">
        <f t="shared" si="0"/>
        <v>County Criminal</v>
      </c>
      <c r="B66" s="1">
        <f>IF(E66="YES",MAX(B$56:B65)+1,0)</f>
        <v>0</v>
      </c>
      <c r="C66" s="1" t="str">
        <f>A$15</f>
        <v>CGE CQ2-16</v>
      </c>
      <c r="D66" s="42" t="str">
        <f>"The 5th Quarter Collection Rate did not meet the established performance measure standard of: "&amp;TEXT(J66,"#0%")</f>
        <v>The 5th Quarter Collection Rate did not meet the established performance measure standard of: 40%</v>
      </c>
      <c r="E66" s="1" t="str">
        <f>IF(F66="N/A","NO",IF(F66&lt;H$8,"YES","NO"))</f>
        <v>NO</v>
      </c>
      <c r="F66" s="44">
        <f>I18</f>
        <v>0.433235280626667</v>
      </c>
      <c r="J66" s="41">
        <f>H$8</f>
        <v>0.4</v>
      </c>
      <c r="K66" s="14"/>
      <c r="L66" s="14"/>
      <c r="M66" s="14"/>
      <c r="N66" s="14"/>
    </row>
    <row r="67" spans="1:20" ht="65.25" hidden="1" customHeight="1" x14ac:dyDescent="0.3">
      <c r="A67" s="1" t="str">
        <f t="shared" si="0"/>
        <v>County Criminal</v>
      </c>
      <c r="B67" s="1">
        <f>IF(E67="YES",MAX(B$56:B66)+1,0)</f>
        <v>0</v>
      </c>
      <c r="C67" s="1" t="str">
        <f>A$19</f>
        <v>CGE CQ3-16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IFERROR(IF(NOT(ISBLANK(I20)),(I20-H20)/H20,0),0)</f>
        <v>0.16927511229821846</v>
      </c>
      <c r="G67" s="43">
        <f>IFERROR(IF(NOT(ISBLANK(J20)),(J20-I20)/I20,0),0)</f>
        <v>0</v>
      </c>
      <c r="J67" s="41">
        <f>V$10</f>
        <v>5</v>
      </c>
      <c r="K67" s="14"/>
      <c r="L67" s="14"/>
      <c r="M67" s="14"/>
      <c r="N67" s="14"/>
      <c r="O67" s="11"/>
      <c r="P67" s="18"/>
      <c r="T67" s="91" t="s">
        <v>104</v>
      </c>
    </row>
    <row r="68" spans="1:20" ht="60.75" hidden="1" customHeight="1" x14ac:dyDescent="0.25">
      <c r="A68" s="1" t="str">
        <f t="shared" si="0"/>
        <v>County Criminal</v>
      </c>
      <c r="B68" s="1">
        <f>IF(E68="YES",MAX(B$56:B67)+1,0)</f>
        <v>0</v>
      </c>
      <c r="C68" s="1" t="str">
        <f>A$19</f>
        <v>CGE CQ3-16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IFERROR(IF(NOT(ISBLANK(G21)),(G21-F21)/F21,0),0)</f>
        <v>-1.7065136141993096E-2</v>
      </c>
      <c r="G68" s="43">
        <f>IFERROR(IF(NOT(ISBLANK(H21)),(H21-G21)/G21,0),0)</f>
        <v>-2.6831809275524587E-3</v>
      </c>
      <c r="H68" s="43">
        <f>IFERROR(IF(NOT(ISBLANK(I21)),(I21-H21)/H21,0),0)</f>
        <v>-1.7461501067500326E-3</v>
      </c>
      <c r="I68" s="43">
        <f>IFERROR(IF(NOT(ISBLANK(J21)),(J21-I21)/I21,0),0)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109</v>
      </c>
    </row>
    <row r="69" spans="1:20" ht="52.5" hidden="1" customHeight="1" x14ac:dyDescent="0.25">
      <c r="A69" s="1" t="str">
        <f t="shared" si="0"/>
        <v>County Criminal</v>
      </c>
      <c r="B69" s="1">
        <f>IF(E69="YES",MAX(B$56:B68)+1,0)</f>
        <v>0</v>
      </c>
      <c r="C69" s="1" t="str">
        <f>A$19</f>
        <v>CGE CQ3-16</v>
      </c>
      <c r="D69" s="42" t="s">
        <v>133</v>
      </c>
      <c r="E69" s="1" t="str">
        <f>IF(MIN(F69:I69)&lt;0,"YES","NO")</f>
        <v>NO</v>
      </c>
      <c r="F69" s="43">
        <f t="shared" ref="F69:I70" si="3">IFERROR(IF(NOT(ISBLANK(G20)),(G20-F20)/F20,0),0)</f>
        <v>0.38005762942051124</v>
      </c>
      <c r="G69" s="43">
        <f t="shared" si="3"/>
        <v>0.27619703798386019</v>
      </c>
      <c r="H69" s="43">
        <f t="shared" si="3"/>
        <v>0.16927511229821846</v>
      </c>
      <c r="I69" s="43">
        <f t="shared" si="3"/>
        <v>0</v>
      </c>
      <c r="K69" s="14"/>
      <c r="L69" s="14"/>
      <c r="M69" s="14"/>
      <c r="N69" s="14"/>
      <c r="O69" s="15"/>
      <c r="P69" s="10"/>
    </row>
    <row r="70" spans="1:20" ht="45" hidden="1" customHeight="1" x14ac:dyDescent="0.25">
      <c r="A70" s="1" t="str">
        <f t="shared" si="0"/>
        <v>County Criminal</v>
      </c>
      <c r="B70" s="1">
        <f>IF(E70="YES",MAX(B$56:B69)+1,0)</f>
        <v>0</v>
      </c>
      <c r="C70" s="1" t="str">
        <f>A$19</f>
        <v>CGE CQ3-16</v>
      </c>
      <c r="D70" s="42" t="s">
        <v>134</v>
      </c>
      <c r="E70" s="1" t="str">
        <f>IF(MAX(F70:I70)&gt;0,"YES","NO")</f>
        <v>NO</v>
      </c>
      <c r="F70" s="43">
        <f t="shared" si="3"/>
        <v>-1.7065136141993096E-2</v>
      </c>
      <c r="G70" s="43">
        <f t="shared" si="3"/>
        <v>-2.6831809275524587E-3</v>
      </c>
      <c r="H70" s="43">
        <f t="shared" si="3"/>
        <v>-1.7461501067500326E-3</v>
      </c>
      <c r="I70" s="43">
        <f t="shared" si="3"/>
        <v>0</v>
      </c>
      <c r="K70" s="14"/>
      <c r="L70" s="14"/>
      <c r="M70" s="14"/>
      <c r="N70" s="14"/>
      <c r="O70" s="11"/>
    </row>
    <row r="71" spans="1:20" ht="96.6" hidden="1" x14ac:dyDescent="0.25">
      <c r="A71" s="1" t="str">
        <f t="shared" si="0"/>
        <v>County Criminal</v>
      </c>
      <c r="B71" s="1">
        <f>IF(E71="YES",MAX(B$56:B70)+1,0)</f>
        <v>0</v>
      </c>
      <c r="C71" s="1" t="str">
        <f>A$19</f>
        <v>CGE CQ3-16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40%</v>
      </c>
      <c r="E71" s="1" t="str">
        <f>IF(F71="N/A","NO",IF(F71&lt;H$8,"YES","NO"))</f>
        <v>NO</v>
      </c>
      <c r="F71" s="44" t="str">
        <f>J22</f>
        <v>N/A</v>
      </c>
      <c r="J71" s="41">
        <f>H$8</f>
        <v>0.4</v>
      </c>
      <c r="K71" s="14"/>
      <c r="L71" s="14"/>
      <c r="M71" s="14"/>
      <c r="N71" s="14"/>
    </row>
    <row r="72" spans="1:20" ht="65.25" hidden="1" customHeight="1" x14ac:dyDescent="0.25">
      <c r="A72" s="1" t="str">
        <f t="shared" si="0"/>
        <v>County Criminal</v>
      </c>
      <c r="B72" s="1">
        <f>IF(E72="YES",MAX(B$56:B71)+1,0)</f>
        <v>0</v>
      </c>
      <c r="C72" s="1" t="str">
        <f>A$23</f>
        <v>CGE CQ4-16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IF(MAX(F72:G72)&gt;V$10,"YES","NO")</f>
        <v>NO</v>
      </c>
      <c r="F72" s="43">
        <f>IFERROR(IF(NOT(ISBLANK(J24)),(J24-I24)/I24,0),0)</f>
        <v>0</v>
      </c>
      <c r="G72" s="43">
        <f>IFERROR(IF(NOT(ISBLANK(K24)),(K24-J24)/J24,0),0)</f>
        <v>0</v>
      </c>
      <c r="J72" s="41">
        <f>V$10</f>
        <v>5</v>
      </c>
      <c r="K72" s="14"/>
      <c r="L72" s="14"/>
      <c r="M72" s="14"/>
      <c r="N72" s="14"/>
      <c r="O72" s="15"/>
      <c r="P72" s="10"/>
      <c r="T72" s="91" t="s">
        <v>105</v>
      </c>
    </row>
    <row r="73" spans="1:20" ht="60.75" hidden="1" customHeight="1" x14ac:dyDescent="0.25">
      <c r="A73" s="1" t="str">
        <f t="shared" si="0"/>
        <v>County Criminal</v>
      </c>
      <c r="B73" s="1">
        <f>IF(E73="YES",MAX(B$56:B72)+1,0)</f>
        <v>0</v>
      </c>
      <c r="C73" s="1" t="str">
        <f>A$23</f>
        <v>CGE CQ4-16</v>
      </c>
      <c r="D73" s="42" t="str">
        <f>"Assessments dropped by more than set percentage of: "&amp;TEXT(J73,"#0%")</f>
        <v>Assessments dropped by more than set percentage of: 15%</v>
      </c>
      <c r="E73" s="1" t="str">
        <f>IF(MIN(F73:I73)&lt;(-1*V$11),"YES","NO")</f>
        <v>NO</v>
      </c>
      <c r="F73" s="43">
        <f>IFERROR(IF(NOT(ISBLANK(H25)),(H25-G25)/G25,0),0)</f>
        <v>-1.1571062852900021E-2</v>
      </c>
      <c r="G73" s="43">
        <f>IFERROR(IF(NOT(ISBLANK(I25)),(I25-H25)/H25,0),0)</f>
        <v>-4.5299237212766755E-3</v>
      </c>
      <c r="H73" s="43">
        <f>IFERROR(IF(NOT(ISBLANK(J25)),(J25-I25)/I25,0),0)</f>
        <v>0</v>
      </c>
      <c r="I73" s="43">
        <f>IFERROR(IF(NOT(ISBLANK(K25)),(K25-J25)/J25,0),0)</f>
        <v>0</v>
      </c>
      <c r="J73" s="41">
        <f>V$11</f>
        <v>0.15</v>
      </c>
      <c r="K73" s="14"/>
      <c r="L73" s="14"/>
      <c r="M73" s="14"/>
      <c r="N73" s="14"/>
      <c r="O73" s="15"/>
      <c r="P73" s="10"/>
      <c r="T73" s="91" t="s">
        <v>110</v>
      </c>
    </row>
    <row r="74" spans="1:20" ht="52.5" hidden="1" customHeight="1" x14ac:dyDescent="0.25">
      <c r="A74" s="1" t="str">
        <f t="shared" si="0"/>
        <v>County Criminal</v>
      </c>
      <c r="B74" s="1">
        <f>IF(E74="YES",MAX(B$56:B73)+1,0)</f>
        <v>0</v>
      </c>
      <c r="C74" s="1" t="str">
        <f>A$23</f>
        <v>CGE CQ4-16</v>
      </c>
      <c r="D74" s="42" t="s">
        <v>133</v>
      </c>
      <c r="E74" s="1" t="str">
        <f>IF(MIN(F74:I74)&lt;0,"YES","NO")</f>
        <v>NO</v>
      </c>
      <c r="F74" s="43">
        <f t="shared" ref="F74:I75" si="4">IFERROR(IF(NOT(ISBLANK(H24)),(H24-G24)/G24,0),0)</f>
        <v>0.41483158862297492</v>
      </c>
      <c r="G74" s="43">
        <f t="shared" si="4"/>
        <v>0.33296246545251729</v>
      </c>
      <c r="H74" s="43">
        <f t="shared" si="4"/>
        <v>0</v>
      </c>
      <c r="I74" s="43">
        <f t="shared" si="4"/>
        <v>0</v>
      </c>
      <c r="K74" s="14"/>
      <c r="L74" s="14"/>
      <c r="M74" s="14"/>
      <c r="N74" s="14"/>
      <c r="O74" s="15"/>
      <c r="P74" s="10"/>
    </row>
    <row r="75" spans="1:20" ht="45" hidden="1" customHeight="1" x14ac:dyDescent="0.25">
      <c r="A75" s="1" t="str">
        <f t="shared" si="0"/>
        <v>County Criminal</v>
      </c>
      <c r="B75" s="1">
        <f>IF(E75="YES",MAX(B$56:B74)+1,0)</f>
        <v>0</v>
      </c>
      <c r="C75" s="1" t="str">
        <f>A$23</f>
        <v>CGE CQ4-16</v>
      </c>
      <c r="D75" s="42" t="s">
        <v>134</v>
      </c>
      <c r="E75" s="1" t="str">
        <f>IF(MAX(F75:I75)&gt;0,"YES","NO")</f>
        <v>NO</v>
      </c>
      <c r="F75" s="43">
        <f t="shared" si="4"/>
        <v>-1.1571062852900021E-2</v>
      </c>
      <c r="G75" s="43">
        <f t="shared" si="4"/>
        <v>-4.5299237212766755E-3</v>
      </c>
      <c r="H75" s="43">
        <f t="shared" si="4"/>
        <v>0</v>
      </c>
      <c r="I75" s="43">
        <f t="shared" si="4"/>
        <v>0</v>
      </c>
      <c r="K75" s="14"/>
      <c r="L75" s="14"/>
      <c r="M75" s="14"/>
      <c r="N75" s="14"/>
    </row>
    <row r="76" spans="1:20" ht="96.6" hidden="1" x14ac:dyDescent="0.25">
      <c r="A76" s="1" t="str">
        <f t="shared" si="0"/>
        <v>County Criminal</v>
      </c>
      <c r="B76" s="1">
        <f>IF(E76="YES",MAX(B$56:B75)+1,0)</f>
        <v>0</v>
      </c>
      <c r="C76" s="1" t="str">
        <f>A$23</f>
        <v>CGE CQ4-16</v>
      </c>
      <c r="D76" s="42" t="str">
        <f>"The 5th Quarter Collection Rate did not meet the established performance measure standard of: "&amp;TEXT(J76,"#0%")</f>
        <v>The 5th Quarter Collection Rate did not meet the established performance measure standard of: 40%</v>
      </c>
      <c r="E76" s="1" t="str">
        <f>IF(F76="N/A","NO",IF(F76&lt;H$8,"YES","NO"))</f>
        <v>NO</v>
      </c>
      <c r="F76" s="44" t="str">
        <f>K26</f>
        <v>N/A</v>
      </c>
      <c r="J76" s="41">
        <f>H$8</f>
        <v>0.4</v>
      </c>
      <c r="K76" s="14"/>
      <c r="L76" s="14"/>
      <c r="M76" s="14"/>
      <c r="N76" s="14"/>
    </row>
    <row r="77" spans="1:20" s="18" customFormat="1" ht="65.25" hidden="1" customHeight="1" x14ac:dyDescent="0.3">
      <c r="A77" s="1" t="str">
        <f t="shared" si="0"/>
        <v>County Criminal</v>
      </c>
      <c r="B77" s="1">
        <f>IF(E77="YES",MAX(B$56:B76)+1,0)</f>
        <v>0</v>
      </c>
      <c r="C77" s="1" t="str">
        <f>A$27</f>
        <v>CGE CQ1-17</v>
      </c>
      <c r="D77" s="42" t="str">
        <f>"After 3rd Q, Collections went up by more than set percentage of: "&amp;TEXT(J77,"#0%")</f>
        <v>After 3rd Q, Collections went up by more than set percentage of: 500%</v>
      </c>
      <c r="E77" s="1" t="str">
        <f>IF(MAX(F77)&gt;V$10,"YES","NO")</f>
        <v>NO</v>
      </c>
      <c r="F77" s="43">
        <f>IFERROR(IF(NOT(ISBLANK(K28)),(K28-J28)/J28,0),0)</f>
        <v>0</v>
      </c>
      <c r="G77" s="43"/>
      <c r="H77" s="1"/>
      <c r="I77" s="1"/>
      <c r="J77" s="41">
        <f>V$10</f>
        <v>5</v>
      </c>
      <c r="K77" s="14"/>
      <c r="L77" s="14"/>
      <c r="M77" s="14"/>
      <c r="N77" s="14"/>
      <c r="O77" s="17"/>
      <c r="P77" s="10"/>
      <c r="T77" s="91" t="s">
        <v>106</v>
      </c>
    </row>
    <row r="78" spans="1:20" ht="60.75" hidden="1" customHeight="1" x14ac:dyDescent="0.25">
      <c r="A78" s="1" t="str">
        <f t="shared" si="0"/>
        <v>County Criminal</v>
      </c>
      <c r="B78" s="1">
        <f>IF(E78="YES",MAX(B$56:B77)+1,0)</f>
        <v>0</v>
      </c>
      <c r="C78" s="1" t="str">
        <f>A$27</f>
        <v>CGE CQ1-17</v>
      </c>
      <c r="D78" s="42" t="str">
        <f>"Assessments dropped by more than set percentage of: "&amp;TEXT(J78,"#0%")</f>
        <v>Assessments dropped by more than set percentage of: 15%</v>
      </c>
      <c r="E78" s="1" t="str">
        <f>IF(MIN(F78:H78)&lt;(-1*V$11),"YES","NO")</f>
        <v>NO</v>
      </c>
      <c r="F78" s="43">
        <f>IFERROR(IF(NOT(ISBLANK(I29)),(I29-H29)/H29,0),0)</f>
        <v>-1.5926090523103079E-2</v>
      </c>
      <c r="G78" s="43">
        <f>IFERROR(IF(NOT(ISBLANK(J29)),(J29-I29)/I29,0),0)</f>
        <v>0</v>
      </c>
      <c r="H78" s="43">
        <f>IFERROR(IF(NOT(ISBLANK(K29)),(K29-J29)/J29,0),0)</f>
        <v>0</v>
      </c>
      <c r="J78" s="41">
        <f>V$11</f>
        <v>0.15</v>
      </c>
      <c r="K78" s="14"/>
      <c r="L78" s="14"/>
      <c r="M78" s="14"/>
      <c r="N78" s="14"/>
      <c r="O78" s="15"/>
      <c r="P78" s="10"/>
      <c r="T78" s="91" t="s">
        <v>111</v>
      </c>
    </row>
    <row r="79" spans="1:20" ht="52.5" hidden="1" customHeight="1" x14ac:dyDescent="0.25">
      <c r="A79" s="1" t="str">
        <f t="shared" si="0"/>
        <v>County Criminal</v>
      </c>
      <c r="B79" s="1">
        <f>IF(E79="YES",MAX(B$56:B78)+1,0)</f>
        <v>0</v>
      </c>
      <c r="C79" s="1" t="str">
        <f>A$27</f>
        <v>CGE CQ1-17</v>
      </c>
      <c r="D79" s="42" t="s">
        <v>133</v>
      </c>
      <c r="E79" s="1" t="str">
        <f>IF(MIN(F79:H79)&lt;0,"YES","NO")</f>
        <v>NO</v>
      </c>
      <c r="F79" s="43">
        <f t="shared" ref="F79:H80" si="5">IFERROR(IF(NOT(ISBLANK(I28)),(I28-H28)/H28,0),0)</f>
        <v>0.46239328469237967</v>
      </c>
      <c r="G79" s="43">
        <f t="shared" si="5"/>
        <v>0</v>
      </c>
      <c r="H79" s="43">
        <f t="shared" si="5"/>
        <v>0</v>
      </c>
      <c r="K79" s="14"/>
      <c r="L79" s="14"/>
      <c r="M79" s="14"/>
      <c r="N79" s="14"/>
      <c r="O79" s="15"/>
      <c r="P79" s="10"/>
    </row>
    <row r="80" spans="1:20" ht="45" hidden="1" customHeight="1" x14ac:dyDescent="0.25">
      <c r="A80" s="1" t="str">
        <f t="shared" si="0"/>
        <v>County Criminal</v>
      </c>
      <c r="B80" s="1">
        <f>IF(E80="YES",MAX(B$56:B79)+1,0)</f>
        <v>0</v>
      </c>
      <c r="C80" s="1" t="str">
        <f>A$27</f>
        <v>CGE CQ1-17</v>
      </c>
      <c r="D80" s="42" t="s">
        <v>134</v>
      </c>
      <c r="E80" s="1" t="str">
        <f>IF(MAX(F80:H80)&gt;0,"YES","NO")</f>
        <v>NO</v>
      </c>
      <c r="F80" s="43">
        <f t="shared" si="5"/>
        <v>-1.5926090523103079E-2</v>
      </c>
      <c r="G80" s="43">
        <f t="shared" si="5"/>
        <v>0</v>
      </c>
      <c r="H80" s="43">
        <f t="shared" si="5"/>
        <v>0</v>
      </c>
      <c r="K80" s="14"/>
      <c r="L80" s="14"/>
      <c r="M80" s="14"/>
      <c r="N80" s="14"/>
    </row>
    <row r="81" spans="1:20" ht="60.75" hidden="1" customHeight="1" x14ac:dyDescent="0.25">
      <c r="A81" s="1" t="str">
        <f t="shared" si="0"/>
        <v>County Criminal</v>
      </c>
      <c r="B81" s="1">
        <f>IF(E81="YES",MAX(B$56:B80)+1,0)</f>
        <v>0</v>
      </c>
      <c r="C81" s="1" t="str">
        <f>A$31</f>
        <v>CGE CQ2-17</v>
      </c>
      <c r="D81" s="42" t="str">
        <f>"Assessments dropped by more than set percentage of: "&amp;TEXT(J81,"#0%")</f>
        <v>Assessments dropped by more than set percentage of: 15%</v>
      </c>
      <c r="E81" s="1" t="str">
        <f>IF(MIN(F81:G81)&lt;(-1*V$11),"YES","NO")</f>
        <v>NO</v>
      </c>
      <c r="F81" s="43">
        <f>IFERROR(IF(NOT(ISBLANK(J33)),(J33-I33)/I33,0),0)</f>
        <v>0</v>
      </c>
      <c r="G81" s="43">
        <f>IFERROR(IF(NOT(ISBLANK(K33)),(K33-J33)/J33,0),0)</f>
        <v>0</v>
      </c>
      <c r="J81" s="41">
        <f>V$11</f>
        <v>0.15</v>
      </c>
      <c r="K81" s="14"/>
      <c r="L81" s="14"/>
      <c r="M81" s="14"/>
      <c r="N81" s="14"/>
      <c r="O81" s="15"/>
      <c r="P81" s="10"/>
      <c r="T81" s="91" t="s">
        <v>112</v>
      </c>
    </row>
    <row r="82" spans="1:20" ht="52.5" hidden="1" customHeight="1" x14ac:dyDescent="0.25">
      <c r="A82" s="1" t="str">
        <f t="shared" si="0"/>
        <v>County Criminal</v>
      </c>
      <c r="B82" s="1">
        <f>IF(E82="YES",MAX(B$56:B81)+1,0)</f>
        <v>0</v>
      </c>
      <c r="C82" s="1" t="str">
        <f>A$31</f>
        <v>CGE CQ2-17</v>
      </c>
      <c r="D82" s="42" t="s">
        <v>133</v>
      </c>
      <c r="E82" s="1" t="str">
        <f>IF(MIN(F82:G82)&lt;0,"YES","NO")</f>
        <v>NO</v>
      </c>
      <c r="F82" s="43">
        <f>IFERROR(IF(NOT(ISBLANK(J32)),(J32-I32)/I32,0),0)</f>
        <v>0</v>
      </c>
      <c r="G82" s="43">
        <f>IFERROR(IF(NOT(ISBLANK(K32)),(K32-J32)/J32,0),0)</f>
        <v>0</v>
      </c>
      <c r="K82" s="14"/>
      <c r="L82" s="14"/>
      <c r="M82" s="14"/>
      <c r="N82" s="14"/>
      <c r="O82" s="15"/>
      <c r="P82" s="10"/>
    </row>
    <row r="83" spans="1:20" ht="45" hidden="1" customHeight="1" x14ac:dyDescent="0.25">
      <c r="A83" s="1" t="str">
        <f t="shared" si="0"/>
        <v>County Criminal</v>
      </c>
      <c r="B83" s="1">
        <f>IF(E83="YES",MAX(B$56:B82)+1,0)</f>
        <v>0</v>
      </c>
      <c r="C83" s="1" t="str">
        <f>A$31</f>
        <v>CGE CQ2-17</v>
      </c>
      <c r="D83" s="42" t="s">
        <v>134</v>
      </c>
      <c r="E83" s="1" t="str">
        <f>IF(MAX(F83:G83)&gt;0,"YES","NO")</f>
        <v>NO</v>
      </c>
      <c r="F83" s="43">
        <f>IFERROR(IF(NOT(ISBLANK(J33)),(J33-I33)/I33,0),0)</f>
        <v>0</v>
      </c>
      <c r="G83" s="43">
        <f>IFERROR(IF(NOT(ISBLANK(K33)),(K33-J33)/J33,0),0)</f>
        <v>0</v>
      </c>
      <c r="K83" s="14"/>
      <c r="L83" s="14"/>
      <c r="M83" s="14"/>
      <c r="N83" s="14"/>
    </row>
    <row r="84" spans="1:20" ht="60.75" hidden="1" customHeight="1" x14ac:dyDescent="0.25">
      <c r="A84" s="1" t="str">
        <f t="shared" si="0"/>
        <v>County Criminal</v>
      </c>
      <c r="B84" s="1">
        <f>IF(E84="YES",MAX(B$56:B83)+1,0)</f>
        <v>0</v>
      </c>
      <c r="C84" s="1" t="str">
        <f>A$35</f>
        <v>CGE CQ3-17</v>
      </c>
      <c r="D84" s="42" t="str">
        <f>"Assessments dropped by more than set percentage of: "&amp;TEXT(J84,"#0%")</f>
        <v>Assessments dropped by more than set percentage of: 15%</v>
      </c>
      <c r="E84" s="1" t="str">
        <f>IF(MIN(F84)&lt;(-1*V$11),"YES","NO")</f>
        <v>NO</v>
      </c>
      <c r="F84" s="43">
        <f>IFERROR(IF(NOT(ISBLANK(K37)),(K37-J37)/J37,0),0)</f>
        <v>0</v>
      </c>
      <c r="J84" s="41">
        <f>V$11</f>
        <v>0.15</v>
      </c>
      <c r="K84" s="14"/>
      <c r="L84" s="14"/>
      <c r="M84" s="14"/>
      <c r="N84" s="14"/>
      <c r="O84" s="15"/>
      <c r="P84" s="10"/>
      <c r="T84" s="91" t="s">
        <v>113</v>
      </c>
    </row>
    <row r="85" spans="1:20" ht="52.5" hidden="1" customHeight="1" x14ac:dyDescent="0.25">
      <c r="A85" s="1" t="str">
        <f t="shared" si="0"/>
        <v>County Criminal</v>
      </c>
      <c r="B85" s="1">
        <f>IF(E85="YES",MAX(B$56:B84)+1,0)</f>
        <v>0</v>
      </c>
      <c r="C85" s="1" t="str">
        <f>A$35</f>
        <v>CGE CQ3-17</v>
      </c>
      <c r="D85" s="42" t="s">
        <v>133</v>
      </c>
      <c r="E85" s="1" t="str">
        <f>IF(MIN(F85)&lt;0,"YES","NO")</f>
        <v>NO</v>
      </c>
      <c r="F85" s="43">
        <f>IFERROR(IF(NOT(ISBLANK(K36)),(K36-J36)/J36,0),0)</f>
        <v>0</v>
      </c>
      <c r="K85" s="14"/>
      <c r="L85" s="14"/>
      <c r="M85" s="14"/>
      <c r="N85" s="14"/>
      <c r="O85" s="15"/>
    </row>
    <row r="86" spans="1:20" ht="45" hidden="1" customHeight="1" x14ac:dyDescent="0.25">
      <c r="A86" s="1" t="str">
        <f t="shared" si="0"/>
        <v>County Criminal</v>
      </c>
      <c r="B86" s="1">
        <f>IF(E86="YES",MAX(B$56:B85)+1,0)</f>
        <v>0</v>
      </c>
      <c r="C86" s="1" t="str">
        <f>A$35</f>
        <v>CGE CQ3-17</v>
      </c>
      <c r="D86" s="42" t="s">
        <v>134</v>
      </c>
      <c r="E86" s="1" t="str">
        <f>IF(MAX(F86)&gt;0,"YES","NO")</f>
        <v>NO</v>
      </c>
      <c r="F86" s="43">
        <f>IFERROR(IF(NOT(ISBLANK(K37)),(K37-J37)/J37,0),0)</f>
        <v>0</v>
      </c>
      <c r="K86" s="14"/>
      <c r="L86" s="14"/>
      <c r="M86" s="14"/>
      <c r="N86" s="14"/>
    </row>
  </sheetData>
  <sheetProtection algorithmName="SHA-512" hashValue="iJXd4enB2lKYpo6pgOjPnbSBISgfjUZlrRYm5kRKbXIr+if4l1pUbHnDz/sEjByDnoo1BcTcZ4x+A12mLlF13Q==" saltValue="pwqozb9lsRAIvc3t/BItaA==" spinCount="100000" sheet="1" objects="1" scenarios="1" selectLockedCells="1"/>
  <mergeCells count="36">
    <mergeCell ref="A53:B53"/>
    <mergeCell ref="B35:B38"/>
    <mergeCell ref="B39:B42"/>
    <mergeCell ref="A11:A14"/>
    <mergeCell ref="A15:A18"/>
    <mergeCell ref="B19:B22"/>
    <mergeCell ref="B23:B26"/>
    <mergeCell ref="B11:B14"/>
    <mergeCell ref="B15:B18"/>
    <mergeCell ref="A19:A22"/>
    <mergeCell ref="A23:A26"/>
    <mergeCell ref="A39:A42"/>
    <mergeCell ref="D6:E6"/>
    <mergeCell ref="D8:E8"/>
    <mergeCell ref="L11:L14"/>
    <mergeCell ref="M11:M14"/>
    <mergeCell ref="L15:L18"/>
    <mergeCell ref="M15:M18"/>
    <mergeCell ref="I11:I14"/>
    <mergeCell ref="L9:M9"/>
    <mergeCell ref="D43:G43"/>
    <mergeCell ref="H43:K43"/>
    <mergeCell ref="L31:M31"/>
    <mergeCell ref="L32:M42"/>
    <mergeCell ref="E25:E26"/>
    <mergeCell ref="L23:L26"/>
    <mergeCell ref="D25:D26"/>
    <mergeCell ref="F25:F26"/>
    <mergeCell ref="M19:M22"/>
    <mergeCell ref="M23:M26"/>
    <mergeCell ref="A35:A38"/>
    <mergeCell ref="L19:L22"/>
    <mergeCell ref="A31:A34"/>
    <mergeCell ref="A27:A30"/>
    <mergeCell ref="B27:B30"/>
    <mergeCell ref="B31:B34"/>
  </mergeCells>
  <phoneticPr fontId="0" type="noConversion"/>
  <conditionalFormatting sqref="M15:M18">
    <cfRule type="expression" dxfId="361" priority="414" stopIfTrue="1">
      <formula>$I$18&lt;$H$8</formula>
    </cfRule>
  </conditionalFormatting>
  <conditionalFormatting sqref="M19:M22">
    <cfRule type="expression" dxfId="360" priority="413" stopIfTrue="1">
      <formula>$J$22&lt;$H$8</formula>
    </cfRule>
  </conditionalFormatting>
  <conditionalFormatting sqref="M23:M26">
    <cfRule type="expression" dxfId="359" priority="412" stopIfTrue="1">
      <formula>$K$26&lt;$H$8</formula>
    </cfRule>
  </conditionalFormatting>
  <conditionalFormatting sqref="M11:M14">
    <cfRule type="expression" dxfId="358" priority="403" stopIfTrue="1">
      <formula>$H$14&lt;$H$8</formula>
    </cfRule>
  </conditionalFormatting>
  <conditionalFormatting sqref="I39:I42">
    <cfRule type="cellIs" dxfId="357" priority="54" stopIfTrue="1" operator="lessThan">
      <formula>$H$8</formula>
    </cfRule>
  </conditionalFormatting>
  <conditionalFormatting sqref="I16">
    <cfRule type="expression" dxfId="356" priority="52">
      <formula>(I$16&lt;H$16)</formula>
    </cfRule>
  </conditionalFormatting>
  <conditionalFormatting sqref="H16">
    <cfRule type="expression" dxfId="355" priority="49">
      <formula>(H$16&lt;G$16)</formula>
    </cfRule>
  </conditionalFormatting>
  <conditionalFormatting sqref="K28">
    <cfRule type="expression" dxfId="354" priority="46">
      <formula>(K$28&lt;J$28)</formula>
    </cfRule>
  </conditionalFormatting>
  <conditionalFormatting sqref="H20">
    <cfRule type="expression" dxfId="353" priority="45">
      <formula>(H$20&lt;G$20)</formula>
    </cfRule>
  </conditionalFormatting>
  <conditionalFormatting sqref="J28">
    <cfRule type="expression" dxfId="352" priority="43">
      <formula>(J$28&lt;I$28)</formula>
    </cfRule>
  </conditionalFormatting>
  <conditionalFormatting sqref="K32">
    <cfRule type="expression" dxfId="351" priority="42">
      <formula>(K$32&lt;J$32)</formula>
    </cfRule>
  </conditionalFormatting>
  <conditionalFormatting sqref="H24">
    <cfRule type="expression" dxfId="350" priority="41">
      <formula>(H$24&lt;G$24)</formula>
    </cfRule>
  </conditionalFormatting>
  <conditionalFormatting sqref="I28">
    <cfRule type="expression" dxfId="349" priority="40">
      <formula>(I$28&lt;H$28)</formula>
    </cfRule>
  </conditionalFormatting>
  <conditionalFormatting sqref="J32">
    <cfRule type="expression" dxfId="348" priority="39">
      <formula>(J32&lt;I32)</formula>
    </cfRule>
  </conditionalFormatting>
  <conditionalFormatting sqref="K36">
    <cfRule type="expression" dxfId="347" priority="38">
      <formula>(K$36&lt;J$36)</formula>
    </cfRule>
  </conditionalFormatting>
  <conditionalFormatting sqref="H13">
    <cfRule type="expression" dxfId="346" priority="37">
      <formula>(H$13&gt;G$13)</formula>
    </cfRule>
  </conditionalFormatting>
  <conditionalFormatting sqref="H21">
    <cfRule type="expression" dxfId="345" priority="35">
      <formula>(H$21&gt;G$21)</formula>
    </cfRule>
  </conditionalFormatting>
  <conditionalFormatting sqref="H25">
    <cfRule type="expression" dxfId="344" priority="34">
      <formula>(H$25&gt;G$25)</formula>
    </cfRule>
  </conditionalFormatting>
  <conditionalFormatting sqref="I29">
    <cfRule type="expression" dxfId="343" priority="33">
      <formula>(I$29&gt;H$29)</formula>
    </cfRule>
  </conditionalFormatting>
  <conditionalFormatting sqref="H14">
    <cfRule type="expression" dxfId="342" priority="32">
      <formula>H14&lt;$H$8</formula>
    </cfRule>
  </conditionalFormatting>
  <conditionalFormatting sqref="I18">
    <cfRule type="expression" dxfId="341" priority="31">
      <formula>I18&lt;$H$8</formula>
    </cfRule>
  </conditionalFormatting>
  <conditionalFormatting sqref="J22">
    <cfRule type="expression" dxfId="340" priority="30">
      <formula>J22&lt;$H$8</formula>
    </cfRule>
  </conditionalFormatting>
  <conditionalFormatting sqref="K26">
    <cfRule type="expression" dxfId="339" priority="29">
      <formula>K26&lt;$H$8</formula>
    </cfRule>
  </conditionalFormatting>
  <conditionalFormatting sqref="I17">
    <cfRule type="expression" dxfId="338" priority="28">
      <formula>(I$17&gt;H$17)</formula>
    </cfRule>
  </conditionalFormatting>
  <conditionalFormatting sqref="K29">
    <cfRule type="expression" dxfId="337" priority="23">
      <formula>(K$29&gt;J$29)</formula>
    </cfRule>
  </conditionalFormatting>
  <conditionalFormatting sqref="J29">
    <cfRule type="expression" dxfId="336" priority="21">
      <formula>(J$29&gt;I$29)</formula>
    </cfRule>
  </conditionalFormatting>
  <conditionalFormatting sqref="K33">
    <cfRule type="expression" dxfId="335" priority="20">
      <formula>(K$33&gt;J$33)</formula>
    </cfRule>
  </conditionalFormatting>
  <conditionalFormatting sqref="J33">
    <cfRule type="expression" dxfId="334" priority="19">
      <formula>(J$33&gt;I$33)</formula>
    </cfRule>
  </conditionalFormatting>
  <conditionalFormatting sqref="K37">
    <cfRule type="expression" dxfId="333" priority="18">
      <formula>(K$37&gt;J$37)</formula>
    </cfRule>
  </conditionalFormatting>
  <conditionalFormatting sqref="H12">
    <cfRule type="expression" dxfId="332" priority="17">
      <formula>(H$12&lt;G$12)</formula>
    </cfRule>
  </conditionalFormatting>
  <conditionalFormatting sqref="H17">
    <cfRule type="expression" dxfId="331" priority="16">
      <formula>(H$17&gt;G$17)</formula>
    </cfRule>
  </conditionalFormatting>
  <conditionalFormatting sqref="L32:M42">
    <cfRule type="expression" dxfId="330" priority="15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I20">
    <cfRule type="expression" dxfId="329" priority="14">
      <formula>(I20&lt;H20)</formula>
    </cfRule>
  </conditionalFormatting>
  <conditionalFormatting sqref="J20">
    <cfRule type="expression" dxfId="328" priority="13">
      <formula>(J20&lt;I20)</formula>
    </cfRule>
  </conditionalFormatting>
  <conditionalFormatting sqref="J21">
    <cfRule type="expression" dxfId="327" priority="12">
      <formula>(J$21&gt;I$21)</formula>
    </cfRule>
  </conditionalFormatting>
  <conditionalFormatting sqref="I24">
    <cfRule type="expression" dxfId="326" priority="11">
      <formula>(I$24&lt;H$24)</formula>
    </cfRule>
  </conditionalFormatting>
  <conditionalFormatting sqref="J24">
    <cfRule type="expression" dxfId="325" priority="10">
      <formula>(J$24&lt;I$24)</formula>
    </cfRule>
  </conditionalFormatting>
  <conditionalFormatting sqref="K24">
    <cfRule type="expression" dxfId="324" priority="9">
      <formula>(K$24&lt;J$24)</formula>
    </cfRule>
  </conditionalFormatting>
  <conditionalFormatting sqref="I25">
    <cfRule type="expression" dxfId="323" priority="8">
      <formula>(I$25&gt;H$25)</formula>
    </cfRule>
  </conditionalFormatting>
  <conditionalFormatting sqref="J25">
    <cfRule type="expression" dxfId="322" priority="7">
      <formula>(J$25&gt;I$25)</formula>
    </cfRule>
  </conditionalFormatting>
  <conditionalFormatting sqref="K25">
    <cfRule type="expression" dxfId="321" priority="6">
      <formula>(K$25&gt;J$25)</formula>
    </cfRule>
  </conditionalFormatting>
  <conditionalFormatting sqref="L11:L14">
    <cfRule type="expression" dxfId="320" priority="4" stopIfTrue="1">
      <formula>$H$14&lt;$H$8</formula>
    </cfRule>
  </conditionalFormatting>
  <conditionalFormatting sqref="L15:L18">
    <cfRule type="expression" dxfId="319" priority="3" stopIfTrue="1">
      <formula>$I$18&lt;$H$8</formula>
    </cfRule>
  </conditionalFormatting>
  <conditionalFormatting sqref="L19:L22">
    <cfRule type="expression" dxfId="318" priority="2" stopIfTrue="1">
      <formula>$J$22&lt;$H$8</formula>
    </cfRule>
  </conditionalFormatting>
  <conditionalFormatting sqref="L23:L26">
    <cfRule type="expression" dxfId="317" priority="1" stopIfTrue="1">
      <formula>$K$26&lt;$H$8</formula>
    </cfRule>
  </conditionalFormatting>
  <dataValidations count="2">
    <dataValidation type="decimal" allowBlank="1" showInputMessage="1" showErrorMessage="1" sqref="G19:I19 H15:K16 J35:J37 J39:J42 H17 G15 D12:H13 H21:J21 J18:K19 G28:I29 I31:I32 J12:K13 G39:H42 G25:K25">
      <formula1>0</formula1>
      <formula2>999999999999999</formula2>
    </dataValidation>
    <dataValidation type="textLength" allowBlank="1" showInputMessage="1" showErrorMessage="1" sqref="L27:L32 M10:M31 L10 N10:N39">
      <formula1>0</formula1>
      <formula2>500</formula2>
    </dataValidation>
  </dataValidations>
  <printOptions horizontalCentered="1" verticalCentered="1"/>
  <pageMargins left="0.21" right="0.23" top="0.3" bottom="0.36" header="0" footer="0.17"/>
  <pageSetup scale="57" orientation="landscape" horizontalDpi="4294967293" r:id="rId1"/>
  <headerFooter alignWithMargins="0">
    <oddFooter>&amp;L&amp;F</oddFooter>
  </headerFooter>
  <ignoredErrors>
    <ignoredError sqref="D14:G15 D18:G19 D17 D16 D22:G23 D20:E20 D21:E21 D25:F25 D24:F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'Circuit Criminal'!$N$11:$N$12</xm:f>
          </x14:formula1>
          <xm:sqref>L11:L26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86"/>
  <sheetViews>
    <sheetView showGridLines="0" topLeftCell="B5" zoomScale="75" zoomScaleNormal="75" zoomScaleSheetLayoutView="70" workbookViewId="0">
      <selection activeCell="J20" sqref="J20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2" width="18.6640625" style="1" customWidth="1"/>
    <col min="13" max="13" width="34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2.44140625" style="1" hidden="1" customWidth="1"/>
    <col min="22" max="22" width="11.5546875" style="1" hidden="1" customWidth="1"/>
    <col min="23" max="23" width="13.33203125" style="1" hidden="1" customWidth="1"/>
    <col min="24" max="25" width="9.109375" style="1" hidden="1" customWidth="1"/>
    <col min="26" max="26" width="0" style="1" hidden="1" customWidth="1"/>
    <col min="27" max="16384" width="9.109375" style="1"/>
  </cols>
  <sheetData>
    <row r="1" spans="1:22" ht="33" hidden="1" customHeight="1" x14ac:dyDescent="0.25"/>
    <row r="2" spans="1:22" ht="22.8" x14ac:dyDescent="0.4">
      <c r="K2" s="2"/>
      <c r="L2" s="2"/>
      <c r="M2" s="2" t="s">
        <v>241</v>
      </c>
      <c r="N2" s="2"/>
      <c r="T2" s="91" t="s">
        <v>48</v>
      </c>
    </row>
    <row r="3" spans="1:22" ht="22.8" x14ac:dyDescent="0.4">
      <c r="K3" s="2"/>
      <c r="L3" s="2"/>
      <c r="M3" s="2" t="s">
        <v>16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39" t="str">
        <f>'Circuit Criminal'!D4</f>
        <v>March 2016</v>
      </c>
      <c r="I4" s="223" t="s">
        <v>248</v>
      </c>
      <c r="J4" s="224"/>
      <c r="K4" s="224"/>
      <c r="L4" s="224"/>
      <c r="M4" s="225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37">
        <f>'Circuit Criminal'!$D$5</f>
        <v>1</v>
      </c>
      <c r="I5" s="226"/>
      <c r="J5" s="227" t="s">
        <v>249</v>
      </c>
      <c r="K5" s="227"/>
      <c r="L5" s="227"/>
      <c r="M5" s="228"/>
      <c r="T5" s="91" t="s">
        <v>50</v>
      </c>
    </row>
    <row r="6" spans="1:22" ht="20.25" customHeight="1" x14ac:dyDescent="0.25">
      <c r="A6" s="3"/>
      <c r="C6" s="6" t="s">
        <v>9</v>
      </c>
      <c r="D6" s="300" t="str">
        <f>'Circuit Criminal'!D6</f>
        <v>Brevard</v>
      </c>
      <c r="E6" s="300"/>
      <c r="F6" s="91"/>
      <c r="G6" s="91"/>
      <c r="H6" s="91"/>
      <c r="I6" s="232"/>
      <c r="J6" s="230" t="s">
        <v>250</v>
      </c>
      <c r="K6" s="230"/>
      <c r="L6" s="230"/>
      <c r="M6" s="231"/>
      <c r="N6" s="91"/>
      <c r="T6" s="91" t="s">
        <v>51</v>
      </c>
    </row>
    <row r="7" spans="1:22" ht="11.25" customHeight="1" x14ac:dyDescent="0.25">
      <c r="A7" s="3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40</v>
      </c>
      <c r="E8" s="284"/>
      <c r="G8" s="6" t="s">
        <v>33</v>
      </c>
      <c r="H8" s="27">
        <v>0.09</v>
      </c>
      <c r="T8" s="91" t="s">
        <v>53</v>
      </c>
    </row>
    <row r="9" spans="1:22" ht="15.6" x14ac:dyDescent="0.3">
      <c r="A9" s="7"/>
      <c r="B9" s="3"/>
      <c r="J9" s="8"/>
      <c r="K9" s="9"/>
      <c r="L9" s="291" t="s">
        <v>187</v>
      </c>
      <c r="M9" s="292"/>
      <c r="N9" s="90">
        <v>1</v>
      </c>
      <c r="O9" s="10" t="s">
        <v>2</v>
      </c>
      <c r="P9" s="1" t="s">
        <v>29</v>
      </c>
      <c r="Q9" s="1">
        <v>1</v>
      </c>
      <c r="T9" s="91" t="s">
        <v>54</v>
      </c>
    </row>
    <row r="10" spans="1:22" s="11" customFormat="1" ht="26.25" customHeight="1" thickBot="1" x14ac:dyDescent="0.3">
      <c r="B10" s="19"/>
      <c r="C10" s="20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118" t="s">
        <v>190</v>
      </c>
      <c r="N10" s="87"/>
      <c r="O10" s="20">
        <f>'Circuit Criminal'!O10</f>
        <v>2</v>
      </c>
      <c r="P10" s="20" t="str">
        <f>'Circuit Criminal'!P10</f>
        <v>March 2016</v>
      </c>
      <c r="Q10" s="20">
        <f>'Circuit Criminal'!Q10</f>
        <v>0</v>
      </c>
      <c r="R10" s="20">
        <f>'Circuit Criminal'!R10</f>
        <v>0</v>
      </c>
      <c r="S10" s="20">
        <f>'Circuit Criminal'!S10</f>
        <v>0</v>
      </c>
      <c r="T10" s="20" t="str">
        <f>'Circuit Criminal'!T10</f>
        <v>Charlotte</v>
      </c>
      <c r="U10" s="20">
        <f>'Circuit Criminal'!U10</f>
        <v>0</v>
      </c>
      <c r="V10" s="20">
        <f>'Circuit Criminal'!V10</f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21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/>
      <c r="M11" s="303"/>
      <c r="N11" s="117" t="s">
        <v>188</v>
      </c>
      <c r="O11" s="10" t="s">
        <v>4</v>
      </c>
      <c r="P11" s="1" t="s">
        <v>31</v>
      </c>
      <c r="Q11" s="1">
        <v>3</v>
      </c>
      <c r="T11" s="91" t="s">
        <v>56</v>
      </c>
      <c r="U11" s="1" t="str">
        <f>D6&amp;" "&amp;D8</f>
        <v>Brevard Juvenile Delinquency</v>
      </c>
      <c r="V11" s="41">
        <v>0.15</v>
      </c>
    </row>
    <row r="12" spans="1:22" ht="15.75" customHeight="1" x14ac:dyDescent="0.25">
      <c r="A12" s="277"/>
      <c r="B12" s="264"/>
      <c r="C12" s="22" t="s">
        <v>23</v>
      </c>
      <c r="D12" s="158">
        <f>LOOKUP($U$11,Lookup!$C$3:$C$672,Lookup!I$3:I$672)</f>
        <v>1981</v>
      </c>
      <c r="E12" s="137">
        <f>LOOKUP($U$11,Lookup!$C$3:$C$672,Lookup!J$3:J$672)</f>
        <v>2387</v>
      </c>
      <c r="F12" s="137">
        <f>LOOKUP($U$11,Lookup!$C$3:$C$672,Lookup!K$3:K$672)</f>
        <v>2632</v>
      </c>
      <c r="G12" s="143">
        <f>LOOKUP($U$11,Lookup!$C$3:$C$672,Lookup!L$3:L$672)</f>
        <v>2850</v>
      </c>
      <c r="H12" s="144">
        <v>3088</v>
      </c>
      <c r="I12" s="281"/>
      <c r="J12" s="96"/>
      <c r="K12" s="159"/>
      <c r="L12" s="271"/>
      <c r="M12" s="301"/>
      <c r="N12" s="26" t="s">
        <v>189</v>
      </c>
      <c r="O12" s="10" t="s">
        <v>5</v>
      </c>
      <c r="P12" s="1" t="s">
        <v>32</v>
      </c>
      <c r="Q12" s="1">
        <v>4</v>
      </c>
      <c r="T12" s="91" t="s">
        <v>57</v>
      </c>
      <c r="U12" s="1" t="str">
        <f>IF(P13=TRUE,A11,"")</f>
        <v/>
      </c>
    </row>
    <row r="13" spans="1:22" ht="15.75" customHeight="1" thickBot="1" x14ac:dyDescent="0.3">
      <c r="A13" s="277"/>
      <c r="B13" s="264"/>
      <c r="C13" s="22" t="s">
        <v>24</v>
      </c>
      <c r="D13" s="160">
        <f>LOOKUP($U$11,Lookup!$C$3:$C$672,Lookup!D$3:D$672)</f>
        <v>29074</v>
      </c>
      <c r="E13" s="138">
        <f>LOOKUP($U$11,Lookup!$C$3:$C$672,Lookup!E$3:E$672)</f>
        <v>28724</v>
      </c>
      <c r="F13" s="138">
        <f>LOOKUP($U$11,Lookup!$C$3:$C$672,Lookup!F$3:F$672)</f>
        <v>27686</v>
      </c>
      <c r="G13" s="138">
        <f>LOOKUP($U$11,Lookup!$C$3:$C$672,Lookup!G$3:G$672)</f>
        <v>27686</v>
      </c>
      <c r="H13" s="54">
        <v>27686</v>
      </c>
      <c r="I13" s="282"/>
      <c r="J13" s="96"/>
      <c r="K13" s="159"/>
      <c r="L13" s="271"/>
      <c r="M13" s="301"/>
      <c r="N13" s="26" t="s">
        <v>191</v>
      </c>
      <c r="O13" s="10" t="s">
        <v>6</v>
      </c>
      <c r="P13" s="1" t="b">
        <f>OR(AND(E12&lt;D12,E12&gt;0),AND(F12&lt;E12,F12&gt;0),AND(G12&lt;F12,G12&gt;0),AND(H12&lt;G12,H12&gt;0),AND(F13&gt;E13,E13&gt;0),AND(G13&gt;F13,F13&gt;0),AND(H13&lt;G13,G13&gt;0))</f>
        <v>0</v>
      </c>
      <c r="Q13" s="1">
        <v>5</v>
      </c>
      <c r="T13" s="91" t="s">
        <v>58</v>
      </c>
      <c r="U13" s="1" t="str">
        <f>IF(P14=TRUE,A15,"")</f>
        <v>CGE CQ2-16</v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6.813647932860975E-2</v>
      </c>
      <c r="E14" s="145">
        <f>IF(ISBLANK(E12),"N/A",IF(OR(E12=0,E12="N/A"),0,E12/E13))</f>
        <v>8.3101239381701719E-2</v>
      </c>
      <c r="F14" s="145">
        <f>IF(ISBLANK(F12),"N/A",IF(OR(F12=0,F12="N/A"),0,F12/F13))</f>
        <v>9.5066098389077508E-2</v>
      </c>
      <c r="G14" s="145">
        <f>IF(ISBLANK(G12),"N/A",IF(OR(G12=0,G12="N/A"),0,G12/G13))</f>
        <v>0.102940114137109</v>
      </c>
      <c r="H14" s="145">
        <f>IF(ISBLANK(H12),"N/A",IF(AND(H12=0,H13=0,NOT(ISBLANK(H12)),NOT(ISBLANK(H13))),1,H12/H13))</f>
        <v>0.11153651665101495</v>
      </c>
      <c r="I14" s="283"/>
      <c r="J14" s="96"/>
      <c r="K14" s="159"/>
      <c r="L14" s="271"/>
      <c r="M14" s="301"/>
      <c r="N14" s="117" t="s">
        <v>200</v>
      </c>
      <c r="O14" s="10" t="s">
        <v>7</v>
      </c>
      <c r="P14" s="1" t="b">
        <f>OR(AND(F16&lt;E16,F16&gt;0),AND(G16&lt;F16,G16&gt;0),AND(H16&lt;G16,H16&gt;0),AND(I16&lt;H16,I16&gt;0),AND(G17&gt;F17, F17&gt;0),AND(H17&gt;G17, G17&gt;0),AND(I17&lt;H17,I17&gt;0))</f>
        <v>1</v>
      </c>
      <c r="Q14" s="1">
        <v>6</v>
      </c>
      <c r="T14" s="91" t="s">
        <v>59</v>
      </c>
      <c r="U14" s="1" t="str">
        <f>IF(P15=TRUE,A19,"")</f>
        <v/>
      </c>
    </row>
    <row r="15" spans="1:22" ht="15.75" customHeight="1" x14ac:dyDescent="0.25">
      <c r="A15" s="276" t="str">
        <f>LEFT(B15,3)&amp;" "&amp;RIGHT(B15,6)</f>
        <v>CGE CQ2-16</v>
      </c>
      <c r="B15" s="304" t="s">
        <v>208</v>
      </c>
      <c r="C15" s="119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301"/>
      <c r="N15" s="26" t="s">
        <v>192</v>
      </c>
      <c r="O15" s="10" t="s">
        <v>8</v>
      </c>
      <c r="P15" s="1" t="b">
        <f>OR(AND(G20&lt;F20,D10&gt;0),AND(H20&lt;G20,H20&gt;0),AND(I20&lt;H20,I20&gt;0),AND(J20&lt;I20,J20&gt;0),AND(H21&gt;G21, G21&gt;0),AND(I21&gt;H21, H21&gt;0),AND(J21&lt;I21, J21&gt;0))</f>
        <v>0</v>
      </c>
      <c r="Q15" s="1">
        <v>7</v>
      </c>
      <c r="T15" s="91" t="s">
        <v>60</v>
      </c>
      <c r="U15" s="1" t="str">
        <f>IF(P16=TRUE,A23,"")</f>
        <v/>
      </c>
    </row>
    <row r="16" spans="1:22" ht="15.75" customHeight="1" x14ac:dyDescent="0.25">
      <c r="A16" s="277"/>
      <c r="B16" s="305"/>
      <c r="C16" s="22" t="s">
        <v>23</v>
      </c>
      <c r="D16" s="161"/>
      <c r="E16" s="137">
        <f>LOOKUP($U$11,Lookup!$C$3:$C$672,Lookup!S$3:S$672)</f>
        <v>1348</v>
      </c>
      <c r="F16" s="137">
        <f>LOOKUP($U$11,Lookup!$C$3:$C$672,Lookup!T$3:T$672)</f>
        <v>1892</v>
      </c>
      <c r="G16" s="137">
        <f>LOOKUP($U$11,Lookup!$C$3:$C$672,Lookup!U$3:U$672)</f>
        <v>2228</v>
      </c>
      <c r="H16" s="144">
        <v>2272</v>
      </c>
      <c r="I16" s="144">
        <v>2962</v>
      </c>
      <c r="J16" s="98"/>
      <c r="K16" s="159"/>
      <c r="L16" s="271"/>
      <c r="M16" s="301"/>
      <c r="N16" s="26" t="s">
        <v>193</v>
      </c>
      <c r="O16" s="10" t="s">
        <v>11</v>
      </c>
      <c r="P16" s="1" t="b">
        <f>OR(AND(H24&lt;G24, H24&gt;0),AND(I24&lt;H24, I24&gt;0),AND(J24&lt;I24, J24&gt;0),AND(K24&lt;J24, K24&gt;0),AND(I25&gt;H25, H25&gt;0),AND(J25&gt;I25, I25&gt;0),AND(K25&lt;J25, J25&gt;0))</f>
        <v>0</v>
      </c>
      <c r="Q16" s="1">
        <v>8</v>
      </c>
      <c r="T16" s="91" t="s">
        <v>61</v>
      </c>
      <c r="U16" s="1" t="str">
        <f>IF(P17=TRUE,A27,"")</f>
        <v/>
      </c>
    </row>
    <row r="17" spans="1:21" ht="15.75" customHeight="1" thickBot="1" x14ac:dyDescent="0.3">
      <c r="A17" s="277"/>
      <c r="B17" s="305"/>
      <c r="C17" s="22" t="s">
        <v>24</v>
      </c>
      <c r="D17" s="161"/>
      <c r="E17" s="138">
        <f>LOOKUP($U$11,Lookup!$C$3:$C$672,Lookup!N$3:N$672)</f>
        <v>34978</v>
      </c>
      <c r="F17" s="138">
        <f>LOOKUP($U$11,Lookup!$C$3:$C$672,Lookup!O$3:O$672)</f>
        <v>34528</v>
      </c>
      <c r="G17" s="138">
        <f>LOOKUP($U$11,Lookup!$C$3:$C$672,Lookup!P$3:P$672)</f>
        <v>34478</v>
      </c>
      <c r="H17" s="54">
        <v>34428</v>
      </c>
      <c r="I17" s="54">
        <v>34240</v>
      </c>
      <c r="J17" s="98"/>
      <c r="K17" s="159"/>
      <c r="L17" s="271"/>
      <c r="M17" s="301"/>
      <c r="N17" s="117" t="s">
        <v>201</v>
      </c>
      <c r="O17" s="10" t="s">
        <v>12</v>
      </c>
      <c r="P17" s="1" t="b">
        <f>OR(AND(I28&lt;H28, I28&gt;0),AND(J28&lt;I28, J28&gt;0),AND(K28&lt;J28, K28&gt;0),AND(J29&gt;I29, I29&gt;0),AND(K29&gt;J29, J29&gt;0))</f>
        <v>0</v>
      </c>
      <c r="Q17" s="1">
        <v>9</v>
      </c>
      <c r="T17" s="91" t="s">
        <v>62</v>
      </c>
      <c r="U17" s="1" t="str">
        <f>IF(P18=TRUE,A31,"")</f>
        <v/>
      </c>
    </row>
    <row r="18" spans="1:21" ht="15.75" customHeight="1" thickBot="1" x14ac:dyDescent="0.3">
      <c r="A18" s="278"/>
      <c r="B18" s="306"/>
      <c r="C18" s="24" t="s">
        <v>26</v>
      </c>
      <c r="D18" s="162"/>
      <c r="E18" s="145">
        <f>IF(ISBLANK(E16),"N/A",IF(OR(E16=0,E16="N/A"),0,E16/E17))</f>
        <v>3.853850992052147E-2</v>
      </c>
      <c r="F18" s="145">
        <f>IF(ISBLANK(F16),"N/A",IF(OR(F16=0,F16="N/A"),0,F16/F17))</f>
        <v>5.4796107506950881E-2</v>
      </c>
      <c r="G18" s="145">
        <f>IF(ISBLANK(G16),"N/A",IF(OR(G16=0,G16="N/A"),0,G16/G17))</f>
        <v>6.4620917686640758E-2</v>
      </c>
      <c r="H18" s="145">
        <f>IF(ISBLANK(H16),"N/A",IF(AND(H16=0,H17=0,NOT(ISBLANK(H16)),NOT(ISBLANK(H17))),1,H16/H17))</f>
        <v>6.5992796560938774E-2</v>
      </c>
      <c r="I18" s="145">
        <f>IF(ISBLANK(I16),"N/A",IF(AND(I16=0,I17=0,NOT(ISBLANK(I16)),NOT(ISBLANK(I17))),1,I16/I17))</f>
        <v>8.6507009345794389E-2</v>
      </c>
      <c r="J18" s="99"/>
      <c r="K18" s="159"/>
      <c r="L18" s="271"/>
      <c r="M18" s="301"/>
      <c r="N18" s="117" t="s">
        <v>202</v>
      </c>
      <c r="O18" s="10" t="s">
        <v>13</v>
      </c>
      <c r="P18" s="1" t="b">
        <f>OR(AND(J32&lt;I32, J32&gt;0),AND(K32&lt;J32, K32&gt;0),AND(K33&gt;J33, J33&gt;0))</f>
        <v>0</v>
      </c>
      <c r="Q18" s="1">
        <v>10</v>
      </c>
      <c r="T18" s="91" t="s">
        <v>63</v>
      </c>
      <c r="U18" s="1" t="str">
        <f>IF(P19=TRUE,A35,"")</f>
        <v/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119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303"/>
      <c r="N19" s="26" t="s">
        <v>194</v>
      </c>
      <c r="O19" s="10" t="s">
        <v>14</v>
      </c>
      <c r="P19" s="1" t="b">
        <f>OR(K36&lt;J36)</f>
        <v>0</v>
      </c>
      <c r="Q19" s="1">
        <v>11</v>
      </c>
      <c r="T19" s="91" t="s">
        <v>64</v>
      </c>
      <c r="U19" s="1" t="str">
        <f>U12&amp;" "&amp;U13&amp;" "&amp;U14&amp;" "&amp;U15&amp;" "&amp;U16&amp;" "&amp;U17&amp;" "&amp;U18</f>
        <v xml:space="preserve"> CGE CQ2-16     </v>
      </c>
    </row>
    <row r="20" spans="1:21" ht="15.75" customHeight="1" x14ac:dyDescent="0.25">
      <c r="A20" s="277"/>
      <c r="B20" s="264"/>
      <c r="C20" s="22" t="s">
        <v>23</v>
      </c>
      <c r="D20" s="163"/>
      <c r="E20" s="29"/>
      <c r="F20" s="137">
        <f>LOOKUP($U$11,Lookup!$C$3:$C$672,Lookup!AC$3:AC$672)</f>
        <v>1866.35</v>
      </c>
      <c r="G20" s="137">
        <f>LOOKUP($U$11,Lookup!$C$3:$C$672,Lookup!AD$3:AD$672)</f>
        <v>2325.85</v>
      </c>
      <c r="H20" s="144">
        <v>2501.35</v>
      </c>
      <c r="I20" s="144">
        <v>2975.35</v>
      </c>
      <c r="J20" s="144"/>
      <c r="K20" s="165"/>
      <c r="L20" s="271"/>
      <c r="M20" s="301"/>
      <c r="N20" s="82"/>
      <c r="O20" s="10" t="s">
        <v>15</v>
      </c>
      <c r="P20" s="1">
        <f>COUNTIF(P13:P19,"TRUE")</f>
        <v>1</v>
      </c>
      <c r="Q20" s="1">
        <v>12</v>
      </c>
      <c r="T20" s="91" t="s">
        <v>65</v>
      </c>
    </row>
    <row r="21" spans="1:21" s="16" customFormat="1" ht="15.75" customHeight="1" thickBot="1" x14ac:dyDescent="0.3">
      <c r="A21" s="277"/>
      <c r="B21" s="264"/>
      <c r="C21" s="22" t="s">
        <v>24</v>
      </c>
      <c r="D21" s="163"/>
      <c r="E21" s="29"/>
      <c r="F21" s="138">
        <f>LOOKUP($U$11,Lookup!$C$3:$C$672,Lookup!X$3:X$672)</f>
        <v>37466.85</v>
      </c>
      <c r="G21" s="138">
        <f>LOOKUP($U$11,Lookup!$C$3:$C$672,Lookup!Y$3:Y$672)</f>
        <v>36916.85</v>
      </c>
      <c r="H21" s="54">
        <v>36916.85</v>
      </c>
      <c r="I21" s="54">
        <v>36916.85</v>
      </c>
      <c r="J21" s="54"/>
      <c r="K21" s="165"/>
      <c r="L21" s="271"/>
      <c r="M21" s="301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4" t="s">
        <v>26</v>
      </c>
      <c r="D22" s="163"/>
      <c r="E22" s="33"/>
      <c r="F22" s="152">
        <f>IF(ISBLANK(F20),"N/A",IF(OR(F20=0,F20="N/A"),0,F20/F21))</f>
        <v>4.9813368350955581E-2</v>
      </c>
      <c r="G22" s="145">
        <f>IF(ISBLANK(G20),"N/A",IF(OR(G20=0,G20="N/A"),0,G20/G21))</f>
        <v>6.3002395924896079E-2</v>
      </c>
      <c r="H22" s="145">
        <f>IF(ISBLANK(H20),"N/A",IF(AND(H20=0,H21=0,NOT(ISBLANK(H20)),NOT(ISBLANK(H21))),1,H20/H21))</f>
        <v>6.7756322654831058E-2</v>
      </c>
      <c r="I22" s="145">
        <f>IF(ISBLANK(I20),"N/A",IF(AND(I20=0,I21=0,NOT(ISBLANK(I20)),NOT(ISBLANK(I21))),1,I20/I21))</f>
        <v>8.0595988010894751E-2</v>
      </c>
      <c r="J22" s="145" t="str">
        <f>IF(ISBLANK(J20),"N/A",IF(AND(J20=0,J21=0,NOT(ISBLANK(J20)),NOT(ISBLANK(J21))),1,J20/J21))</f>
        <v>N/A</v>
      </c>
      <c r="K22" s="166"/>
      <c r="L22" s="271"/>
      <c r="M22" s="301"/>
      <c r="N22" s="83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304" t="s">
        <v>210</v>
      </c>
      <c r="C23" s="21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301"/>
      <c r="N23" s="94"/>
      <c r="O23" s="101" t="b">
        <v>0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IF(AND('Circuit Criminal'!D4=1,S36=1),A11,IF(AND('Circuit Criminal'!D4=2,S36=1),A15,IF(AND('Circuit Criminal'!D4=3,S36=1),A19,IF(AND('Circuit Criminal'!D4=4,S36=1),A23,""))))</f>
        <v/>
      </c>
      <c r="T23" s="91" t="s">
        <v>68</v>
      </c>
    </row>
    <row r="24" spans="1:21" s="18" customFormat="1" ht="15.75" customHeight="1" x14ac:dyDescent="0.3">
      <c r="A24" s="277"/>
      <c r="B24" s="305"/>
      <c r="C24" s="22" t="s">
        <v>23</v>
      </c>
      <c r="D24" s="163"/>
      <c r="E24" s="33"/>
      <c r="F24" s="29"/>
      <c r="G24" s="139">
        <f>LOOKUP($U$11,Lookup!$C$3:$C$672,Lookup!AM$3:AM$672)</f>
        <v>969.7</v>
      </c>
      <c r="H24" s="144">
        <v>1911.7</v>
      </c>
      <c r="I24" s="144">
        <v>2583.6999999999998</v>
      </c>
      <c r="J24" s="144"/>
      <c r="K24" s="169"/>
      <c r="L24" s="271"/>
      <c r="M24" s="301"/>
      <c r="N24" s="103"/>
      <c r="O24" s="120" t="b">
        <v>0</v>
      </c>
      <c r="P24" s="120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IF(AND('Circuit Criminal'!D4=1,S37=1),A15,IF(AND('Circuit Criminal'!D4=2,S37=1),A19,IF(AND('Circuit Criminal'!D4=3,S37=1),A23,IF(AND('Circuit Criminal'!D4=4,S37=1),A27,""))))</f>
        <v/>
      </c>
      <c r="T24" s="91" t="s">
        <v>69</v>
      </c>
    </row>
    <row r="25" spans="1:21" ht="15.75" customHeight="1" thickBot="1" x14ac:dyDescent="0.3">
      <c r="A25" s="277"/>
      <c r="B25" s="305"/>
      <c r="C25" s="22" t="s">
        <v>24</v>
      </c>
      <c r="D25" s="287"/>
      <c r="E25" s="289"/>
      <c r="F25" s="269"/>
      <c r="G25" s="140">
        <f>LOOKUP($U$11,Lookup!$C$3:$C$672,Lookup!AH$3:AH$672)</f>
        <v>26564.7</v>
      </c>
      <c r="H25" s="54">
        <v>26364.7</v>
      </c>
      <c r="I25" s="54">
        <v>26306.2</v>
      </c>
      <c r="J25" s="54"/>
      <c r="K25" s="54"/>
      <c r="L25" s="271"/>
      <c r="M25" s="301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IF(AND('Circuit Criminal'!D4=1,S38=1),A19,IF(AND('Circuit Criminal'!D4=2,S38=1),A23,IF(AND('Circuit Criminal'!D4=3,S38=1),A27,IF(AND('Circuit Criminal'!D4=4,S38=1),A31,""))))</f>
        <v/>
      </c>
      <c r="T25" s="91" t="s">
        <v>70</v>
      </c>
    </row>
    <row r="26" spans="1:21" ht="15.75" customHeight="1" thickBot="1" x14ac:dyDescent="0.3">
      <c r="A26" s="278"/>
      <c r="B26" s="306"/>
      <c r="C26" s="24" t="s">
        <v>26</v>
      </c>
      <c r="D26" s="288"/>
      <c r="E26" s="290"/>
      <c r="F26" s="270"/>
      <c r="G26" s="153">
        <f>IF(ISBLANK(G24),"N/A",IF(OR(G24=0,G24="N/A"),0,G24/G25))</f>
        <v>3.6503329606583174E-2</v>
      </c>
      <c r="H26" s="145">
        <f>IF(ISBLANK(H24),"N/A",IF(AND(H24=0,H25=0,NOT(ISBLANK(H24)),NOT(ISBLANK(H25))),1,H24/H25))</f>
        <v>7.2509833223969936E-2</v>
      </c>
      <c r="I26" s="145">
        <f>IF(ISBLANK(I24),"N/A",IF(AND(I24=0,I25=0,NOT(ISBLANK(I24)),NOT(ISBLANK(I25))),1,I24/I25))</f>
        <v>9.821639005253513E-2</v>
      </c>
      <c r="J26" s="145" t="str">
        <f>IF(ISBLANK(J24),"N/A",IF(AND(J24=0,J25=0,NOT(ISBLANK(J24)),NOT(ISBLANK(J25))),1,J24/J25))</f>
        <v>N/A</v>
      </c>
      <c r="K26" s="171" t="str">
        <f>IF(ISBLANK(K24),"N/A",IF(AND(K24=0,K25=0,NOT(ISBLANK(K24)),NOT(ISBLANK(K25))),1,K24/K25))</f>
        <v>N/A</v>
      </c>
      <c r="L26" s="271"/>
      <c r="M26" s="302"/>
      <c r="N26" s="84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IF(AND('Circuit Criminal'!D4=1,S39=1),A23,IF(AND('Circuit Criminal'!D4=2,S39=1),A27,IF(AND('Circuit Criminal'!D4=3,S39=1),A31,IF(AND('Circuit Criminal'!D4=4,S39=1),A35,""))))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21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146"/>
      <c r="M27" s="147"/>
      <c r="N27" s="9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IF(AND('Circuit Criminal'!D4=1,S40=1),A27,IF(AND('Circuit Criminal'!D4=2,S40=1),A31,IF(AND('Circuit Criminal'!D4=3,S40=1),A35,IF(AND('Circuit Criminal'!D4=4,S40=1),A39,""))))</f>
        <v/>
      </c>
      <c r="T27" s="91" t="s">
        <v>72</v>
      </c>
    </row>
    <row r="28" spans="1:21" ht="15.75" customHeight="1" x14ac:dyDescent="0.25">
      <c r="A28" s="277"/>
      <c r="B28" s="264"/>
      <c r="C28" s="22" t="s">
        <v>23</v>
      </c>
      <c r="D28" s="173"/>
      <c r="E28" s="33"/>
      <c r="F28" s="33"/>
      <c r="G28" s="29"/>
      <c r="H28" s="144">
        <v>1346.1</v>
      </c>
      <c r="I28" s="144">
        <v>2452.4</v>
      </c>
      <c r="J28" s="144"/>
      <c r="K28" s="169"/>
      <c r="L28" s="148"/>
      <c r="M28" s="149"/>
      <c r="N28" s="103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22" t="s">
        <v>24</v>
      </c>
      <c r="D29" s="173"/>
      <c r="E29" s="33"/>
      <c r="F29" s="33"/>
      <c r="G29" s="29"/>
      <c r="H29" s="54">
        <v>28388.400000000001</v>
      </c>
      <c r="I29" s="54">
        <v>28122.9</v>
      </c>
      <c r="J29" s="54"/>
      <c r="K29" s="54"/>
      <c r="L29" s="148"/>
      <c r="M29" s="149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4" t="s">
        <v>26</v>
      </c>
      <c r="D30" s="174"/>
      <c r="E30" s="30"/>
      <c r="F30" s="30"/>
      <c r="G30" s="30"/>
      <c r="H30" s="145">
        <f>IF(ISBLANK(H28),"N/A",IF(AND(H28=0,H29=0,NOT(ISBLANK(H28)),NOT(ISBLANK(H29))),1,H28/H29))</f>
        <v>4.7417254935114339E-2</v>
      </c>
      <c r="I30" s="145">
        <f>IF(ISBLANK(I28),"N/A",IF(AND(I28=0,I29=0,NOT(ISBLANK(I28)),NOT(ISBLANK(I29))),1,I28/I29))</f>
        <v>8.7202955598462459E-2</v>
      </c>
      <c r="J30" s="145" t="str">
        <f>IF(ISBLANK(J28),"N/A",IF(AND(J28=0,J29=0,NOT(ISBLANK(J28)),NOT(ISBLANK(J29))),1,J28/J29))</f>
        <v>N/A</v>
      </c>
      <c r="K30" s="171" t="str">
        <f>IF(ISBLANK(K28),"N/A",IF(AND(K28=0,K29=0,NOT(ISBLANK(K28)),NOT(ISBLANK(K29))),1,K28/K29))</f>
        <v>N/A</v>
      </c>
      <c r="L30" s="150"/>
      <c r="M30" s="151"/>
      <c r="N30" s="84"/>
      <c r="O30" s="101" t="b">
        <v>0</v>
      </c>
      <c r="P30" s="101" t="b">
        <v>0</v>
      </c>
      <c r="Q30" s="1" t="str">
        <f>IF(AND(OR(ISBLANK(J20),ISBLANK(J21)),O30=FALSE),"Red","Gray")</f>
        <v>Red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304" t="s">
        <v>258</v>
      </c>
      <c r="C31" s="119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94"/>
      <c r="O31" s="101" t="b">
        <v>0</v>
      </c>
      <c r="P31" s="101" t="b">
        <v>0</v>
      </c>
      <c r="Q31" s="1" t="str">
        <f>IF(AND(OR(ISBLANK(J24),ISBLANK(J25)),O31=FALSE),"Red","Gray")</f>
        <v>Red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305"/>
      <c r="C32" s="22" t="s">
        <v>23</v>
      </c>
      <c r="D32" s="175"/>
      <c r="E32" s="74"/>
      <c r="F32" s="74"/>
      <c r="G32" s="74"/>
      <c r="H32" s="74"/>
      <c r="I32" s="144">
        <v>1341.75</v>
      </c>
      <c r="J32" s="144"/>
      <c r="K32" s="169"/>
      <c r="L32" s="307"/>
      <c r="M32" s="258"/>
      <c r="N32" s="103"/>
      <c r="O32" s="101" t="b">
        <v>0</v>
      </c>
      <c r="P32" s="101" t="b">
        <v>0</v>
      </c>
      <c r="Q32" s="1" t="str">
        <f>IF(AND(OR(ISBLANK(J28),ISBLANK(J29)),O32=FALSE),"Red","Gray")</f>
        <v>Red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305"/>
      <c r="C33" s="22" t="s">
        <v>24</v>
      </c>
      <c r="D33" s="175"/>
      <c r="E33" s="74"/>
      <c r="F33" s="74"/>
      <c r="G33" s="74"/>
      <c r="H33" s="74"/>
      <c r="I33" s="54">
        <v>41790.75</v>
      </c>
      <c r="J33" s="54"/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Red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306"/>
      <c r="C34" s="24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3.2106387178980997E-2</v>
      </c>
      <c r="J34" s="145" t="str">
        <f>IF(ISBLANK(J32),"N/A",IF(AND(J32=0,J33=0,NOT(ISBLANK(J32)),NOT(ISBLANK(J33))),1,J32/J33))</f>
        <v>N/A</v>
      </c>
      <c r="K34" s="171" t="str">
        <f>IF(ISBLANK(K32),"N/A",IF(AND(K32=0,K33=0,NOT(ISBLANK(K32)),NOT(ISBLANK(K33))),1,K32/K33))</f>
        <v>N/A</v>
      </c>
      <c r="L34" s="259"/>
      <c r="M34" s="260"/>
      <c r="N34" s="84"/>
      <c r="O34" s="121" t="b">
        <v>0</v>
      </c>
      <c r="P34" s="105" t="b">
        <v>0</v>
      </c>
      <c r="Q34" s="1" t="str">
        <f>IF(AND(OR(ISBLANK(J36),ISBLANK(J37)),O34=FALSE),"Red","Gray")</f>
        <v>Red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119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9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22" t="s">
        <v>23</v>
      </c>
      <c r="D36" s="177"/>
      <c r="E36" s="107"/>
      <c r="F36" s="107"/>
      <c r="G36" s="107"/>
      <c r="H36" s="107"/>
      <c r="I36" s="108"/>
      <c r="J36" s="144"/>
      <c r="K36" s="169"/>
      <c r="L36" s="259"/>
      <c r="M36" s="260"/>
      <c r="N36" s="103"/>
      <c r="O36" s="14" t="str">
        <f>IF(AND('Circuit Criminal'!$D$4=1,Q23="Red"),"Red","Gray")</f>
        <v>Gray</v>
      </c>
      <c r="P36" s="14" t="str">
        <f>IF(AND('Circuit Criminal'!$D$4=2,R23="Red"),"Red","Gray")</f>
        <v>Gray</v>
      </c>
      <c r="Q36" s="14" t="str">
        <f>IF(AND('Circuit Criminal'!$D$4=3,Q30="Red"),"Red","Gray")</f>
        <v>Gray</v>
      </c>
      <c r="R36" s="14" t="str">
        <f>IF(AND('Circuit Criminal'!$D$4=4,R30="Red"),"Red","Gray")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22" t="s">
        <v>24</v>
      </c>
      <c r="D37" s="177"/>
      <c r="E37" s="107"/>
      <c r="F37" s="107"/>
      <c r="G37" s="107"/>
      <c r="H37" s="107"/>
      <c r="I37" s="107"/>
      <c r="J37" s="54"/>
      <c r="K37" s="54"/>
      <c r="L37" s="259"/>
      <c r="M37" s="260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23" t="s">
        <v>26</v>
      </c>
      <c r="D38" s="178"/>
      <c r="E38" s="112"/>
      <c r="F38" s="112"/>
      <c r="G38" s="112"/>
      <c r="H38" s="112"/>
      <c r="I38" s="112"/>
      <c r="J38" s="145" t="str">
        <f>IF(ISBLANK(J36),"N/A",IF(AND(J36=0,J37=0,NOT(ISBLANK(J36)),NOT(ISBLANK(J37))),1,J36/J37))</f>
        <v>N/A</v>
      </c>
      <c r="K38" s="171" t="str">
        <f>IF(ISBLANK(K36),"N/A",IF(AND(K36=0,K37=0,NOT(ISBLANK(K36)),NOT(ISBLANK(K37))),1,K36/K37))</f>
        <v>N/A</v>
      </c>
      <c r="L38" s="259"/>
      <c r="M38" s="260"/>
      <c r="N38" s="84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304" t="s">
        <v>260</v>
      </c>
      <c r="C39" s="21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9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305"/>
      <c r="C40" s="122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103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305"/>
      <c r="C41" s="122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306"/>
      <c r="C42" s="123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84"/>
      <c r="O42" s="35">
        <f>SUM(O41:R41)</f>
        <v>0</v>
      </c>
      <c r="P42" s="15"/>
      <c r="T42" s="91" t="s">
        <v>87</v>
      </c>
    </row>
    <row r="43" spans="1:20" ht="61.2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90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92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93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94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95</v>
      </c>
    </row>
    <row r="49" spans="1:20" s="11" customFormat="1" ht="20.2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9"/>
      <c r="Q49" s="10"/>
      <c r="T49" s="91" t="s">
        <v>92</v>
      </c>
    </row>
    <row r="50" spans="1:20" ht="15.75" hidden="1" customHeight="1" x14ac:dyDescent="0.25">
      <c r="O50" s="13"/>
      <c r="P50" s="13"/>
      <c r="Q50" s="10"/>
      <c r="T50" s="91" t="s">
        <v>93</v>
      </c>
    </row>
    <row r="51" spans="1:20" ht="15.75" hidden="1" customHeight="1" x14ac:dyDescent="0.25">
      <c r="O51" s="14"/>
      <c r="P51" s="15"/>
      <c r="Q51" s="10"/>
      <c r="T51" s="91" t="s">
        <v>94</v>
      </c>
    </row>
    <row r="52" spans="1:20" ht="15.75" hidden="1" customHeight="1" x14ac:dyDescent="0.25">
      <c r="O52" s="14"/>
      <c r="P52" s="15"/>
      <c r="Q52" s="10"/>
      <c r="T52" s="91" t="s">
        <v>95</v>
      </c>
    </row>
    <row r="53" spans="1:20" ht="15.75" customHeight="1" x14ac:dyDescent="0.25">
      <c r="A53" s="275"/>
      <c r="B53" s="275"/>
      <c r="K53" s="14"/>
      <c r="L53" s="14"/>
      <c r="M53" s="14"/>
      <c r="N53" s="14"/>
      <c r="O53" s="15"/>
      <c r="P53" s="10"/>
      <c r="T53" s="91" t="s">
        <v>98</v>
      </c>
    </row>
    <row r="54" spans="1:20" ht="15.75" customHeight="1" x14ac:dyDescent="0.25">
      <c r="K54" s="14"/>
      <c r="L54" s="14"/>
      <c r="M54" s="14"/>
      <c r="N54" s="14"/>
      <c r="O54" s="15"/>
      <c r="P54" s="10"/>
      <c r="T54" s="91" t="s">
        <v>99</v>
      </c>
    </row>
    <row r="55" spans="1:20" ht="15.75" customHeight="1" x14ac:dyDescent="0.25">
      <c r="K55" s="14"/>
      <c r="L55" s="14"/>
      <c r="M55" s="14"/>
      <c r="N55" s="14"/>
      <c r="O55" s="15"/>
      <c r="P55" s="10"/>
      <c r="T55" s="91" t="s">
        <v>100</v>
      </c>
    </row>
    <row r="56" spans="1:20" ht="15.75" hidden="1" customHeight="1" x14ac:dyDescent="0.25">
      <c r="B56" s="1">
        <f>MAX('County Criminal'!B56:B99)</f>
        <v>1</v>
      </c>
      <c r="D56" s="1" t="s">
        <v>128</v>
      </c>
      <c r="F56" s="1" t="s">
        <v>129</v>
      </c>
      <c r="G56" s="1" t="s">
        <v>130</v>
      </c>
      <c r="H56" s="1" t="s">
        <v>131</v>
      </c>
      <c r="I56" s="1" t="s">
        <v>132</v>
      </c>
      <c r="J56" s="1" t="s">
        <v>139</v>
      </c>
      <c r="K56" s="14"/>
      <c r="L56" s="14"/>
      <c r="M56" s="14"/>
      <c r="N56" s="14"/>
      <c r="O56" s="15"/>
      <c r="T56" s="91" t="s">
        <v>101</v>
      </c>
    </row>
    <row r="57" spans="1:20" ht="69" hidden="1" customHeight="1" x14ac:dyDescent="0.25">
      <c r="A57" s="1" t="str">
        <f>D$8</f>
        <v>Juvenile Delinquency</v>
      </c>
      <c r="B57" s="1">
        <f>IF(E57="YES",MAX(B56)+1,0)</f>
        <v>0</v>
      </c>
      <c r="C57" s="1" t="str">
        <f>A$11</f>
        <v>CGE CQ1-16</v>
      </c>
      <c r="D57" s="42" t="str">
        <f>"After 3rd Q, Collections went up by more than set percentage of: "&amp;TEXT(J57,"#0%")</f>
        <v>After 3rd Q, Collections went up by more than set percentage of: 500%</v>
      </c>
      <c r="E57" s="1" t="str">
        <f>IF(MAX(F57:G57)&gt;V$10,"YES","NO")</f>
        <v>NO</v>
      </c>
      <c r="F57" s="43">
        <f>IFERROR(IF(NOT(ISBLANK(G12)),(G12-F12)/F12,0),0)</f>
        <v>8.2826747720364746E-2</v>
      </c>
      <c r="G57" s="43">
        <f>IFERROR(IF(NOT(ISBLANK(H12)),(H12-G12)/G12,0),0)</f>
        <v>8.350877192982456E-2</v>
      </c>
      <c r="J57" s="41">
        <f>V$10</f>
        <v>5</v>
      </c>
      <c r="K57" s="14"/>
      <c r="L57" s="14"/>
      <c r="M57" s="14"/>
      <c r="N57" s="14"/>
      <c r="O57" s="15"/>
      <c r="T57" s="91" t="s">
        <v>102</v>
      </c>
    </row>
    <row r="58" spans="1:20" ht="72.75" hidden="1" customHeight="1" x14ac:dyDescent="0.25">
      <c r="A58" s="1" t="str">
        <f t="shared" ref="A58:A86" si="0">D$8</f>
        <v>Juvenile Delinquency</v>
      </c>
      <c r="B58" s="1">
        <f>IF(E58="YES",MAX(B$56:B57)+1,0)</f>
        <v>0</v>
      </c>
      <c r="C58" s="1" t="str">
        <f>A$11</f>
        <v>CGE CQ1-16</v>
      </c>
      <c r="D58" s="42" t="str">
        <f>"Assessments dropped by more than set percentage of: "&amp;TEXT(J58,"#0%")</f>
        <v>Assessments dropped by more than set percentage of: 15%</v>
      </c>
      <c r="E58" s="1" t="str">
        <f>IF(MIN(F58:I58)&lt;(-1*V$11),"YES","NO")</f>
        <v>NO</v>
      </c>
      <c r="F58" s="43">
        <f>IFERROR(IF(NOT(ISBLANK(E13)),(E13-D13)/D13,0),0)</f>
        <v>-1.2038247231203137E-2</v>
      </c>
      <c r="G58" s="43">
        <f>IFERROR(IF(NOT(ISBLANK(F13)),(F13-E13)/E13,0),0)</f>
        <v>-3.613702826904331E-2</v>
      </c>
      <c r="H58" s="43">
        <f>IFERROR(IF(NOT(ISBLANK(G13)),(G13-F13)/F13,0),0)</f>
        <v>0</v>
      </c>
      <c r="I58" s="43">
        <f>IFERROR(IF(NOT(ISBLANK(H13)),(H13-G13)/G13,0),0)</f>
        <v>0</v>
      </c>
      <c r="J58" s="41">
        <f>V$11</f>
        <v>0.15</v>
      </c>
      <c r="K58" s="14"/>
      <c r="L58" s="14"/>
      <c r="M58" s="14"/>
      <c r="N58" s="14"/>
      <c r="O58" s="15"/>
      <c r="P58" s="10"/>
      <c r="T58" s="91" t="s">
        <v>107</v>
      </c>
    </row>
    <row r="59" spans="1:20" ht="52.5" hidden="1" customHeight="1" x14ac:dyDescent="0.25">
      <c r="A59" s="1" t="str">
        <f t="shared" si="0"/>
        <v>Juvenile Delinquency</v>
      </c>
      <c r="B59" s="1">
        <f>IF(E59="YES",MAX(B$56:B58)+1,0)</f>
        <v>0</v>
      </c>
      <c r="C59" s="1" t="str">
        <f>A$11</f>
        <v>CGE CQ1-16</v>
      </c>
      <c r="D59" s="42" t="str">
        <f>"The 5th Quarter Collection Rate did not meet the established performance measure standard of: "&amp;TEXT(J59,"#0%")</f>
        <v>The 5th Quarter Collection Rate did not meet the established performance measure standard of: 9%</v>
      </c>
      <c r="E59" s="1" t="str">
        <f>IF(F59="N/A","NO",IF(F59&lt;H$8,"YES","NO"))</f>
        <v>NO</v>
      </c>
      <c r="F59" s="44">
        <f>H14</f>
        <v>0.11153651665101495</v>
      </c>
      <c r="J59" s="41">
        <f>H$8</f>
        <v>0.09</v>
      </c>
      <c r="K59" s="14"/>
      <c r="L59" s="14"/>
      <c r="M59" s="14"/>
      <c r="N59" s="14"/>
      <c r="O59" s="15"/>
      <c r="P59" s="10"/>
      <c r="T59" s="91" t="s">
        <v>114</v>
      </c>
    </row>
    <row r="60" spans="1:20" ht="45" hidden="1" customHeight="1" x14ac:dyDescent="0.25">
      <c r="A60" s="1" t="str">
        <f t="shared" si="0"/>
        <v>Juvenile Delinquency</v>
      </c>
      <c r="B60" s="1">
        <f>IF(E60="YES",MAX(B$56:B59)+1,0)</f>
        <v>0</v>
      </c>
      <c r="C60" s="1" t="str">
        <f>A$11</f>
        <v>CGE CQ1-16</v>
      </c>
      <c r="D60" s="42" t="s">
        <v>133</v>
      </c>
      <c r="E60" s="1" t="str">
        <f>IF(MIN(F60:I60)&lt;0,"YES","NO")</f>
        <v>NO</v>
      </c>
      <c r="F60" s="43">
        <f t="shared" ref="F60:I61" si="1">IFERROR(IF(NOT(ISBLANK(E12)),(E12-D12)/D12,0),0)</f>
        <v>0.20494699646643111</v>
      </c>
      <c r="G60" s="43">
        <f t="shared" si="1"/>
        <v>0.10263929618768329</v>
      </c>
      <c r="H60" s="43">
        <f t="shared" si="1"/>
        <v>8.2826747720364746E-2</v>
      </c>
      <c r="I60" s="43">
        <f t="shared" si="1"/>
        <v>8.350877192982456E-2</v>
      </c>
      <c r="K60" s="14"/>
      <c r="L60" s="14"/>
      <c r="M60" s="14"/>
      <c r="N60" s="14"/>
      <c r="O60" s="15"/>
    </row>
    <row r="61" spans="1:20" ht="41.4" hidden="1" x14ac:dyDescent="0.25">
      <c r="A61" s="1" t="str">
        <f t="shared" si="0"/>
        <v>Juvenile Delinquency</v>
      </c>
      <c r="B61" s="1">
        <f>IF(E61="YES",MAX(B$56:B60)+1,0)</f>
        <v>0</v>
      </c>
      <c r="C61" s="1" t="str">
        <f>A$11</f>
        <v>CGE CQ1-16</v>
      </c>
      <c r="D61" s="42" t="s">
        <v>134</v>
      </c>
      <c r="E61" s="1" t="str">
        <f>IF(MAX(F61:I61)&gt;0,"YES","NO")</f>
        <v>NO</v>
      </c>
      <c r="F61" s="43">
        <f t="shared" si="1"/>
        <v>-1.2038247231203137E-2</v>
      </c>
      <c r="G61" s="43">
        <f t="shared" si="1"/>
        <v>-3.613702826904331E-2</v>
      </c>
      <c r="H61" s="43">
        <f t="shared" si="1"/>
        <v>0</v>
      </c>
      <c r="I61" s="43">
        <f t="shared" si="1"/>
        <v>0</v>
      </c>
      <c r="K61" s="14"/>
      <c r="L61" s="14"/>
      <c r="M61" s="14"/>
      <c r="N61" s="14"/>
    </row>
    <row r="62" spans="1:20" s="16" customFormat="1" ht="65.25" hidden="1" customHeight="1" x14ac:dyDescent="0.25">
      <c r="A62" s="1" t="str">
        <f t="shared" si="0"/>
        <v>Juvenile Delinquency</v>
      </c>
      <c r="B62" s="1">
        <f>IF(E62="YES",MAX(B$56:B61)+1,0)</f>
        <v>0</v>
      </c>
      <c r="C62" s="1" t="str">
        <f>A$15</f>
        <v>CGE CQ2-16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IFERROR(IF(NOT(ISBLANK(H16)),(H16-G16)/G16,0),0)</f>
        <v>1.9748653500897665E-2</v>
      </c>
      <c r="G62" s="43">
        <f>IFERROR(IF(NOT(ISBLANK(I16)),(I16-H16)/H16,0),0)</f>
        <v>0.30369718309859156</v>
      </c>
      <c r="H62" s="43"/>
      <c r="I62" s="1"/>
      <c r="J62" s="41">
        <f>V$10</f>
        <v>5</v>
      </c>
      <c r="K62" s="14"/>
      <c r="L62" s="14"/>
      <c r="M62" s="14"/>
      <c r="N62" s="14"/>
      <c r="O62" s="11"/>
      <c r="P62" s="1"/>
      <c r="T62" s="91" t="s">
        <v>103</v>
      </c>
    </row>
    <row r="63" spans="1:20" ht="60.75" hidden="1" customHeight="1" x14ac:dyDescent="0.25">
      <c r="A63" s="1" t="str">
        <f t="shared" si="0"/>
        <v>Juvenile Delinquency</v>
      </c>
      <c r="B63" s="1">
        <f>IF(E63="YES",MAX(B$56:B62)+1,0)</f>
        <v>0</v>
      </c>
      <c r="C63" s="1" t="str">
        <f>A$15</f>
        <v>CGE CQ2-16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IFERROR(IF(NOT(ISBLANK(F17)),(F17-E17)/E17,0),0)</f>
        <v>-1.2865229572874379E-2</v>
      </c>
      <c r="G63" s="43">
        <f>IFERROR(IF(NOT(ISBLANK(G17)),(G17-F17)/F17,0),0)</f>
        <v>-1.4481000926784059E-3</v>
      </c>
      <c r="H63" s="43">
        <f>IFERROR(IF(NOT(ISBLANK(H17)),(H17-G17)/G17,0),0)</f>
        <v>-1.4502001276176112E-3</v>
      </c>
      <c r="I63" s="43">
        <f>IFERROR(IF(NOT(ISBLANK(I17)),(I17-H17)/H17,0),0)</f>
        <v>-5.4606715464157081E-3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108</v>
      </c>
    </row>
    <row r="64" spans="1:20" ht="52.5" hidden="1" customHeight="1" x14ac:dyDescent="0.25">
      <c r="A64" s="1" t="str">
        <f t="shared" si="0"/>
        <v>Juvenile Delinquency</v>
      </c>
      <c r="B64" s="1">
        <f>IF(E64="YES",MAX(B$56:B63)+1,0)</f>
        <v>0</v>
      </c>
      <c r="C64" s="1" t="str">
        <f>A$15</f>
        <v>CGE CQ2-16</v>
      </c>
      <c r="D64" s="42" t="s">
        <v>133</v>
      </c>
      <c r="E64" s="1" t="str">
        <f>IF(MIN(F64:I64)&lt;0,"YES","NO")</f>
        <v>NO</v>
      </c>
      <c r="F64" s="43">
        <f t="shared" ref="F64:I65" si="2">IFERROR(IF(NOT(ISBLANK(F16)),(F16-E16)/E16,0),0)</f>
        <v>0.40356083086053413</v>
      </c>
      <c r="G64" s="43">
        <f t="shared" si="2"/>
        <v>0.17758985200845667</v>
      </c>
      <c r="H64" s="43">
        <f t="shared" si="2"/>
        <v>1.9748653500897665E-2</v>
      </c>
      <c r="I64" s="43">
        <f t="shared" si="2"/>
        <v>0.30369718309859156</v>
      </c>
      <c r="K64" s="14"/>
      <c r="L64" s="14"/>
      <c r="M64" s="14"/>
      <c r="N64" s="14"/>
      <c r="O64" s="15"/>
      <c r="P64" s="10"/>
    </row>
    <row r="65" spans="1:20" s="16" customFormat="1" ht="45" hidden="1" customHeight="1" x14ac:dyDescent="0.25">
      <c r="A65" s="1" t="str">
        <f t="shared" si="0"/>
        <v>Juvenile Delinquency</v>
      </c>
      <c r="B65" s="1">
        <f>IF(E65="YES",MAX(B$56:B64)+1,0)</f>
        <v>0</v>
      </c>
      <c r="C65" s="1" t="str">
        <f>A$15</f>
        <v>CGE CQ2-16</v>
      </c>
      <c r="D65" s="42" t="s">
        <v>134</v>
      </c>
      <c r="E65" s="1" t="str">
        <f>IF(MAX(F65:I65)&gt;0,"YES","NO")</f>
        <v>NO</v>
      </c>
      <c r="F65" s="43">
        <f t="shared" si="2"/>
        <v>-1.2865229572874379E-2</v>
      </c>
      <c r="G65" s="43">
        <f t="shared" si="2"/>
        <v>-1.4481000926784059E-3</v>
      </c>
      <c r="H65" s="43">
        <f t="shared" si="2"/>
        <v>-1.4502001276176112E-3</v>
      </c>
      <c r="I65" s="43">
        <f t="shared" si="2"/>
        <v>-5.4606715464157081E-3</v>
      </c>
      <c r="J65" s="1"/>
      <c r="K65" s="14"/>
      <c r="L65" s="14"/>
      <c r="M65" s="14"/>
      <c r="N65" s="14"/>
      <c r="O65" s="11"/>
      <c r="P65" s="1"/>
    </row>
    <row r="66" spans="1:20" ht="96.6" hidden="1" x14ac:dyDescent="0.25">
      <c r="A66" s="1" t="str">
        <f t="shared" si="0"/>
        <v>Juvenile Delinquency</v>
      </c>
      <c r="B66" s="1">
        <f>IF(E66="YES",MAX(B$56:B65)+1,0)</f>
        <v>2</v>
      </c>
      <c r="C66" s="1" t="str">
        <f>A$15</f>
        <v>CGE CQ2-16</v>
      </c>
      <c r="D66" s="42" t="str">
        <f>"The 5th Quarter Collection Rate did not meet the established performance measure standard of: "&amp;TEXT(J66,"#0%")</f>
        <v>The 5th Quarter Collection Rate did not meet the established performance measure standard of: 9%</v>
      </c>
      <c r="E66" s="1" t="str">
        <f>IF(F66="N/A","NO",IF(F66&lt;H$8,"YES","NO"))</f>
        <v>YES</v>
      </c>
      <c r="F66" s="44">
        <f>I18</f>
        <v>8.6507009345794389E-2</v>
      </c>
      <c r="J66" s="41">
        <f>H$8</f>
        <v>0.09</v>
      </c>
      <c r="K66" s="14"/>
      <c r="L66" s="14"/>
      <c r="M66" s="14"/>
      <c r="N66" s="14"/>
    </row>
    <row r="67" spans="1:20" ht="65.25" hidden="1" customHeight="1" x14ac:dyDescent="0.3">
      <c r="A67" s="1" t="str">
        <f t="shared" si="0"/>
        <v>Juvenile Delinquency</v>
      </c>
      <c r="B67" s="1">
        <f>IF(E67="YES",MAX(B$56:B66)+1,0)</f>
        <v>0</v>
      </c>
      <c r="C67" s="1" t="str">
        <f>A$19</f>
        <v>CGE CQ3-16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IFERROR(IF(NOT(ISBLANK(I20)),(I20-H20)/H20,0),0)</f>
        <v>0.18949767125752096</v>
      </c>
      <c r="G67" s="43">
        <f>IFERROR(IF(NOT(ISBLANK(J20)),(J20-I20)/I20,0),0)</f>
        <v>0</v>
      </c>
      <c r="J67" s="41">
        <f>V$10</f>
        <v>5</v>
      </c>
      <c r="K67" s="14"/>
      <c r="L67" s="14"/>
      <c r="M67" s="14"/>
      <c r="N67" s="14"/>
      <c r="O67" s="11"/>
      <c r="P67" s="18"/>
      <c r="T67" s="91" t="s">
        <v>104</v>
      </c>
    </row>
    <row r="68" spans="1:20" ht="60.75" hidden="1" customHeight="1" x14ac:dyDescent="0.25">
      <c r="A68" s="1" t="str">
        <f t="shared" si="0"/>
        <v>Juvenile Delinquency</v>
      </c>
      <c r="B68" s="1">
        <f>IF(E68="YES",MAX(B$56:B67)+1,0)</f>
        <v>0</v>
      </c>
      <c r="C68" s="1" t="str">
        <f>A$19</f>
        <v>CGE CQ3-16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IFERROR(IF(NOT(ISBLANK(G21)),(G21-F21)/F21,0),0)</f>
        <v>-1.4679643471495469E-2</v>
      </c>
      <c r="G68" s="43">
        <f>IFERROR(IF(NOT(ISBLANK(H21)),(H21-G21)/G21,0),0)</f>
        <v>0</v>
      </c>
      <c r="H68" s="43">
        <f>IFERROR(IF(NOT(ISBLANK(I21)),(I21-H21)/H21,0),0)</f>
        <v>0</v>
      </c>
      <c r="I68" s="43">
        <f>IFERROR(IF(NOT(ISBLANK(J21)),(J21-I21)/I21,0),0)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109</v>
      </c>
    </row>
    <row r="69" spans="1:20" ht="52.5" hidden="1" customHeight="1" x14ac:dyDescent="0.25">
      <c r="A69" s="1" t="str">
        <f t="shared" si="0"/>
        <v>Juvenile Delinquency</v>
      </c>
      <c r="B69" s="1">
        <f>IF(E69="YES",MAX(B$56:B68)+1,0)</f>
        <v>0</v>
      </c>
      <c r="C69" s="1" t="str">
        <f>A$19</f>
        <v>CGE CQ3-16</v>
      </c>
      <c r="D69" s="42" t="s">
        <v>133</v>
      </c>
      <c r="E69" s="1" t="str">
        <f>IF(MIN(F69:I69)&lt;0,"YES","NO")</f>
        <v>NO</v>
      </c>
      <c r="F69" s="43">
        <f t="shared" ref="F69:I70" si="3">IFERROR(IF(NOT(ISBLANK(G20)),(G20-F20)/F20,0),0)</f>
        <v>0.24620248077798915</v>
      </c>
      <c r="G69" s="43">
        <f t="shared" si="3"/>
        <v>7.5456284799105711E-2</v>
      </c>
      <c r="H69" s="43">
        <f t="shared" si="3"/>
        <v>0.18949767125752096</v>
      </c>
      <c r="I69" s="43">
        <f t="shared" si="3"/>
        <v>0</v>
      </c>
      <c r="K69" s="14"/>
      <c r="L69" s="14"/>
      <c r="M69" s="14"/>
      <c r="N69" s="14"/>
      <c r="O69" s="15"/>
      <c r="P69" s="10"/>
    </row>
    <row r="70" spans="1:20" ht="45" hidden="1" customHeight="1" x14ac:dyDescent="0.25">
      <c r="A70" s="1" t="str">
        <f t="shared" si="0"/>
        <v>Juvenile Delinquency</v>
      </c>
      <c r="B70" s="1">
        <f>IF(E70="YES",MAX(B$56:B69)+1,0)</f>
        <v>0</v>
      </c>
      <c r="C70" s="1" t="str">
        <f>A$19</f>
        <v>CGE CQ3-16</v>
      </c>
      <c r="D70" s="42" t="s">
        <v>134</v>
      </c>
      <c r="E70" s="1" t="str">
        <f>IF(MAX(F70:I70)&gt;0,"YES","NO")</f>
        <v>NO</v>
      </c>
      <c r="F70" s="43">
        <f t="shared" si="3"/>
        <v>-1.4679643471495469E-2</v>
      </c>
      <c r="G70" s="43">
        <f t="shared" si="3"/>
        <v>0</v>
      </c>
      <c r="H70" s="43">
        <f t="shared" si="3"/>
        <v>0</v>
      </c>
      <c r="I70" s="43">
        <f t="shared" si="3"/>
        <v>0</v>
      </c>
      <c r="K70" s="14"/>
      <c r="L70" s="14"/>
      <c r="M70" s="14"/>
      <c r="N70" s="14"/>
      <c r="O70" s="11"/>
    </row>
    <row r="71" spans="1:20" ht="96.6" hidden="1" x14ac:dyDescent="0.25">
      <c r="A71" s="1" t="str">
        <f t="shared" si="0"/>
        <v>Juvenile Delinquency</v>
      </c>
      <c r="B71" s="1">
        <f>IF(E71="YES",MAX(B$56:B70)+1,0)</f>
        <v>0</v>
      </c>
      <c r="C71" s="1" t="str">
        <f>A$19</f>
        <v>CGE CQ3-16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9%</v>
      </c>
      <c r="E71" s="1" t="str">
        <f>IF(F71="N/A","NO",IF(F71&lt;H$8,"YES","NO"))</f>
        <v>NO</v>
      </c>
      <c r="F71" s="44" t="str">
        <f>J22</f>
        <v>N/A</v>
      </c>
      <c r="J71" s="41">
        <f>H$8</f>
        <v>0.09</v>
      </c>
      <c r="K71" s="14"/>
      <c r="L71" s="14"/>
      <c r="M71" s="14"/>
      <c r="N71" s="14"/>
    </row>
    <row r="72" spans="1:20" ht="65.25" hidden="1" customHeight="1" x14ac:dyDescent="0.25">
      <c r="A72" s="1" t="str">
        <f t="shared" si="0"/>
        <v>Juvenile Delinquency</v>
      </c>
      <c r="B72" s="1">
        <f>IF(E72="YES",MAX(B$56:B71)+1,0)</f>
        <v>0</v>
      </c>
      <c r="C72" s="1" t="str">
        <f>A$23</f>
        <v>CGE CQ4-16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IF(MAX(F72:G72)&gt;V$10,"YES","NO")</f>
        <v>NO</v>
      </c>
      <c r="F72" s="43">
        <f>IFERROR(IF(NOT(ISBLANK(J24)),(J24-I24)/I24,0),0)</f>
        <v>0</v>
      </c>
      <c r="G72" s="43">
        <f>IFERROR(IF(NOT(ISBLANK(K24)),(K24-J24)/J24,0),0)</f>
        <v>0</v>
      </c>
      <c r="J72" s="41">
        <f>V$10</f>
        <v>5</v>
      </c>
      <c r="K72" s="14"/>
      <c r="L72" s="14"/>
      <c r="M72" s="14"/>
      <c r="N72" s="14"/>
      <c r="O72" s="15"/>
      <c r="P72" s="10"/>
      <c r="T72" s="91" t="s">
        <v>105</v>
      </c>
    </row>
    <row r="73" spans="1:20" ht="60.75" hidden="1" customHeight="1" x14ac:dyDescent="0.25">
      <c r="A73" s="1" t="str">
        <f t="shared" si="0"/>
        <v>Juvenile Delinquency</v>
      </c>
      <c r="B73" s="1">
        <f>IF(E73="YES",MAX(B$56:B72)+1,0)</f>
        <v>0</v>
      </c>
      <c r="C73" s="1" t="str">
        <f>A$23</f>
        <v>CGE CQ4-16</v>
      </c>
      <c r="D73" s="42" t="str">
        <f>"Assessments dropped by more than set percentage of: "&amp;TEXT(J73,"#0%")</f>
        <v>Assessments dropped by more than set percentage of: 15%</v>
      </c>
      <c r="E73" s="1" t="str">
        <f>IF(MIN(F73:I73)&lt;(-1*V$11),"YES","NO")</f>
        <v>NO</v>
      </c>
      <c r="F73" s="43">
        <f>IFERROR(IF(NOT(ISBLANK(H25)),(H25-G25)/G25,0),0)</f>
        <v>-7.5287882038946423E-3</v>
      </c>
      <c r="G73" s="43">
        <f>IFERROR(IF(NOT(ISBLANK(I25)),(I25-H25)/H25,0),0)</f>
        <v>-2.2188759970718421E-3</v>
      </c>
      <c r="H73" s="43">
        <f>IFERROR(IF(NOT(ISBLANK(J25)),(J25-I25)/I25,0),0)</f>
        <v>0</v>
      </c>
      <c r="I73" s="43">
        <f>IFERROR(IF(NOT(ISBLANK(K25)),(K25-J25)/J25,0),0)</f>
        <v>0</v>
      </c>
      <c r="J73" s="41">
        <f>V$11</f>
        <v>0.15</v>
      </c>
      <c r="K73" s="14"/>
      <c r="L73" s="14"/>
      <c r="M73" s="14"/>
      <c r="N73" s="14"/>
      <c r="O73" s="15"/>
      <c r="P73" s="10"/>
      <c r="T73" s="91" t="s">
        <v>110</v>
      </c>
    </row>
    <row r="74" spans="1:20" ht="52.5" hidden="1" customHeight="1" x14ac:dyDescent="0.25">
      <c r="A74" s="1" t="str">
        <f t="shared" si="0"/>
        <v>Juvenile Delinquency</v>
      </c>
      <c r="B74" s="1">
        <f>IF(E74="YES",MAX(B$56:B73)+1,0)</f>
        <v>0</v>
      </c>
      <c r="C74" s="1" t="str">
        <f>A$23</f>
        <v>CGE CQ4-16</v>
      </c>
      <c r="D74" s="42" t="s">
        <v>133</v>
      </c>
      <c r="E74" s="1" t="str">
        <f>IF(MIN(F74:I74)&lt;0,"YES","NO")</f>
        <v>NO</v>
      </c>
      <c r="F74" s="43">
        <f t="shared" ref="F74:I75" si="4">IFERROR(IF(NOT(ISBLANK(H24)),(H24-G24)/G24,0),0)</f>
        <v>0.97143446426729907</v>
      </c>
      <c r="G74" s="43">
        <f t="shared" si="4"/>
        <v>0.35151958989381166</v>
      </c>
      <c r="H74" s="43">
        <f t="shared" si="4"/>
        <v>0</v>
      </c>
      <c r="I74" s="43">
        <f t="shared" si="4"/>
        <v>0</v>
      </c>
      <c r="K74" s="14"/>
      <c r="L74" s="14"/>
      <c r="M74" s="14"/>
      <c r="N74" s="14"/>
      <c r="O74" s="15"/>
      <c r="P74" s="10"/>
    </row>
    <row r="75" spans="1:20" ht="45" hidden="1" customHeight="1" x14ac:dyDescent="0.25">
      <c r="A75" s="1" t="str">
        <f t="shared" si="0"/>
        <v>Juvenile Delinquency</v>
      </c>
      <c r="B75" s="1">
        <f>IF(E75="YES",MAX(B$56:B74)+1,0)</f>
        <v>0</v>
      </c>
      <c r="C75" s="1" t="str">
        <f>A$23</f>
        <v>CGE CQ4-16</v>
      </c>
      <c r="D75" s="42" t="s">
        <v>134</v>
      </c>
      <c r="E75" s="1" t="str">
        <f>IF(MAX(F75:I75)&gt;0,"YES","NO")</f>
        <v>NO</v>
      </c>
      <c r="F75" s="43">
        <f t="shared" si="4"/>
        <v>-7.5287882038946423E-3</v>
      </c>
      <c r="G75" s="43">
        <f t="shared" si="4"/>
        <v>-2.2188759970718421E-3</v>
      </c>
      <c r="H75" s="43">
        <f t="shared" si="4"/>
        <v>0</v>
      </c>
      <c r="I75" s="43">
        <f t="shared" si="4"/>
        <v>0</v>
      </c>
      <c r="K75" s="14"/>
      <c r="L75" s="14"/>
      <c r="M75" s="14"/>
      <c r="N75" s="14"/>
    </row>
    <row r="76" spans="1:20" ht="96.6" hidden="1" x14ac:dyDescent="0.25">
      <c r="A76" s="1" t="str">
        <f t="shared" si="0"/>
        <v>Juvenile Delinquency</v>
      </c>
      <c r="B76" s="1">
        <f>IF(E76="YES",MAX(B$56:B75)+1,0)</f>
        <v>0</v>
      </c>
      <c r="C76" s="1" t="str">
        <f>A$23</f>
        <v>CGE CQ4-16</v>
      </c>
      <c r="D76" s="42" t="str">
        <f>"The 5th Quarter Collection Rate did not meet the established performance measure standard of: "&amp;TEXT(J76,"#0%")</f>
        <v>The 5th Quarter Collection Rate did not meet the established performance measure standard of: 9%</v>
      </c>
      <c r="E76" s="1" t="str">
        <f>IF(F76="N/A","NO",IF(F76&lt;H$8,"YES","NO"))</f>
        <v>NO</v>
      </c>
      <c r="F76" s="44" t="str">
        <f>K26</f>
        <v>N/A</v>
      </c>
      <c r="J76" s="41">
        <f>H$8</f>
        <v>0.09</v>
      </c>
      <c r="K76" s="14"/>
      <c r="L76" s="14"/>
      <c r="M76" s="14"/>
      <c r="N76" s="14"/>
    </row>
    <row r="77" spans="1:20" s="18" customFormat="1" ht="65.25" hidden="1" customHeight="1" x14ac:dyDescent="0.3">
      <c r="A77" s="1" t="str">
        <f t="shared" si="0"/>
        <v>Juvenile Delinquency</v>
      </c>
      <c r="B77" s="1">
        <f>IF(E77="YES",MAX(B$56:B76)+1,0)</f>
        <v>0</v>
      </c>
      <c r="C77" s="1" t="str">
        <f>A$27</f>
        <v>CGE CQ1-17</v>
      </c>
      <c r="D77" s="42" t="str">
        <f>"After 3rd Q, Collections went up by more than set percentage of: "&amp;TEXT(J77,"#0%")</f>
        <v>After 3rd Q, Collections went up by more than set percentage of: 500%</v>
      </c>
      <c r="E77" s="1" t="str">
        <f>IF(MAX(F77)&gt;V$10,"YES","NO")</f>
        <v>NO</v>
      </c>
      <c r="F77" s="43">
        <f>IFERROR(IF(NOT(ISBLANK(K28)),(K28-J28)/J28,0),0)</f>
        <v>0</v>
      </c>
      <c r="G77" s="43"/>
      <c r="H77" s="1"/>
      <c r="I77" s="1"/>
      <c r="J77" s="41">
        <f>V$10</f>
        <v>5</v>
      </c>
      <c r="K77" s="14"/>
      <c r="L77" s="14"/>
      <c r="M77" s="14"/>
      <c r="N77" s="14"/>
      <c r="O77" s="17"/>
      <c r="P77" s="10"/>
      <c r="T77" s="91" t="s">
        <v>106</v>
      </c>
    </row>
    <row r="78" spans="1:20" ht="60.75" hidden="1" customHeight="1" x14ac:dyDescent="0.25">
      <c r="A78" s="1" t="str">
        <f t="shared" si="0"/>
        <v>Juvenile Delinquency</v>
      </c>
      <c r="B78" s="1">
        <f>IF(E78="YES",MAX(B$56:B77)+1,0)</f>
        <v>0</v>
      </c>
      <c r="C78" s="1" t="str">
        <f>A$27</f>
        <v>CGE CQ1-17</v>
      </c>
      <c r="D78" s="42" t="str">
        <f>"Assessments dropped by more than set percentage of: "&amp;TEXT(J78,"#0%")</f>
        <v>Assessments dropped by more than set percentage of: 15%</v>
      </c>
      <c r="E78" s="1" t="str">
        <f>IF(MIN(F78:H78)&lt;(-1*V$11),"YES","NO")</f>
        <v>NO</v>
      </c>
      <c r="F78" s="43">
        <f>IFERROR(IF(NOT(ISBLANK(I29)),(I29-H29)/H29,0),0)</f>
        <v>-9.3524115483789149E-3</v>
      </c>
      <c r="G78" s="43">
        <f>IFERROR(IF(NOT(ISBLANK(J29)),(J29-I29)/I29,0),0)</f>
        <v>0</v>
      </c>
      <c r="H78" s="43">
        <f>IFERROR(IF(NOT(ISBLANK(K29)),(K29-J29)/J29,0),0)</f>
        <v>0</v>
      </c>
      <c r="J78" s="41">
        <f>V$11</f>
        <v>0.15</v>
      </c>
      <c r="K78" s="14"/>
      <c r="L78" s="14"/>
      <c r="M78" s="14"/>
      <c r="N78" s="14"/>
      <c r="O78" s="15"/>
      <c r="P78" s="10"/>
      <c r="T78" s="91" t="s">
        <v>111</v>
      </c>
    </row>
    <row r="79" spans="1:20" ht="52.5" hidden="1" customHeight="1" x14ac:dyDescent="0.25">
      <c r="A79" s="1" t="str">
        <f t="shared" si="0"/>
        <v>Juvenile Delinquency</v>
      </c>
      <c r="B79" s="1">
        <f>IF(E79="YES",MAX(B$56:B78)+1,0)</f>
        <v>0</v>
      </c>
      <c r="C79" s="1" t="str">
        <f>A$27</f>
        <v>CGE CQ1-17</v>
      </c>
      <c r="D79" s="42" t="s">
        <v>133</v>
      </c>
      <c r="E79" s="1" t="str">
        <f>IF(MIN(F79:H79)&lt;0,"YES","NO")</f>
        <v>NO</v>
      </c>
      <c r="F79" s="43">
        <f t="shared" ref="F79:H80" si="5">IFERROR(IF(NOT(ISBLANK(I28)),(I28-H28)/H28,0),0)</f>
        <v>0.82185573137211221</v>
      </c>
      <c r="G79" s="43">
        <f t="shared" si="5"/>
        <v>0</v>
      </c>
      <c r="H79" s="43">
        <f t="shared" si="5"/>
        <v>0</v>
      </c>
      <c r="K79" s="14"/>
      <c r="L79" s="14"/>
      <c r="M79" s="14"/>
      <c r="N79" s="14"/>
      <c r="O79" s="15"/>
      <c r="P79" s="10"/>
    </row>
    <row r="80" spans="1:20" ht="45" hidden="1" customHeight="1" x14ac:dyDescent="0.25">
      <c r="A80" s="1" t="str">
        <f t="shared" si="0"/>
        <v>Juvenile Delinquency</v>
      </c>
      <c r="B80" s="1">
        <f>IF(E80="YES",MAX(B$56:B79)+1,0)</f>
        <v>0</v>
      </c>
      <c r="C80" s="1" t="str">
        <f>A$27</f>
        <v>CGE CQ1-17</v>
      </c>
      <c r="D80" s="42" t="s">
        <v>134</v>
      </c>
      <c r="E80" s="1" t="str">
        <f>IF(MAX(F80:H80)&gt;0,"YES","NO")</f>
        <v>NO</v>
      </c>
      <c r="F80" s="43">
        <f t="shared" si="5"/>
        <v>-9.3524115483789149E-3</v>
      </c>
      <c r="G80" s="43">
        <f t="shared" si="5"/>
        <v>0</v>
      </c>
      <c r="H80" s="43">
        <f t="shared" si="5"/>
        <v>0</v>
      </c>
      <c r="K80" s="14"/>
      <c r="L80" s="14"/>
      <c r="M80" s="14"/>
      <c r="N80" s="14"/>
    </row>
    <row r="81" spans="1:20" ht="60.75" hidden="1" customHeight="1" x14ac:dyDescent="0.25">
      <c r="A81" s="1" t="str">
        <f t="shared" si="0"/>
        <v>Juvenile Delinquency</v>
      </c>
      <c r="B81" s="1">
        <f>IF(E81="YES",MAX(B$56:B80)+1,0)</f>
        <v>0</v>
      </c>
      <c r="C81" s="1" t="str">
        <f>A$31</f>
        <v>CGE CQ2-17</v>
      </c>
      <c r="D81" s="42" t="str">
        <f>"Assessments dropped by more than set percentage of: "&amp;TEXT(J81,"#0%")</f>
        <v>Assessments dropped by more than set percentage of: 15%</v>
      </c>
      <c r="E81" s="1" t="str">
        <f>IF(MIN(F81:G81)&lt;(-1*V$11),"YES","NO")</f>
        <v>NO</v>
      </c>
      <c r="F81" s="43">
        <f>IFERROR(IF(NOT(ISBLANK(J33)),(J33-I33)/I33,0),0)</f>
        <v>0</v>
      </c>
      <c r="G81" s="43">
        <f>IFERROR(IF(NOT(ISBLANK(K33)),(K33-J33)/J33,0),0)</f>
        <v>0</v>
      </c>
      <c r="J81" s="41">
        <f>V$11</f>
        <v>0.15</v>
      </c>
      <c r="K81" s="14"/>
      <c r="L81" s="14"/>
      <c r="M81" s="14"/>
      <c r="N81" s="14"/>
      <c r="O81" s="15"/>
      <c r="P81" s="10"/>
      <c r="T81" s="91" t="s">
        <v>112</v>
      </c>
    </row>
    <row r="82" spans="1:20" ht="52.5" hidden="1" customHeight="1" x14ac:dyDescent="0.25">
      <c r="A82" s="1" t="str">
        <f t="shared" si="0"/>
        <v>Juvenile Delinquency</v>
      </c>
      <c r="B82" s="1">
        <f>IF(E82="YES",MAX(B$56:B81)+1,0)</f>
        <v>0</v>
      </c>
      <c r="C82" s="1" t="str">
        <f>A$31</f>
        <v>CGE CQ2-17</v>
      </c>
      <c r="D82" s="42" t="s">
        <v>133</v>
      </c>
      <c r="E82" s="1" t="str">
        <f>IF(MIN(F82:G82)&lt;0,"YES","NO")</f>
        <v>NO</v>
      </c>
      <c r="F82" s="43">
        <f>IFERROR(IF(NOT(ISBLANK(J32)),(J32-I32)/I32,0),0)</f>
        <v>0</v>
      </c>
      <c r="G82" s="43">
        <f>IFERROR(IF(NOT(ISBLANK(K32)),(K32-J32)/J32,0),0)</f>
        <v>0</v>
      </c>
      <c r="K82" s="14"/>
      <c r="L82" s="14"/>
      <c r="M82" s="14"/>
      <c r="N82" s="14"/>
      <c r="O82" s="15"/>
      <c r="P82" s="10"/>
    </row>
    <row r="83" spans="1:20" ht="45" hidden="1" customHeight="1" x14ac:dyDescent="0.25">
      <c r="A83" s="1" t="str">
        <f t="shared" si="0"/>
        <v>Juvenile Delinquency</v>
      </c>
      <c r="B83" s="1">
        <f>IF(E83="YES",MAX(B$56:B82)+1,0)</f>
        <v>0</v>
      </c>
      <c r="C83" s="1" t="str">
        <f>A$31</f>
        <v>CGE CQ2-17</v>
      </c>
      <c r="D83" s="42" t="s">
        <v>134</v>
      </c>
      <c r="E83" s="1" t="str">
        <f>IF(MAX(F83:G83)&gt;0,"YES","NO")</f>
        <v>NO</v>
      </c>
      <c r="F83" s="43">
        <f>IFERROR(IF(NOT(ISBLANK(J33)),(J33-I33)/I33,0),0)</f>
        <v>0</v>
      </c>
      <c r="G83" s="43">
        <f>IFERROR(IF(NOT(ISBLANK(K33)),(K33-J33)/J33,0),0)</f>
        <v>0</v>
      </c>
      <c r="K83" s="14"/>
      <c r="L83" s="14"/>
      <c r="M83" s="14"/>
      <c r="N83" s="14"/>
    </row>
    <row r="84" spans="1:20" ht="60.75" hidden="1" customHeight="1" x14ac:dyDescent="0.25">
      <c r="A84" s="1" t="str">
        <f t="shared" si="0"/>
        <v>Juvenile Delinquency</v>
      </c>
      <c r="B84" s="1">
        <f>IF(E84="YES",MAX(B$56:B83)+1,0)</f>
        <v>0</v>
      </c>
      <c r="C84" s="1" t="str">
        <f>A$35</f>
        <v>CGE CQ3-17</v>
      </c>
      <c r="D84" s="42" t="str">
        <f>"Assessments dropped by more than set percentage of: "&amp;TEXT(J84,"#0%")</f>
        <v>Assessments dropped by more than set percentage of: 15%</v>
      </c>
      <c r="E84" s="1" t="str">
        <f>IF(MIN(F84)&lt;(-1*V$11),"YES","NO")</f>
        <v>NO</v>
      </c>
      <c r="F84" s="43">
        <f>IFERROR(IF(NOT(ISBLANK(K37)),(K37-J37)/J37,0),0)</f>
        <v>0</v>
      </c>
      <c r="J84" s="41">
        <f>V$11</f>
        <v>0.15</v>
      </c>
      <c r="K84" s="14"/>
      <c r="L84" s="14"/>
      <c r="M84" s="14"/>
      <c r="N84" s="14"/>
      <c r="O84" s="15"/>
      <c r="P84" s="10"/>
      <c r="T84" s="91" t="s">
        <v>113</v>
      </c>
    </row>
    <row r="85" spans="1:20" ht="52.5" hidden="1" customHeight="1" x14ac:dyDescent="0.25">
      <c r="A85" s="1" t="str">
        <f t="shared" si="0"/>
        <v>Juvenile Delinquency</v>
      </c>
      <c r="B85" s="1">
        <f>IF(E85="YES",MAX(B$56:B84)+1,0)</f>
        <v>0</v>
      </c>
      <c r="C85" s="1" t="str">
        <f>A$35</f>
        <v>CGE CQ3-17</v>
      </c>
      <c r="D85" s="42" t="s">
        <v>133</v>
      </c>
      <c r="E85" s="1" t="str">
        <f>IF(MIN(F85)&lt;0,"YES","NO")</f>
        <v>NO</v>
      </c>
      <c r="F85" s="43">
        <f>IFERROR(IF(NOT(ISBLANK(K36)),(K36-J36)/J36,0),0)</f>
        <v>0</v>
      </c>
      <c r="K85" s="14"/>
      <c r="L85" s="14"/>
      <c r="M85" s="14"/>
      <c r="N85" s="14"/>
      <c r="O85" s="15"/>
    </row>
    <row r="86" spans="1:20" ht="45" hidden="1" customHeight="1" x14ac:dyDescent="0.25">
      <c r="A86" s="1" t="str">
        <f t="shared" si="0"/>
        <v>Juvenile Delinquency</v>
      </c>
      <c r="B86" s="1">
        <f>IF(E86="YES",MAX(B$56:B85)+1,0)</f>
        <v>0</v>
      </c>
      <c r="C86" s="1" t="str">
        <f>A$35</f>
        <v>CGE CQ3-17</v>
      </c>
      <c r="D86" s="42" t="s">
        <v>134</v>
      </c>
      <c r="E86" s="1" t="str">
        <f>IF(MAX(F86)&gt;0,"YES","NO")</f>
        <v>NO</v>
      </c>
      <c r="F86" s="43">
        <f>IFERROR(IF(NOT(ISBLANK(K37)),(K37-J37)/J37,0),0)</f>
        <v>0</v>
      </c>
      <c r="K86" s="14"/>
      <c r="L86" s="14"/>
      <c r="M86" s="14"/>
      <c r="N86" s="14"/>
    </row>
  </sheetData>
  <sheetProtection algorithmName="SHA-512" hashValue="fAeckV9rezKKRjlpOSsWMae5QxO3txMRqaFKkJOBTrL7ap06MJDIGOACBHWhJwQ/t+MFmOxCyFsDrh8JuGviTQ==" saltValue="9BDdchM/0rdfEFCKIBt4vw==" spinCount="100000" sheet="1" objects="1" scenarios="1" selectLockedCells="1"/>
  <mergeCells count="36">
    <mergeCell ref="L9:M9"/>
    <mergeCell ref="L11:L14"/>
    <mergeCell ref="M11:M14"/>
    <mergeCell ref="L15:L18"/>
    <mergeCell ref="M15:M18"/>
    <mergeCell ref="M19:M22"/>
    <mergeCell ref="A31:A34"/>
    <mergeCell ref="B15:B18"/>
    <mergeCell ref="A35:A38"/>
    <mergeCell ref="L31:M31"/>
    <mergeCell ref="L32:M42"/>
    <mergeCell ref="E25:E26"/>
    <mergeCell ref="F25:F26"/>
    <mergeCell ref="L23:L26"/>
    <mergeCell ref="M23:M26"/>
    <mergeCell ref="A15:A18"/>
    <mergeCell ref="A19:A22"/>
    <mergeCell ref="A23:A26"/>
    <mergeCell ref="D25:D26"/>
    <mergeCell ref="L19:L22"/>
    <mergeCell ref="H43:K43"/>
    <mergeCell ref="A53:B53"/>
    <mergeCell ref="B35:B38"/>
    <mergeCell ref="B39:B42"/>
    <mergeCell ref="D6:E6"/>
    <mergeCell ref="D8:E8"/>
    <mergeCell ref="B27:B30"/>
    <mergeCell ref="B31:B34"/>
    <mergeCell ref="B11:B14"/>
    <mergeCell ref="A39:A42"/>
    <mergeCell ref="A27:A30"/>
    <mergeCell ref="D43:G43"/>
    <mergeCell ref="I11:I14"/>
    <mergeCell ref="B19:B22"/>
    <mergeCell ref="B23:B26"/>
    <mergeCell ref="A11:A14"/>
  </mergeCells>
  <phoneticPr fontId="0" type="noConversion"/>
  <conditionalFormatting sqref="M11:M14">
    <cfRule type="expression" dxfId="316" priority="421" stopIfTrue="1">
      <formula>$H$14&lt;$H$8</formula>
    </cfRule>
  </conditionalFormatting>
  <conditionalFormatting sqref="M15:M18">
    <cfRule type="expression" dxfId="315" priority="420" stopIfTrue="1">
      <formula>$I$18&lt;$H$8</formula>
    </cfRule>
  </conditionalFormatting>
  <conditionalFormatting sqref="M19:M22">
    <cfRule type="expression" dxfId="314" priority="419" stopIfTrue="1">
      <formula>$J$22&lt;$H$8</formula>
    </cfRule>
  </conditionalFormatting>
  <conditionalFormatting sqref="M23:M26">
    <cfRule type="expression" dxfId="313" priority="418" stopIfTrue="1">
      <formula>$K$26&lt;$H$8</formula>
    </cfRule>
  </conditionalFormatting>
  <conditionalFormatting sqref="I39:I42">
    <cfRule type="cellIs" dxfId="312" priority="48" stopIfTrue="1" operator="lessThan">
      <formula>$H$8</formula>
    </cfRule>
  </conditionalFormatting>
  <conditionalFormatting sqref="I16">
    <cfRule type="expression" dxfId="311" priority="46">
      <formula>(I16&lt;H16)</formula>
    </cfRule>
  </conditionalFormatting>
  <conditionalFormatting sqref="J20">
    <cfRule type="expression" dxfId="310" priority="45">
      <formula>(J20&lt;I20)</formula>
    </cfRule>
  </conditionalFormatting>
  <conditionalFormatting sqref="K24">
    <cfRule type="expression" dxfId="309" priority="44">
      <formula>(K24&lt;J24)</formula>
    </cfRule>
  </conditionalFormatting>
  <conditionalFormatting sqref="H16">
    <cfRule type="expression" dxfId="308" priority="43">
      <formula>(H16&lt;G16)</formula>
    </cfRule>
  </conditionalFormatting>
  <conditionalFormatting sqref="I20">
    <cfRule type="expression" dxfId="307" priority="42">
      <formula>(I20&lt;H20)</formula>
    </cfRule>
  </conditionalFormatting>
  <conditionalFormatting sqref="J24">
    <cfRule type="expression" dxfId="306" priority="41">
      <formula>(J24&lt;I24)</formula>
    </cfRule>
  </conditionalFormatting>
  <conditionalFormatting sqref="K28">
    <cfRule type="expression" dxfId="305" priority="40">
      <formula>(K28&lt;J28)</formula>
    </cfRule>
  </conditionalFormatting>
  <conditionalFormatting sqref="H20">
    <cfRule type="expression" dxfId="304" priority="39">
      <formula>(H20&lt;G20)</formula>
    </cfRule>
  </conditionalFormatting>
  <conditionalFormatting sqref="I24">
    <cfRule type="expression" dxfId="303" priority="38">
      <formula>(I24&lt;H24)</formula>
    </cfRule>
  </conditionalFormatting>
  <conditionalFormatting sqref="J28">
    <cfRule type="expression" dxfId="302" priority="37">
      <formula>(J28&lt;I28)</formula>
    </cfRule>
  </conditionalFormatting>
  <conditionalFormatting sqref="K32">
    <cfRule type="expression" dxfId="301" priority="36">
      <formula>(K32&lt;J32)</formula>
    </cfRule>
  </conditionalFormatting>
  <conditionalFormatting sqref="H24">
    <cfRule type="expression" dxfId="300" priority="35">
      <formula>(H24&lt;G24)</formula>
    </cfRule>
  </conditionalFormatting>
  <conditionalFormatting sqref="I28">
    <cfRule type="expression" dxfId="299" priority="34">
      <formula>(I28&lt;H28)</formula>
    </cfRule>
  </conditionalFormatting>
  <conditionalFormatting sqref="J32">
    <cfRule type="expression" dxfId="298" priority="33">
      <formula>(J32&lt;I32)</formula>
    </cfRule>
  </conditionalFormatting>
  <conditionalFormatting sqref="K36">
    <cfRule type="expression" dxfId="297" priority="32">
      <formula>(K36&lt;J36)</formula>
    </cfRule>
  </conditionalFormatting>
  <conditionalFormatting sqref="H17">
    <cfRule type="expression" dxfId="296" priority="30">
      <formula>(H17&gt;G17)</formula>
    </cfRule>
  </conditionalFormatting>
  <conditionalFormatting sqref="H21">
    <cfRule type="expression" dxfId="295" priority="29">
      <formula>(H21&gt;G21)</formula>
    </cfRule>
  </conditionalFormatting>
  <conditionalFormatting sqref="H25">
    <cfRule type="expression" dxfId="294" priority="28">
      <formula>(H25&gt;G25)</formula>
    </cfRule>
  </conditionalFormatting>
  <conditionalFormatting sqref="I29">
    <cfRule type="expression" dxfId="293" priority="27">
      <formula>(I29&gt;H29)</formula>
    </cfRule>
  </conditionalFormatting>
  <conditionalFormatting sqref="I18">
    <cfRule type="expression" dxfId="292" priority="25">
      <formula>I18&lt;$H$8</formula>
    </cfRule>
  </conditionalFormatting>
  <conditionalFormatting sqref="J22">
    <cfRule type="expression" dxfId="291" priority="24">
      <formula>J22&lt;$H$8</formula>
    </cfRule>
  </conditionalFormatting>
  <conditionalFormatting sqref="K26">
    <cfRule type="expression" dxfId="290" priority="23">
      <formula>K26&lt;$H$8</formula>
    </cfRule>
  </conditionalFormatting>
  <conditionalFormatting sqref="I17">
    <cfRule type="expression" dxfId="289" priority="22">
      <formula>(I17&gt;H17)</formula>
    </cfRule>
  </conditionalFormatting>
  <conditionalFormatting sqref="J21">
    <cfRule type="expression" dxfId="288" priority="21">
      <formula>(J21&gt;I21)</formula>
    </cfRule>
  </conditionalFormatting>
  <conditionalFormatting sqref="K25">
    <cfRule type="expression" dxfId="287" priority="20">
      <formula>(K25&gt;J25)</formula>
    </cfRule>
  </conditionalFormatting>
  <conditionalFormatting sqref="I21">
    <cfRule type="expression" dxfId="286" priority="19">
      <formula>(I21&gt;H21)</formula>
    </cfRule>
  </conditionalFormatting>
  <conditionalFormatting sqref="J25">
    <cfRule type="expression" dxfId="285" priority="18">
      <formula>(J25&gt;I25)</formula>
    </cfRule>
  </conditionalFormatting>
  <conditionalFormatting sqref="K29">
    <cfRule type="expression" dxfId="284" priority="17">
      <formula>(K29&gt;J29)</formula>
    </cfRule>
  </conditionalFormatting>
  <conditionalFormatting sqref="I25">
    <cfRule type="expression" dxfId="283" priority="16">
      <formula>(I25&gt;H25)</formula>
    </cfRule>
  </conditionalFormatting>
  <conditionalFormatting sqref="J29">
    <cfRule type="expression" dxfId="282" priority="15">
      <formula>(J29&gt;I29)</formula>
    </cfRule>
  </conditionalFormatting>
  <conditionalFormatting sqref="K33">
    <cfRule type="expression" dxfId="281" priority="14">
      <formula>(K33&gt;J33)</formula>
    </cfRule>
  </conditionalFormatting>
  <conditionalFormatting sqref="J33">
    <cfRule type="expression" dxfId="280" priority="13">
      <formula>(J33&gt;I33)</formula>
    </cfRule>
  </conditionalFormatting>
  <conditionalFormatting sqref="K37">
    <cfRule type="expression" dxfId="279" priority="12">
      <formula>(K37&gt;J37)</formula>
    </cfRule>
  </conditionalFormatting>
  <conditionalFormatting sqref="H13">
    <cfRule type="expression" dxfId="278" priority="11">
      <formula>(H$13&gt;G$13)</formula>
    </cfRule>
  </conditionalFormatting>
  <conditionalFormatting sqref="H14">
    <cfRule type="expression" dxfId="277" priority="10">
      <formula>H14&lt;$H$8</formula>
    </cfRule>
  </conditionalFormatting>
  <conditionalFormatting sqref="H12">
    <cfRule type="expression" dxfId="276" priority="9">
      <formula>(H$12&lt;G$12)</formula>
    </cfRule>
  </conditionalFormatting>
  <conditionalFormatting sqref="L32:M42">
    <cfRule type="expression" dxfId="275" priority="8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L11:L14">
    <cfRule type="expression" dxfId="274" priority="4" stopIfTrue="1">
      <formula>$H$14&lt;$H$8</formula>
    </cfRule>
  </conditionalFormatting>
  <conditionalFormatting sqref="L15:L18">
    <cfRule type="expression" dxfId="273" priority="3" stopIfTrue="1">
      <formula>$I$18&lt;$H$8</formula>
    </cfRule>
  </conditionalFormatting>
  <conditionalFormatting sqref="L19:L22">
    <cfRule type="expression" dxfId="272" priority="2" stopIfTrue="1">
      <formula>$J$22&lt;$H$8</formula>
    </cfRule>
  </conditionalFormatting>
  <conditionalFormatting sqref="L23:L26">
    <cfRule type="expression" dxfId="271" priority="1" stopIfTrue="1">
      <formula>$K$26&lt;$H$8</formula>
    </cfRule>
  </conditionalFormatting>
  <dataValidations count="2">
    <dataValidation type="textLength" allowBlank="1" showInputMessage="1" showErrorMessage="1" sqref="M31 L31:L32 L27:M30 L10 M10:M26 N10:N37">
      <formula1>0</formula1>
      <formula2>500</formula2>
    </dataValidation>
    <dataValidation type="decimal" allowBlank="1" showInputMessage="1" showErrorMessage="1" sqref="G19:I19 H15:K16 J35:J37 J39:J42 H21:I21 G15 D12:H13 G25:I25 J18:K19 G28:I29 I31:I32 J12:K13 G39:H42">
      <formula1>0</formula1>
      <formula2>999999999999999</formula2>
    </dataValidation>
  </dataValidations>
  <printOptions horizontalCentered="1" verticalCentered="1"/>
  <pageMargins left="0.21" right="0.23" top="0.3" bottom="0.36" header="0.2" footer="0.17"/>
  <pageSetup scale="57" orientation="landscape" horizontalDpi="4294967293" r:id="rId1"/>
  <headerFooter alignWithMargins="0">
    <oddFooter>&amp;L&amp;F</oddFooter>
  </headerFooter>
  <ignoredErrors>
    <ignoredError sqref="D14:G15 D18:G19 D16 D17 D22:G23 D20:E20 D21:E21 D26:G26 D24:F24 D25:F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'Circuit Criminal'!$N$11:$N$12</xm:f>
          </x14:formula1>
          <xm:sqref>L11:L26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86"/>
  <sheetViews>
    <sheetView showGridLines="0" topLeftCell="B2" zoomScale="75" zoomScaleNormal="75" zoomScaleSheetLayoutView="70" workbookViewId="0">
      <selection activeCell="J20" sqref="J20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2" width="18.6640625" style="1" customWidth="1"/>
    <col min="13" max="13" width="33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2.44140625" style="1" hidden="1" customWidth="1"/>
    <col min="22" max="22" width="11.5546875" style="1" hidden="1" customWidth="1"/>
    <col min="23" max="23" width="13.33203125" style="1" hidden="1" customWidth="1"/>
    <col min="24" max="25" width="9.109375" style="1" hidden="1" customWidth="1"/>
    <col min="26" max="26" width="0" style="1" hidden="1" customWidth="1"/>
    <col min="27" max="16384" width="9.109375" style="1"/>
  </cols>
  <sheetData>
    <row r="1" spans="1:22" ht="33" hidden="1" customHeight="1" x14ac:dyDescent="0.25"/>
    <row r="2" spans="1:22" ht="22.8" x14ac:dyDescent="0.4">
      <c r="K2" s="2"/>
      <c r="L2" s="2"/>
      <c r="M2" s="2" t="s">
        <v>241</v>
      </c>
      <c r="N2" s="2"/>
      <c r="T2" s="91" t="s">
        <v>48</v>
      </c>
    </row>
    <row r="3" spans="1:22" ht="22.8" x14ac:dyDescent="0.4">
      <c r="K3" s="2"/>
      <c r="L3" s="2"/>
      <c r="M3" s="2" t="s">
        <v>16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39" t="str">
        <f>'Circuit Criminal'!D4</f>
        <v>March 2016</v>
      </c>
      <c r="I4" s="223" t="s">
        <v>248</v>
      </c>
      <c r="J4" s="224"/>
      <c r="K4" s="224"/>
      <c r="L4" s="224"/>
      <c r="M4" s="225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37">
        <f>'Circuit Criminal'!$D$5</f>
        <v>1</v>
      </c>
      <c r="I5" s="226"/>
      <c r="J5" s="227" t="s">
        <v>249</v>
      </c>
      <c r="K5" s="227"/>
      <c r="L5" s="227"/>
      <c r="M5" s="228"/>
      <c r="T5" s="91" t="s">
        <v>50</v>
      </c>
    </row>
    <row r="6" spans="1:22" ht="20.25" customHeight="1" x14ac:dyDescent="0.25">
      <c r="A6" s="3"/>
      <c r="C6" s="6" t="s">
        <v>9</v>
      </c>
      <c r="D6" s="300" t="str">
        <f>'Circuit Criminal'!D6</f>
        <v>Brevard</v>
      </c>
      <c r="E6" s="300"/>
      <c r="F6" s="91"/>
      <c r="G6" s="91"/>
      <c r="H6" s="91"/>
      <c r="I6" s="229"/>
      <c r="J6" s="230" t="s">
        <v>250</v>
      </c>
      <c r="K6" s="230"/>
      <c r="L6" s="230"/>
      <c r="M6" s="231"/>
      <c r="N6" s="91"/>
      <c r="T6" s="91" t="s">
        <v>51</v>
      </c>
    </row>
    <row r="7" spans="1:22" ht="11.25" customHeight="1" x14ac:dyDescent="0.25">
      <c r="A7" s="3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41</v>
      </c>
      <c r="E8" s="284"/>
      <c r="G8" s="6" t="s">
        <v>33</v>
      </c>
      <c r="H8" s="27">
        <v>0.4</v>
      </c>
      <c r="T8" s="91" t="s">
        <v>53</v>
      </c>
    </row>
    <row r="9" spans="1:22" ht="15.6" x14ac:dyDescent="0.3">
      <c r="A9" s="7"/>
      <c r="B9" s="3"/>
      <c r="J9" s="8"/>
      <c r="K9" s="9"/>
      <c r="L9" s="291" t="s">
        <v>187</v>
      </c>
      <c r="M9" s="292"/>
      <c r="N9" s="90">
        <v>1</v>
      </c>
      <c r="O9" s="10" t="s">
        <v>2</v>
      </c>
      <c r="P9" s="1" t="s">
        <v>29</v>
      </c>
      <c r="Q9" s="1">
        <v>1</v>
      </c>
      <c r="T9" s="91" t="s">
        <v>54</v>
      </c>
    </row>
    <row r="10" spans="1:22" s="11" customFormat="1" ht="26.25" customHeight="1" thickBot="1" x14ac:dyDescent="0.3">
      <c r="B10" s="19"/>
      <c r="C10" s="20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118" t="s">
        <v>190</v>
      </c>
      <c r="N10" s="87"/>
      <c r="O10" s="10" t="s">
        <v>3</v>
      </c>
      <c r="P10" s="11" t="s">
        <v>30</v>
      </c>
      <c r="Q10" s="1"/>
      <c r="T10" s="91" t="s">
        <v>55</v>
      </c>
      <c r="V10" s="40"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21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/>
      <c r="M11" s="303"/>
      <c r="N11" s="117" t="s">
        <v>188</v>
      </c>
      <c r="O11" s="10" t="s">
        <v>4</v>
      </c>
      <c r="P11" s="1" t="s">
        <v>31</v>
      </c>
      <c r="Q11" s="1">
        <v>3</v>
      </c>
      <c r="T11" s="91" t="s">
        <v>56</v>
      </c>
      <c r="U11" s="1" t="str">
        <f>D6&amp;" "&amp;D8</f>
        <v>Brevard Criminal Traffic</v>
      </c>
      <c r="V11" s="41">
        <v>0.15</v>
      </c>
    </row>
    <row r="12" spans="1:22" ht="15.75" customHeight="1" x14ac:dyDescent="0.25">
      <c r="A12" s="277"/>
      <c r="B12" s="264"/>
      <c r="C12" s="22" t="s">
        <v>23</v>
      </c>
      <c r="D12" s="158">
        <f>LOOKUP($U$11,Lookup!$C$3:$C$672,Lookup!I$3:I$672)</f>
        <v>138135.35</v>
      </c>
      <c r="E12" s="137">
        <f>LOOKUP($U$11,Lookup!$C$3:$C$672,Lookup!J$3:J$672)</f>
        <v>221739.81</v>
      </c>
      <c r="F12" s="137">
        <f>LOOKUP($U$11,Lookup!$C$3:$C$672,Lookup!K$3:K$672)</f>
        <v>277898.52</v>
      </c>
      <c r="G12" s="143">
        <f>LOOKUP($U$11,Lookup!$C$3:$C$672,Lookup!L$3:L$672)</f>
        <v>336176.86</v>
      </c>
      <c r="H12" s="144">
        <v>372042.39</v>
      </c>
      <c r="I12" s="281"/>
      <c r="J12" s="96"/>
      <c r="K12" s="159"/>
      <c r="L12" s="271"/>
      <c r="M12" s="301"/>
      <c r="N12" s="26" t="s">
        <v>189</v>
      </c>
      <c r="O12" s="10" t="s">
        <v>5</v>
      </c>
      <c r="P12" s="1" t="s">
        <v>32</v>
      </c>
      <c r="Q12" s="1">
        <v>4</v>
      </c>
      <c r="T12" s="91" t="s">
        <v>57</v>
      </c>
      <c r="U12" s="1" t="str">
        <f>IF(P13=TRUE,A11,"")</f>
        <v>CGE CQ1-16</v>
      </c>
    </row>
    <row r="13" spans="1:22" ht="15.75" customHeight="1" thickBot="1" x14ac:dyDescent="0.3">
      <c r="A13" s="277"/>
      <c r="B13" s="264"/>
      <c r="C13" s="22" t="s">
        <v>24</v>
      </c>
      <c r="D13" s="160">
        <f>LOOKUP($U$11,Lookup!$C$3:$C$672,Lookup!D$3:D$672)</f>
        <v>700495.4</v>
      </c>
      <c r="E13" s="138">
        <f>LOOKUP($U$11,Lookup!$C$3:$C$672,Lookup!E$3:E$672)</f>
        <v>693315.9</v>
      </c>
      <c r="F13" s="138">
        <f>LOOKUP($U$11,Lookup!$C$3:$C$672,Lookup!F$3:F$672)</f>
        <v>687422.9</v>
      </c>
      <c r="G13" s="138">
        <f>LOOKUP($U$11,Lookup!$C$3:$C$672,Lookup!G$3:G$672)</f>
        <v>685723.9</v>
      </c>
      <c r="H13" s="54">
        <v>684130.4</v>
      </c>
      <c r="I13" s="282"/>
      <c r="J13" s="96"/>
      <c r="K13" s="159"/>
      <c r="L13" s="271"/>
      <c r="M13" s="301"/>
      <c r="N13" s="26" t="s">
        <v>191</v>
      </c>
      <c r="O13" s="10" t="s">
        <v>6</v>
      </c>
      <c r="P13" s="1" t="b">
        <f>OR(AND(E12&lt;D12,E12&gt;0),AND(F12&lt;E12,F12&gt;0),AND(G12&lt;F12,G12&gt;0),AND(H12&lt;G12,H12&gt;0),AND(F13&gt;E13,E13&gt;0),AND(G13&gt;F13,F13&gt;0),AND(H13&lt;G13,G13&gt;0))</f>
        <v>1</v>
      </c>
      <c r="Q13" s="1">
        <v>5</v>
      </c>
      <c r="T13" s="91" t="s">
        <v>58</v>
      </c>
      <c r="U13" s="1" t="str">
        <f>IF(P14=TRUE,A15,"")</f>
        <v>CGE CQ2-16</v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0.19719665539559575</v>
      </c>
      <c r="E14" s="145">
        <f>IF(ISBLANK(E12),"N/A",IF(OR(E12=0,E12="N/A"),0,E12/E13))</f>
        <v>0.31982507540934801</v>
      </c>
      <c r="F14" s="145">
        <f>IF(ISBLANK(F12),"N/A",IF(OR(F12=0,F12="N/A"),0,F12/F13))</f>
        <v>0.40426136516546074</v>
      </c>
      <c r="G14" s="145">
        <f>IF(ISBLANK(G12),"N/A",IF(OR(G12=0,G12="N/A"),0,G12/G13))</f>
        <v>0.49025104710511036</v>
      </c>
      <c r="H14" s="145">
        <f>IF(ISBLANK(H12),"N/A",IF(AND(H12=0,H13=0,NOT(ISBLANK(H12)),NOT(ISBLANK(H13))),1,H12/H13))</f>
        <v>0.54381794757256807</v>
      </c>
      <c r="I14" s="283"/>
      <c r="J14" s="96"/>
      <c r="K14" s="159"/>
      <c r="L14" s="271"/>
      <c r="M14" s="301"/>
      <c r="N14" s="117" t="s">
        <v>200</v>
      </c>
      <c r="O14" s="10" t="s">
        <v>7</v>
      </c>
      <c r="P14" s="1" t="b">
        <f>OR(AND(F16&lt;E16,F16&gt;0),AND(G16&lt;F16,G16&gt;0),AND(H16&lt;G16,H16&gt;0),AND(I16&lt;H16,I16&gt;0),AND(G17&gt;F17, F17&gt;0),AND(H17&gt;G17, G17&gt;0),AND(I17&lt;H17,I17&gt;0))</f>
        <v>1</v>
      </c>
      <c r="Q14" s="1">
        <v>6</v>
      </c>
      <c r="T14" s="91" t="s">
        <v>59</v>
      </c>
      <c r="U14" s="1" t="str">
        <f>IF(P15=TRUE,A19,"")</f>
        <v/>
      </c>
    </row>
    <row r="15" spans="1:22" ht="15.75" customHeight="1" x14ac:dyDescent="0.25">
      <c r="A15" s="276" t="str">
        <f>LEFT(B15,3)&amp;" "&amp;RIGHT(B15,6)</f>
        <v>CGE CQ2-16</v>
      </c>
      <c r="B15" s="304" t="s">
        <v>208</v>
      </c>
      <c r="C15" s="119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303"/>
      <c r="N15" s="26" t="s">
        <v>192</v>
      </c>
      <c r="O15" s="10" t="s">
        <v>8</v>
      </c>
      <c r="P15" s="1" t="b">
        <f>OR(AND(G20&lt;F20,D10&gt;0),AND(H20&lt;G20,H20&gt;0),AND(I20&lt;H20,I20&gt;0),AND(J20&lt;I20,J20&gt;0),AND(H21&gt;G21, G21&gt;0),AND(I21&gt;H21, H21&gt;0),AND(J21&lt;I21, J21&gt;0))</f>
        <v>0</v>
      </c>
      <c r="Q15" s="1">
        <v>7</v>
      </c>
      <c r="T15" s="91" t="s">
        <v>60</v>
      </c>
      <c r="U15" s="1" t="str">
        <f>IF(P16=TRUE,A23,"")</f>
        <v/>
      </c>
    </row>
    <row r="16" spans="1:22" ht="15.75" customHeight="1" x14ac:dyDescent="0.25">
      <c r="A16" s="277"/>
      <c r="B16" s="305"/>
      <c r="C16" s="22" t="s">
        <v>23</v>
      </c>
      <c r="D16" s="161"/>
      <c r="E16" s="137">
        <f>LOOKUP($U$11,Lookup!$C$3:$C$672,Lookup!S$3:S$672)</f>
        <v>165186.85</v>
      </c>
      <c r="F16" s="137">
        <f>LOOKUP($U$11,Lookup!$C$3:$C$672,Lookup!T$3:T$672)</f>
        <v>246922.76</v>
      </c>
      <c r="G16" s="137">
        <f>LOOKUP($U$11,Lookup!$C$3:$C$672,Lookup!U$3:U$672)</f>
        <v>317072.25</v>
      </c>
      <c r="H16" s="144">
        <v>369846.43</v>
      </c>
      <c r="I16" s="144">
        <v>425943.43</v>
      </c>
      <c r="J16" s="98"/>
      <c r="K16" s="159"/>
      <c r="L16" s="271"/>
      <c r="M16" s="301"/>
      <c r="N16" s="26" t="s">
        <v>193</v>
      </c>
      <c r="O16" s="10" t="s">
        <v>11</v>
      </c>
      <c r="P16" s="1" t="b">
        <f>OR(AND(H24&lt;G24, H24&gt;0),AND(I24&lt;H24, I24&gt;0),AND(J24&lt;I24, J24&gt;0),AND(K24&lt;J24, K24&gt;0),AND(I25&gt;H25, H25&gt;0),AND(J25&gt;I25, I25&gt;0),AND(K25&lt;J25, J25&gt;0))</f>
        <v>0</v>
      </c>
      <c r="Q16" s="1">
        <v>8</v>
      </c>
      <c r="T16" s="91" t="s">
        <v>61</v>
      </c>
      <c r="U16" s="1" t="str">
        <f>IF(P17=TRUE,A27,"")</f>
        <v/>
      </c>
    </row>
    <row r="17" spans="1:21" ht="15.75" customHeight="1" thickBot="1" x14ac:dyDescent="0.3">
      <c r="A17" s="277"/>
      <c r="B17" s="305"/>
      <c r="C17" s="22" t="s">
        <v>24</v>
      </c>
      <c r="D17" s="161"/>
      <c r="E17" s="138">
        <f>LOOKUP($U$11,Lookup!$C$3:$C$672,Lookup!N$3:N$672)</f>
        <v>748089.87</v>
      </c>
      <c r="F17" s="138">
        <f>LOOKUP($U$11,Lookup!$C$3:$C$672,Lookup!O$3:O$672)</f>
        <v>740863.37</v>
      </c>
      <c r="G17" s="138">
        <f>LOOKUP($U$11,Lookup!$C$3:$C$672,Lookup!P$3:P$672)</f>
        <v>736735.23</v>
      </c>
      <c r="H17" s="54">
        <v>734758.23</v>
      </c>
      <c r="I17" s="54">
        <v>733130.23</v>
      </c>
      <c r="J17" s="98"/>
      <c r="K17" s="159"/>
      <c r="L17" s="271"/>
      <c r="M17" s="301"/>
      <c r="N17" s="117" t="s">
        <v>201</v>
      </c>
      <c r="O17" s="10" t="s">
        <v>12</v>
      </c>
      <c r="P17" s="1" t="b">
        <f>OR(AND(I28&lt;H28, I28&gt;0),AND(J28&lt;I28, J28&gt;0),AND(K28&lt;J28, K28&gt;0),AND(J29&gt;I29, I29&gt;0),AND(K29&gt;J29, J29&gt;0))</f>
        <v>0</v>
      </c>
      <c r="Q17" s="1">
        <v>9</v>
      </c>
      <c r="T17" s="91" t="s">
        <v>62</v>
      </c>
      <c r="U17" s="1" t="str">
        <f>IF(P18=TRUE,A31,"")</f>
        <v/>
      </c>
    </row>
    <row r="18" spans="1:21" ht="15.75" customHeight="1" thickBot="1" x14ac:dyDescent="0.3">
      <c r="A18" s="278"/>
      <c r="B18" s="306"/>
      <c r="C18" s="24" t="s">
        <v>26</v>
      </c>
      <c r="D18" s="162"/>
      <c r="E18" s="145">
        <f>IF(ISBLANK(E16),"N/A",IF(OR(E16=0,E16="N/A"),0,E16/E17))</f>
        <v>0.22081150490648938</v>
      </c>
      <c r="F18" s="145">
        <f>IF(ISBLANK(F16),"N/A",IF(OR(F16=0,F16="N/A"),0,F16/F17))</f>
        <v>0.33329054991610668</v>
      </c>
      <c r="G18" s="145">
        <f>IF(ISBLANK(G16),"N/A",IF(OR(G16=0,G16="N/A"),0,G16/G17))</f>
        <v>0.43037476299321265</v>
      </c>
      <c r="H18" s="145">
        <f>IF(ISBLANK(H16),"N/A",IF(AND(H16=0,H17=0,NOT(ISBLANK(H16)),NOT(ISBLANK(H17))),1,H16/H17))</f>
        <v>0.50335799573146667</v>
      </c>
      <c r="I18" s="145">
        <f>IF(ISBLANK(I16),"N/A",IF(AND(I16=0,I17=0,NOT(ISBLANK(I16)),NOT(ISBLANK(I17))),1,I16/I17))</f>
        <v>0.58099286125467775</v>
      </c>
      <c r="J18" s="99"/>
      <c r="K18" s="159"/>
      <c r="L18" s="271"/>
      <c r="M18" s="301"/>
      <c r="N18" s="117" t="s">
        <v>202</v>
      </c>
      <c r="O18" s="10" t="s">
        <v>13</v>
      </c>
      <c r="P18" s="1" t="b">
        <f>OR(AND(J32&lt;I32, J32&gt;0),AND(K32&lt;J32, K32&gt;0),AND(K33&gt;J33, J33&gt;0))</f>
        <v>0</v>
      </c>
      <c r="Q18" s="1">
        <v>10</v>
      </c>
      <c r="T18" s="91" t="s">
        <v>63</v>
      </c>
      <c r="U18" s="1" t="str">
        <f>IF(P19=TRUE,A35,"")</f>
        <v/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119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303"/>
      <c r="N19" s="26" t="s">
        <v>194</v>
      </c>
      <c r="O19" s="10" t="s">
        <v>14</v>
      </c>
      <c r="P19" s="1" t="b">
        <f>OR(K36&lt;J36)</f>
        <v>0</v>
      </c>
      <c r="Q19" s="1">
        <v>11</v>
      </c>
      <c r="T19" s="91" t="s">
        <v>64</v>
      </c>
      <c r="U19" s="1" t="str">
        <f>U12&amp;" "&amp;U13&amp;" "&amp;U14&amp;" "&amp;U15&amp;" "&amp;U16&amp;" "&amp;U17&amp;" "&amp;U18</f>
        <v xml:space="preserve">CGE CQ1-16 CGE CQ2-16     </v>
      </c>
    </row>
    <row r="20" spans="1:21" ht="15.75" customHeight="1" x14ac:dyDescent="0.25">
      <c r="A20" s="277"/>
      <c r="B20" s="264"/>
      <c r="C20" s="22" t="s">
        <v>23</v>
      </c>
      <c r="D20" s="163"/>
      <c r="E20" s="29"/>
      <c r="F20" s="137">
        <f>LOOKUP($U$11,Lookup!$C$3:$C$672,Lookup!AC$3:AC$672)</f>
        <v>159917.99</v>
      </c>
      <c r="G20" s="137">
        <f>LOOKUP($U$11,Lookup!$C$3:$C$672,Lookup!AD$3:AD$672)</f>
        <v>229539.28</v>
      </c>
      <c r="H20" s="144">
        <v>283255.81</v>
      </c>
      <c r="I20" s="144">
        <v>346155.56</v>
      </c>
      <c r="J20" s="144"/>
      <c r="K20" s="165"/>
      <c r="L20" s="271"/>
      <c r="M20" s="301"/>
      <c r="N20" s="82"/>
      <c r="O20" s="10" t="s">
        <v>15</v>
      </c>
      <c r="P20" s="1">
        <f>COUNTIF(P13:P19,"TRUE")</f>
        <v>2</v>
      </c>
      <c r="Q20" s="1">
        <v>12</v>
      </c>
      <c r="T20" s="91" t="s">
        <v>65</v>
      </c>
    </row>
    <row r="21" spans="1:21" s="16" customFormat="1" ht="15.75" customHeight="1" thickBot="1" x14ac:dyDescent="0.3">
      <c r="A21" s="277"/>
      <c r="B21" s="264"/>
      <c r="C21" s="22" t="s">
        <v>24</v>
      </c>
      <c r="D21" s="163"/>
      <c r="E21" s="29"/>
      <c r="F21" s="138">
        <f>LOOKUP($U$11,Lookup!$C$3:$C$672,Lookup!X$3:X$672)</f>
        <v>676812.54</v>
      </c>
      <c r="G21" s="138">
        <f>LOOKUP($U$11,Lookup!$C$3:$C$672,Lookup!Y$3:Y$672)</f>
        <v>670213.29</v>
      </c>
      <c r="H21" s="54">
        <v>667908.16</v>
      </c>
      <c r="I21" s="54">
        <v>665731.16</v>
      </c>
      <c r="J21" s="54"/>
      <c r="K21" s="165"/>
      <c r="L21" s="271"/>
      <c r="M21" s="301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4" t="s">
        <v>26</v>
      </c>
      <c r="D22" s="163"/>
      <c r="E22" s="33"/>
      <c r="F22" s="152">
        <f>IF(ISBLANK(F20),"N/A",IF(OR(F20=0,F20="N/A"),0,F20/F21))</f>
        <v>0.2362810683147212</v>
      </c>
      <c r="G22" s="145">
        <f>IF(ISBLANK(G20),"N/A",IF(OR(G20=0,G20="N/A"),0,G20/G21))</f>
        <v>0.34248691189039238</v>
      </c>
      <c r="H22" s="145">
        <f>IF(ISBLANK(H20),"N/A",IF(AND(H20=0,H21=0,NOT(ISBLANK(H20)),NOT(ISBLANK(H21))),1,H20/H21))</f>
        <v>0.42409395028202679</v>
      </c>
      <c r="I22" s="145">
        <f>IF(ISBLANK(I20),"N/A",IF(AND(I20=0,I21=0,NOT(ISBLANK(I20)),NOT(ISBLANK(I21))),1,I20/I21))</f>
        <v>0.51996298325588364</v>
      </c>
      <c r="J22" s="145" t="str">
        <f>IF(ISBLANK(J20),"N/A",IF(AND(J20=0,J21=0,NOT(ISBLANK(J20)),NOT(ISBLANK(J21))),1,J20/J21))</f>
        <v>N/A</v>
      </c>
      <c r="K22" s="166"/>
      <c r="L22" s="271"/>
      <c r="M22" s="301"/>
      <c r="N22" s="83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304" t="s">
        <v>210</v>
      </c>
      <c r="C23" s="21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301"/>
      <c r="N23" s="94"/>
      <c r="O23" s="101" t="b">
        <v>0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IF(AND('Circuit Criminal'!D4=1,S36=1),A11,IF(AND('Circuit Criminal'!D4=2,S36=1),A15,IF(AND('Circuit Criminal'!D4=3,S36=1),A19,IF(AND('Circuit Criminal'!D4=4,S36=1),A23,""))))</f>
        <v/>
      </c>
      <c r="T23" s="91" t="s">
        <v>68</v>
      </c>
    </row>
    <row r="24" spans="1:21" s="18" customFormat="1" ht="15.75" customHeight="1" x14ac:dyDescent="0.3">
      <c r="A24" s="277"/>
      <c r="B24" s="305"/>
      <c r="C24" s="22" t="s">
        <v>23</v>
      </c>
      <c r="D24" s="163"/>
      <c r="E24" s="33"/>
      <c r="F24" s="29"/>
      <c r="G24" s="139">
        <f>LOOKUP($U$11,Lookup!$C$3:$C$672,Lookup!AM$3:AM$672)</f>
        <v>142075.03</v>
      </c>
      <c r="H24" s="144">
        <v>205580.98</v>
      </c>
      <c r="I24" s="144">
        <v>270817.49</v>
      </c>
      <c r="J24" s="144"/>
      <c r="K24" s="169"/>
      <c r="L24" s="271"/>
      <c r="M24" s="301"/>
      <c r="N24" s="103"/>
      <c r="O24" s="120" t="b">
        <v>0</v>
      </c>
      <c r="P24" s="120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IF(AND('Circuit Criminal'!D4=1,S37=1),A15,IF(AND('Circuit Criminal'!D4=2,S37=1),A19,IF(AND('Circuit Criminal'!D4=3,S37=1),A23,IF(AND('Circuit Criminal'!D4=4,S37=1),A27,""))))</f>
        <v/>
      </c>
      <c r="T24" s="91" t="s">
        <v>69</v>
      </c>
    </row>
    <row r="25" spans="1:21" ht="15.75" customHeight="1" thickBot="1" x14ac:dyDescent="0.3">
      <c r="A25" s="277"/>
      <c r="B25" s="305"/>
      <c r="C25" s="22" t="s">
        <v>24</v>
      </c>
      <c r="D25" s="287"/>
      <c r="E25" s="289"/>
      <c r="F25" s="269"/>
      <c r="G25" s="140">
        <f>LOOKUP($U$11,Lookup!$C$3:$C$672,Lookup!AH$3:AH$672)</f>
        <v>599072.1</v>
      </c>
      <c r="H25" s="54">
        <v>591529.6</v>
      </c>
      <c r="I25" s="54">
        <v>585848.6</v>
      </c>
      <c r="J25" s="54"/>
      <c r="K25" s="54"/>
      <c r="L25" s="271"/>
      <c r="M25" s="301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IF(AND('Circuit Criminal'!D4=1,S38=1),A19,IF(AND('Circuit Criminal'!D4=2,S38=1),A23,IF(AND('Circuit Criminal'!D4=3,S38=1),A27,IF(AND('Circuit Criminal'!D4=4,S38=1),A31,""))))</f>
        <v/>
      </c>
      <c r="T25" s="91" t="s">
        <v>70</v>
      </c>
    </row>
    <row r="26" spans="1:21" ht="15.75" customHeight="1" thickBot="1" x14ac:dyDescent="0.3">
      <c r="A26" s="278"/>
      <c r="B26" s="306"/>
      <c r="C26" s="24" t="s">
        <v>26</v>
      </c>
      <c r="D26" s="288"/>
      <c r="E26" s="290"/>
      <c r="F26" s="270"/>
      <c r="G26" s="153">
        <f>IF(ISBLANK(G24),"N/A",IF(OR(G24=0,G24="N/A"),0,G24/G25))</f>
        <v>0.23715848225948097</v>
      </c>
      <c r="H26" s="145">
        <f>IF(ISBLANK(H24),"N/A",IF(AND(H24=0,H25=0,NOT(ISBLANK(H24)),NOT(ISBLANK(H25))),1,H24/H25))</f>
        <v>0.34754132337587168</v>
      </c>
      <c r="I26" s="145">
        <f>IF(ISBLANK(I24),"N/A",IF(AND(I24=0,I25=0,NOT(ISBLANK(I24)),NOT(ISBLANK(I25))),1,I24/I25))</f>
        <v>0.46226531906024865</v>
      </c>
      <c r="J26" s="145" t="str">
        <f>IF(ISBLANK(J24),"N/A",IF(AND(J24=0,J25=0,NOT(ISBLANK(J24)),NOT(ISBLANK(J25))),1,J24/J25))</f>
        <v>N/A</v>
      </c>
      <c r="K26" s="171" t="str">
        <f>IF(ISBLANK(K24),"N/A",IF(AND(K24=0,K25=0,NOT(ISBLANK(K24)),NOT(ISBLANK(K25))),1,K24/K25))</f>
        <v>N/A</v>
      </c>
      <c r="L26" s="271"/>
      <c r="M26" s="302"/>
      <c r="N26" s="84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IF(AND('Circuit Criminal'!D4=1,S39=1),A23,IF(AND('Circuit Criminal'!D4=2,S39=1),A27,IF(AND('Circuit Criminal'!D4=3,S39=1),A31,IF(AND('Circuit Criminal'!D4=4,S39=1),A35,""))))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21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94"/>
      <c r="M27" s="94"/>
      <c r="N27" s="9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IF(AND('Circuit Criminal'!D4=1,S40=1),A27,IF(AND('Circuit Criminal'!D4=2,S40=1),A31,IF(AND('Circuit Criminal'!D4=3,S40=1),A35,IF(AND('Circuit Criminal'!D4=4,S40=1),A39,""))))</f>
        <v/>
      </c>
      <c r="T27" s="91" t="s">
        <v>72</v>
      </c>
    </row>
    <row r="28" spans="1:21" ht="15.75" customHeight="1" x14ac:dyDescent="0.25">
      <c r="A28" s="277"/>
      <c r="B28" s="264"/>
      <c r="C28" s="22" t="s">
        <v>23</v>
      </c>
      <c r="D28" s="173"/>
      <c r="E28" s="33"/>
      <c r="F28" s="33"/>
      <c r="G28" s="29"/>
      <c r="H28" s="144">
        <v>107888.21</v>
      </c>
      <c r="I28" s="144">
        <v>181939.71</v>
      </c>
      <c r="J28" s="144"/>
      <c r="K28" s="169"/>
      <c r="L28" s="103"/>
      <c r="M28" s="103"/>
      <c r="N28" s="103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22" t="s">
        <v>24</v>
      </c>
      <c r="D29" s="173"/>
      <c r="E29" s="33"/>
      <c r="F29" s="33"/>
      <c r="G29" s="29"/>
      <c r="H29" s="54">
        <v>522208.05</v>
      </c>
      <c r="I29" s="54">
        <v>518822.05</v>
      </c>
      <c r="J29" s="54"/>
      <c r="K29" s="54"/>
      <c r="L29" s="103"/>
      <c r="M29" s="103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4" t="s">
        <v>26</v>
      </c>
      <c r="D30" s="174"/>
      <c r="E30" s="30"/>
      <c r="F30" s="30"/>
      <c r="G30" s="30"/>
      <c r="H30" s="145">
        <f>IF(ISBLANK(H28),"N/A",IF(AND(H28=0,H29=0,NOT(ISBLANK(H28)),NOT(ISBLANK(H29))),1,H28/H29))</f>
        <v>0.2066000514545879</v>
      </c>
      <c r="I30" s="145">
        <f>IF(ISBLANK(I28),"N/A",IF(AND(I28=0,I29=0,NOT(ISBLANK(I28)),NOT(ISBLANK(I29))),1,I28/I29))</f>
        <v>0.35067844552867405</v>
      </c>
      <c r="J30" s="145" t="str">
        <f>IF(ISBLANK(J28),"N/A",IF(AND(J28=0,J29=0,NOT(ISBLANK(J28)),NOT(ISBLANK(J29))),1,J28/J29))</f>
        <v>N/A</v>
      </c>
      <c r="K30" s="171" t="str">
        <f>IF(ISBLANK(K28),"N/A",IF(AND(K28=0,K29=0,NOT(ISBLANK(K28)),NOT(ISBLANK(K29))),1,K28/K29))</f>
        <v>N/A</v>
      </c>
      <c r="L30" s="84"/>
      <c r="M30" s="84"/>
      <c r="N30" s="84"/>
      <c r="O30" s="101" t="b">
        <v>0</v>
      </c>
      <c r="P30" s="101" t="b">
        <v>0</v>
      </c>
      <c r="Q30" s="1" t="str">
        <f>IF(AND(OR(ISBLANK(J20),ISBLANK(J21)),O30=FALSE),"Red","Gray")</f>
        <v>Red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304" t="s">
        <v>258</v>
      </c>
      <c r="C31" s="119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94"/>
      <c r="O31" s="101" t="b">
        <v>0</v>
      </c>
      <c r="P31" s="101" t="b">
        <v>0</v>
      </c>
      <c r="Q31" s="1" t="str">
        <f>IF(AND(OR(ISBLANK(J24),ISBLANK(J25)),O31=FALSE),"Red","Gray")</f>
        <v>Red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305"/>
      <c r="C32" s="22" t="s">
        <v>23</v>
      </c>
      <c r="D32" s="175"/>
      <c r="E32" s="74"/>
      <c r="F32" s="74"/>
      <c r="G32" s="74"/>
      <c r="H32" s="74"/>
      <c r="I32" s="144">
        <v>139399.06</v>
      </c>
      <c r="J32" s="144"/>
      <c r="K32" s="169"/>
      <c r="L32" s="257"/>
      <c r="M32" s="258"/>
      <c r="N32" s="103"/>
      <c r="O32" s="101" t="b">
        <v>0</v>
      </c>
      <c r="P32" s="101" t="b">
        <v>0</v>
      </c>
      <c r="Q32" s="1" t="str">
        <f>IF(AND(OR(ISBLANK(J28),ISBLANK(J29)),O32=FALSE),"Red","Gray")</f>
        <v>Red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305"/>
      <c r="C33" s="22" t="s">
        <v>24</v>
      </c>
      <c r="D33" s="175"/>
      <c r="E33" s="74"/>
      <c r="F33" s="74"/>
      <c r="G33" s="74"/>
      <c r="H33" s="74"/>
      <c r="I33" s="54">
        <v>620836.30000000005</v>
      </c>
      <c r="J33" s="54"/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Red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306"/>
      <c r="C34" s="24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0.22453432571516838</v>
      </c>
      <c r="J34" s="145" t="str">
        <f>IF(ISBLANK(J32),"N/A",IF(AND(J32=0,J33=0,NOT(ISBLANK(J32)),NOT(ISBLANK(J33))),1,J32/J33))</f>
        <v>N/A</v>
      </c>
      <c r="K34" s="171" t="str">
        <f>IF(ISBLANK(K32),"N/A",IF(AND(K32=0,K33=0,NOT(ISBLANK(K32)),NOT(ISBLANK(K33))),1,K32/K33))</f>
        <v>N/A</v>
      </c>
      <c r="L34" s="259"/>
      <c r="M34" s="260"/>
      <c r="N34" s="84"/>
      <c r="O34" s="121" t="b">
        <v>0</v>
      </c>
      <c r="P34" s="105" t="b">
        <v>0</v>
      </c>
      <c r="Q34" s="1" t="str">
        <f>IF(AND(OR(ISBLANK(J36),ISBLANK(J37)),O34=FALSE),"Red","Gray")</f>
        <v>Red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119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9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22" t="s">
        <v>23</v>
      </c>
      <c r="D36" s="177"/>
      <c r="E36" s="107"/>
      <c r="F36" s="107"/>
      <c r="G36" s="107"/>
      <c r="H36" s="107"/>
      <c r="I36" s="108"/>
      <c r="J36" s="144"/>
      <c r="K36" s="169"/>
      <c r="L36" s="259"/>
      <c r="M36" s="260"/>
      <c r="N36" s="103"/>
      <c r="O36" s="14" t="str">
        <f>IF(AND('Circuit Criminal'!$D$4=1,Q23="Red"),"Red","Gray")</f>
        <v>Gray</v>
      </c>
      <c r="P36" s="14" t="str">
        <f>IF(AND('Circuit Criminal'!$D$4=2,R23="Red"),"Red","Gray")</f>
        <v>Gray</v>
      </c>
      <c r="Q36" s="14" t="str">
        <f>IF(AND('Circuit Criminal'!$D$4=3,Q30="Red"),"Red","Gray")</f>
        <v>Gray</v>
      </c>
      <c r="R36" s="14" t="str">
        <f>IF(AND('Circuit Criminal'!$D$4=4,R30="Red"),"Red","Gray")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22" t="s">
        <v>24</v>
      </c>
      <c r="D37" s="177"/>
      <c r="E37" s="107"/>
      <c r="F37" s="107"/>
      <c r="G37" s="107"/>
      <c r="H37" s="107"/>
      <c r="I37" s="107"/>
      <c r="J37" s="54"/>
      <c r="K37" s="54"/>
      <c r="L37" s="259"/>
      <c r="M37" s="260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23" t="s">
        <v>26</v>
      </c>
      <c r="D38" s="178"/>
      <c r="E38" s="112"/>
      <c r="F38" s="112"/>
      <c r="G38" s="112"/>
      <c r="H38" s="112"/>
      <c r="I38" s="112"/>
      <c r="J38" s="145" t="str">
        <f>IF(ISBLANK(J36),"N/A",IF(AND(J36=0,J37=0,NOT(ISBLANK(J36)),NOT(ISBLANK(J37))),1,J36/J37))</f>
        <v>N/A</v>
      </c>
      <c r="K38" s="171" t="str">
        <f>IF(ISBLANK(K36),"N/A",IF(AND(K36=0,K37=0,NOT(ISBLANK(K36)),NOT(ISBLANK(K37))),1,K36/K37))</f>
        <v>N/A</v>
      </c>
      <c r="L38" s="259"/>
      <c r="M38" s="260"/>
      <c r="N38" s="84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304" t="s">
        <v>260</v>
      </c>
      <c r="C39" s="21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9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305"/>
      <c r="C40" s="122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103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305"/>
      <c r="C41" s="122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306"/>
      <c r="C42" s="123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84"/>
      <c r="O42" s="35">
        <f>SUM(O41:R41)</f>
        <v>0</v>
      </c>
      <c r="P42" s="15"/>
      <c r="T42" s="91" t="s">
        <v>87</v>
      </c>
    </row>
    <row r="43" spans="1:20" ht="61.2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90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92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93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94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95</v>
      </c>
    </row>
    <row r="49" spans="1:20" s="11" customFormat="1" ht="20.25" hidden="1" customHeight="1" x14ac:dyDescent="0.25">
      <c r="B49" s="1"/>
      <c r="C49" s="1" t="str">
        <f ca="1">CELL("filename",B49)</f>
        <v>S:\REPORTS\Article V Performance Measure\CCOC Collections Rate FY Oct 2015 - Sept 2016\[County FY1516 Collections Quarterly V1 March 2016.xlsm]Criminal Traffic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9"/>
      <c r="Q49" s="10"/>
      <c r="T49" s="91" t="s">
        <v>92</v>
      </c>
    </row>
    <row r="50" spans="1:20" ht="15.75" hidden="1" customHeight="1" x14ac:dyDescent="0.25">
      <c r="C50" s="1">
        <f ca="1">SEARCH("\[",C49)</f>
        <v>87</v>
      </c>
      <c r="O50" s="13"/>
      <c r="P50" s="13"/>
      <c r="Q50" s="10"/>
      <c r="T50" s="91" t="s">
        <v>93</v>
      </c>
    </row>
    <row r="51" spans="1:20" ht="15.75" hidden="1" customHeight="1" x14ac:dyDescent="0.25">
      <c r="C51" s="1" t="e">
        <f ca="1">SEARCH(".xls]",C49)</f>
        <v>#VALUE!</v>
      </c>
      <c r="O51" s="14"/>
      <c r="P51" s="15"/>
      <c r="Q51" s="10"/>
      <c r="T51" s="91" t="s">
        <v>94</v>
      </c>
    </row>
    <row r="52" spans="1:20" ht="15.75" hidden="1" customHeight="1" x14ac:dyDescent="0.25">
      <c r="O52" s="14"/>
      <c r="P52" s="15"/>
      <c r="Q52" s="10"/>
      <c r="T52" s="91" t="s">
        <v>95</v>
      </c>
    </row>
    <row r="53" spans="1:20" ht="15.75" customHeight="1" x14ac:dyDescent="0.25">
      <c r="A53" s="275"/>
      <c r="B53" s="275"/>
      <c r="K53" s="14"/>
      <c r="L53" s="14"/>
      <c r="M53" s="14"/>
      <c r="N53" s="14"/>
      <c r="O53" s="15"/>
      <c r="P53" s="10"/>
      <c r="T53" s="91" t="s">
        <v>98</v>
      </c>
    </row>
    <row r="54" spans="1:20" ht="15.75" customHeight="1" x14ac:dyDescent="0.25">
      <c r="K54" s="14"/>
      <c r="L54" s="14"/>
      <c r="M54" s="14"/>
      <c r="N54" s="14"/>
      <c r="O54" s="15"/>
      <c r="P54" s="10"/>
      <c r="T54" s="91" t="s">
        <v>99</v>
      </c>
    </row>
    <row r="55" spans="1:20" ht="15.75" customHeight="1" x14ac:dyDescent="0.25">
      <c r="K55" s="14"/>
      <c r="L55" s="14"/>
      <c r="M55" s="14"/>
      <c r="N55" s="14"/>
      <c r="O55" s="15"/>
      <c r="P55" s="10"/>
      <c r="T55" s="91" t="s">
        <v>100</v>
      </c>
    </row>
    <row r="56" spans="1:20" ht="15.75" hidden="1" customHeight="1" x14ac:dyDescent="0.25">
      <c r="B56" s="1">
        <f>MAX('Juvenile Delinquency'!B56:B99)</f>
        <v>2</v>
      </c>
      <c r="D56" s="1" t="s">
        <v>128</v>
      </c>
      <c r="F56" s="1" t="s">
        <v>129</v>
      </c>
      <c r="G56" s="1" t="s">
        <v>130</v>
      </c>
      <c r="H56" s="1" t="s">
        <v>131</v>
      </c>
      <c r="I56" s="1" t="s">
        <v>132</v>
      </c>
      <c r="J56" s="1" t="s">
        <v>139</v>
      </c>
      <c r="K56" s="14"/>
      <c r="L56" s="14"/>
      <c r="M56" s="14"/>
      <c r="N56" s="14"/>
      <c r="O56" s="15"/>
      <c r="T56" s="91" t="s">
        <v>101</v>
      </c>
    </row>
    <row r="57" spans="1:20" ht="69" hidden="1" customHeight="1" x14ac:dyDescent="0.25">
      <c r="A57" s="1" t="str">
        <f>D$8</f>
        <v>Criminal Traffic</v>
      </c>
      <c r="B57" s="1">
        <f>IF(E57="YES",MAX(B56)+1,0)</f>
        <v>0</v>
      </c>
      <c r="C57" s="1" t="str">
        <f>A$11</f>
        <v>CGE CQ1-16</v>
      </c>
      <c r="D57" s="42" t="str">
        <f>"After 3rd Q, Collections went up by more than set percentage of: "&amp;TEXT(J57,"#0%")</f>
        <v>After 3rd Q, Collections went up by more than set percentage of: 500%</v>
      </c>
      <c r="E57" s="1" t="str">
        <f>IF(MAX(F57:G57)&gt;V$10,"YES","NO")</f>
        <v>NO</v>
      </c>
      <c r="F57" s="43">
        <f>IFERROR(IF(NOT(ISBLANK(G12)),(G12-F12)/F12,0),0)</f>
        <v>0.20971086855734231</v>
      </c>
      <c r="G57" s="43">
        <f>IFERROR(IF(NOT(ISBLANK(H12)),(H12-G12)/G12,0),0)</f>
        <v>0.10668649234215594</v>
      </c>
      <c r="J57" s="41">
        <f>V$10</f>
        <v>5</v>
      </c>
      <c r="K57" s="14"/>
      <c r="L57" s="14"/>
      <c r="M57" s="14"/>
      <c r="N57" s="14"/>
      <c r="O57" s="15"/>
      <c r="T57" s="91" t="s">
        <v>102</v>
      </c>
    </row>
    <row r="58" spans="1:20" ht="72.75" hidden="1" customHeight="1" x14ac:dyDescent="0.25">
      <c r="A58" s="1" t="str">
        <f t="shared" ref="A58:A86" si="0">D$8</f>
        <v>Criminal Traffic</v>
      </c>
      <c r="B58" s="1">
        <f>IF(E58="YES",MAX(B$56:B57)+1,0)</f>
        <v>0</v>
      </c>
      <c r="C58" s="1" t="str">
        <f>A$11</f>
        <v>CGE CQ1-16</v>
      </c>
      <c r="D58" s="42" t="str">
        <f>"Assessments dropped by more than set percentage of: "&amp;TEXT(J58,"#0%")</f>
        <v>Assessments dropped by more than set percentage of: 15%</v>
      </c>
      <c r="E58" s="1" t="str">
        <f>IF(MIN(F58:I58)&lt;(-1*V$11),"YES","NO")</f>
        <v>NO</v>
      </c>
      <c r="F58" s="43">
        <f>IFERROR(IF(NOT(ISBLANK(E13)),(E13-D13)/D13,0),0)</f>
        <v>-1.0249175083804976E-2</v>
      </c>
      <c r="G58" s="43">
        <f>IFERROR(IF(NOT(ISBLANK(F13)),(F13-E13)/E13,0),0)</f>
        <v>-8.4997329500160028E-3</v>
      </c>
      <c r="H58" s="43">
        <f>IFERROR(IF(NOT(ISBLANK(G13)),(G13-F13)/F13,0),0)</f>
        <v>-2.4715499003597347E-3</v>
      </c>
      <c r="I58" s="43">
        <f>IFERROR(IF(NOT(ISBLANK(H13)),(H13-G13)/G13,0),0)</f>
        <v>-2.3238215847515304E-3</v>
      </c>
      <c r="J58" s="41">
        <f>V$11</f>
        <v>0.15</v>
      </c>
      <c r="K58" s="14"/>
      <c r="L58" s="14"/>
      <c r="M58" s="14"/>
      <c r="N58" s="14"/>
      <c r="O58" s="15"/>
      <c r="P58" s="10"/>
      <c r="T58" s="91" t="s">
        <v>107</v>
      </c>
    </row>
    <row r="59" spans="1:20" ht="52.5" hidden="1" customHeight="1" x14ac:dyDescent="0.25">
      <c r="A59" s="1" t="str">
        <f t="shared" si="0"/>
        <v>Criminal Traffic</v>
      </c>
      <c r="B59" s="1">
        <f>IF(E59="YES",MAX(B$56:B58)+1,0)</f>
        <v>0</v>
      </c>
      <c r="C59" s="1" t="str">
        <f>A$11</f>
        <v>CGE CQ1-16</v>
      </c>
      <c r="D59" s="42" t="str">
        <f>"The 5th Quarter Collection Rate did not meet the established performance measure standard of: "&amp;TEXT(J59,"#0%")</f>
        <v>The 5th Quarter Collection Rate did not meet the established performance measure standard of: 40%</v>
      </c>
      <c r="E59" s="1" t="str">
        <f>IF(F59="N/A","NO",IF(F59&lt;H$8,"YES","NO"))</f>
        <v>NO</v>
      </c>
      <c r="F59" s="44">
        <f>H14</f>
        <v>0.54381794757256807</v>
      </c>
      <c r="J59" s="41">
        <f>H$8</f>
        <v>0.4</v>
      </c>
      <c r="K59" s="14"/>
      <c r="L59" s="14"/>
      <c r="M59" s="14"/>
      <c r="N59" s="14"/>
      <c r="O59" s="15"/>
      <c r="P59" s="10"/>
      <c r="T59" s="91" t="s">
        <v>114</v>
      </c>
    </row>
    <row r="60" spans="1:20" ht="45" hidden="1" customHeight="1" x14ac:dyDescent="0.25">
      <c r="A60" s="1" t="str">
        <f t="shared" si="0"/>
        <v>Criminal Traffic</v>
      </c>
      <c r="B60" s="1">
        <f>IF(E60="YES",MAX(B$56:B59)+1,0)</f>
        <v>0</v>
      </c>
      <c r="C60" s="1" t="str">
        <f>A$11</f>
        <v>CGE CQ1-16</v>
      </c>
      <c r="D60" s="42" t="s">
        <v>133</v>
      </c>
      <c r="E60" s="1" t="str">
        <f>IF(MIN(F60:I60)&lt;0,"YES","NO")</f>
        <v>NO</v>
      </c>
      <c r="F60" s="43">
        <f t="shared" ref="F60:I61" si="1">IFERROR(IF(NOT(ISBLANK(E12)),(E12-D12)/D12,0),0)</f>
        <v>0.60523580676488664</v>
      </c>
      <c r="G60" s="43">
        <f t="shared" si="1"/>
        <v>0.25326399440858194</v>
      </c>
      <c r="H60" s="43">
        <f t="shared" si="1"/>
        <v>0.20971086855734231</v>
      </c>
      <c r="I60" s="43">
        <f t="shared" si="1"/>
        <v>0.10668649234215594</v>
      </c>
      <c r="K60" s="14"/>
      <c r="L60" s="14"/>
      <c r="M60" s="14"/>
      <c r="N60" s="14"/>
      <c r="O60" s="15"/>
    </row>
    <row r="61" spans="1:20" ht="41.4" hidden="1" x14ac:dyDescent="0.25">
      <c r="A61" s="1" t="str">
        <f t="shared" si="0"/>
        <v>Criminal Traffic</v>
      </c>
      <c r="B61" s="1">
        <f>IF(E61="YES",MAX(B$56:B60)+1,0)</f>
        <v>0</v>
      </c>
      <c r="C61" s="1" t="str">
        <f>A$11</f>
        <v>CGE CQ1-16</v>
      </c>
      <c r="D61" s="42" t="s">
        <v>134</v>
      </c>
      <c r="E61" s="1" t="str">
        <f>IF(MAX(F61:I61)&gt;0,"YES","NO")</f>
        <v>NO</v>
      </c>
      <c r="F61" s="43">
        <f t="shared" si="1"/>
        <v>-1.0249175083804976E-2</v>
      </c>
      <c r="G61" s="43">
        <f t="shared" si="1"/>
        <v>-8.4997329500160028E-3</v>
      </c>
      <c r="H61" s="43">
        <f t="shared" si="1"/>
        <v>-2.4715499003597347E-3</v>
      </c>
      <c r="I61" s="43">
        <f t="shared" si="1"/>
        <v>-2.3238215847515304E-3</v>
      </c>
      <c r="K61" s="14"/>
      <c r="L61" s="14"/>
      <c r="M61" s="14"/>
      <c r="N61" s="14"/>
    </row>
    <row r="62" spans="1:20" s="16" customFormat="1" ht="65.25" hidden="1" customHeight="1" x14ac:dyDescent="0.25">
      <c r="A62" s="1" t="str">
        <f t="shared" si="0"/>
        <v>Criminal Traffic</v>
      </c>
      <c r="B62" s="1">
        <f>IF(E62="YES",MAX(B$56:B61)+1,0)</f>
        <v>0</v>
      </c>
      <c r="C62" s="1" t="str">
        <f>A$15</f>
        <v>CGE CQ2-16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IFERROR(IF(NOT(ISBLANK(H16)),(H16-G16)/G16,0),0)</f>
        <v>0.16644212793771765</v>
      </c>
      <c r="G62" s="43">
        <f>IFERROR(IF(NOT(ISBLANK(I16)),(I16-H16)/H16,0),0)</f>
        <v>0.15167646744623167</v>
      </c>
      <c r="H62" s="43"/>
      <c r="I62" s="1"/>
      <c r="J62" s="41">
        <f>V$10</f>
        <v>5</v>
      </c>
      <c r="K62" s="14"/>
      <c r="L62" s="14"/>
      <c r="M62" s="14"/>
      <c r="N62" s="14"/>
      <c r="O62" s="11"/>
      <c r="P62" s="1"/>
      <c r="T62" s="91" t="s">
        <v>103</v>
      </c>
    </row>
    <row r="63" spans="1:20" ht="60.75" hidden="1" customHeight="1" x14ac:dyDescent="0.25">
      <c r="A63" s="1" t="str">
        <f t="shared" si="0"/>
        <v>Criminal Traffic</v>
      </c>
      <c r="B63" s="1">
        <f>IF(E63="YES",MAX(B$56:B62)+1,0)</f>
        <v>0</v>
      </c>
      <c r="C63" s="1" t="str">
        <f>A$15</f>
        <v>CGE CQ2-16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IFERROR(IF(NOT(ISBLANK(F17)),(F17-E17)/E17,0),0)</f>
        <v>-9.6599356438284607E-3</v>
      </c>
      <c r="G63" s="43">
        <f>IFERROR(IF(NOT(ISBLANK(G17)),(G17-F17)/F17,0),0)</f>
        <v>-5.5720665471691681E-3</v>
      </c>
      <c r="H63" s="43">
        <f>IFERROR(IF(NOT(ISBLANK(H17)),(H17-G17)/G17,0),0)</f>
        <v>-2.6834606511215706E-3</v>
      </c>
      <c r="I63" s="43">
        <f>IFERROR(IF(NOT(ISBLANK(I17)),(I17-H17)/H17,0),0)</f>
        <v>-2.2156948143336893E-3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108</v>
      </c>
    </row>
    <row r="64" spans="1:20" ht="52.5" hidden="1" customHeight="1" x14ac:dyDescent="0.25">
      <c r="A64" s="1" t="str">
        <f t="shared" si="0"/>
        <v>Criminal Traffic</v>
      </c>
      <c r="B64" s="1">
        <f>IF(E64="YES",MAX(B$56:B63)+1,0)</f>
        <v>0</v>
      </c>
      <c r="C64" s="1" t="str">
        <f>A$15</f>
        <v>CGE CQ2-16</v>
      </c>
      <c r="D64" s="42" t="s">
        <v>133</v>
      </c>
      <c r="E64" s="1" t="str">
        <f>IF(MIN(F64:I64)&lt;0,"YES","NO")</f>
        <v>NO</v>
      </c>
      <c r="F64" s="43">
        <f t="shared" ref="F64:I65" si="2">IFERROR(IF(NOT(ISBLANK(F16)),(F16-E16)/E16,0),0)</f>
        <v>0.4948088180142669</v>
      </c>
      <c r="G64" s="43">
        <f t="shared" si="2"/>
        <v>0.28409487242083309</v>
      </c>
      <c r="H64" s="43">
        <f t="shared" si="2"/>
        <v>0.16644212793771765</v>
      </c>
      <c r="I64" s="43">
        <f t="shared" si="2"/>
        <v>0.15167646744623167</v>
      </c>
      <c r="K64" s="14"/>
      <c r="L64" s="14"/>
      <c r="M64" s="14"/>
      <c r="N64" s="14"/>
      <c r="O64" s="15"/>
      <c r="P64" s="10"/>
    </row>
    <row r="65" spans="1:20" s="16" customFormat="1" ht="45" hidden="1" customHeight="1" x14ac:dyDescent="0.25">
      <c r="A65" s="1" t="str">
        <f t="shared" si="0"/>
        <v>Criminal Traffic</v>
      </c>
      <c r="B65" s="1">
        <f>IF(E65="YES",MAX(B$56:B64)+1,0)</f>
        <v>0</v>
      </c>
      <c r="C65" s="1" t="str">
        <f>A$15</f>
        <v>CGE CQ2-16</v>
      </c>
      <c r="D65" s="42" t="s">
        <v>134</v>
      </c>
      <c r="E65" s="1" t="str">
        <f>IF(MAX(F65:I65)&gt;0,"YES","NO")</f>
        <v>NO</v>
      </c>
      <c r="F65" s="43">
        <f t="shared" si="2"/>
        <v>-9.6599356438284607E-3</v>
      </c>
      <c r="G65" s="43">
        <f t="shared" si="2"/>
        <v>-5.5720665471691681E-3</v>
      </c>
      <c r="H65" s="43">
        <f t="shared" si="2"/>
        <v>-2.6834606511215706E-3</v>
      </c>
      <c r="I65" s="43">
        <f t="shared" si="2"/>
        <v>-2.2156948143336893E-3</v>
      </c>
      <c r="J65" s="1"/>
      <c r="K65" s="14"/>
      <c r="L65" s="14"/>
      <c r="M65" s="14"/>
      <c r="N65" s="14"/>
      <c r="O65" s="11"/>
      <c r="P65" s="1"/>
    </row>
    <row r="66" spans="1:20" ht="96.6" hidden="1" x14ac:dyDescent="0.25">
      <c r="A66" s="1" t="str">
        <f t="shared" si="0"/>
        <v>Criminal Traffic</v>
      </c>
      <c r="B66" s="1">
        <f>IF(E66="YES",MAX(B$56:B65)+1,0)</f>
        <v>0</v>
      </c>
      <c r="C66" s="1" t="str">
        <f>A$15</f>
        <v>CGE CQ2-16</v>
      </c>
      <c r="D66" s="42" t="str">
        <f>"The 5th Quarter Collection Rate did not meet the established performance measure standard of: "&amp;TEXT(J66,"#0%")</f>
        <v>The 5th Quarter Collection Rate did not meet the established performance measure standard of: 40%</v>
      </c>
      <c r="E66" s="1" t="str">
        <f>IF(F66="N/A","NO",IF(F66&lt;H$8,"YES","NO"))</f>
        <v>NO</v>
      </c>
      <c r="F66" s="44">
        <f>I18</f>
        <v>0.58099286125467775</v>
      </c>
      <c r="J66" s="41">
        <f>H$8</f>
        <v>0.4</v>
      </c>
      <c r="K66" s="14"/>
      <c r="L66" s="14"/>
      <c r="M66" s="14"/>
      <c r="N66" s="14"/>
    </row>
    <row r="67" spans="1:20" ht="65.25" hidden="1" customHeight="1" x14ac:dyDescent="0.3">
      <c r="A67" s="1" t="str">
        <f t="shared" si="0"/>
        <v>Criminal Traffic</v>
      </c>
      <c r="B67" s="1">
        <f>IF(E67="YES",MAX(B$56:B66)+1,0)</f>
        <v>0</v>
      </c>
      <c r="C67" s="1" t="str">
        <f>A$19</f>
        <v>CGE CQ3-16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IFERROR(IF(NOT(ISBLANK(I20)),(I20-H20)/H20,0),0)</f>
        <v>0.2220598758415582</v>
      </c>
      <c r="G67" s="43">
        <f>IFERROR(IF(NOT(ISBLANK(J20)),(J20-I20)/I20,0),0)</f>
        <v>0</v>
      </c>
      <c r="J67" s="41">
        <f>V$10</f>
        <v>5</v>
      </c>
      <c r="K67" s="14"/>
      <c r="L67" s="14"/>
      <c r="M67" s="14"/>
      <c r="N67" s="14"/>
      <c r="O67" s="11"/>
      <c r="P67" s="18"/>
      <c r="T67" s="91" t="s">
        <v>104</v>
      </c>
    </row>
    <row r="68" spans="1:20" ht="60.75" hidden="1" customHeight="1" x14ac:dyDescent="0.25">
      <c r="A68" s="1" t="str">
        <f t="shared" si="0"/>
        <v>Criminal Traffic</v>
      </c>
      <c r="B68" s="1">
        <f>IF(E68="YES",MAX(B$56:B67)+1,0)</f>
        <v>0</v>
      </c>
      <c r="C68" s="1" t="str">
        <f>A$19</f>
        <v>CGE CQ3-16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IFERROR(IF(NOT(ISBLANK(G21)),(G21-F21)/F21,0),0)</f>
        <v>-9.7504842330492277E-3</v>
      </c>
      <c r="G68" s="43">
        <f>IFERROR(IF(NOT(ISBLANK(H21)),(H21-G21)/G21,0),0)</f>
        <v>-3.4393976281789406E-3</v>
      </c>
      <c r="H68" s="43">
        <f>IFERROR(IF(NOT(ISBLANK(I21)),(I21-H21)/H21,0),0)</f>
        <v>-3.2594301587811113E-3</v>
      </c>
      <c r="I68" s="43">
        <f>IFERROR(IF(NOT(ISBLANK(J21)),(J21-I21)/I21,0),0)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109</v>
      </c>
    </row>
    <row r="69" spans="1:20" ht="52.5" hidden="1" customHeight="1" x14ac:dyDescent="0.25">
      <c r="A69" s="1" t="str">
        <f t="shared" si="0"/>
        <v>Criminal Traffic</v>
      </c>
      <c r="B69" s="1">
        <f>IF(E69="YES",MAX(B$56:B68)+1,0)</f>
        <v>0</v>
      </c>
      <c r="C69" s="1" t="str">
        <f>A$19</f>
        <v>CGE CQ3-16</v>
      </c>
      <c r="D69" s="42" t="s">
        <v>133</v>
      </c>
      <c r="E69" s="1" t="str">
        <f>IF(MIN(F69:I69)&lt;0,"YES","NO")</f>
        <v>NO</v>
      </c>
      <c r="F69" s="43">
        <f t="shared" ref="F69:I70" si="3">IFERROR(IF(NOT(ISBLANK(G20)),(G20-F20)/F20,0),0)</f>
        <v>0.43535620976726891</v>
      </c>
      <c r="G69" s="43">
        <f t="shared" si="3"/>
        <v>0.23401890081732415</v>
      </c>
      <c r="H69" s="43">
        <f t="shared" si="3"/>
        <v>0.2220598758415582</v>
      </c>
      <c r="I69" s="43">
        <f t="shared" si="3"/>
        <v>0</v>
      </c>
      <c r="K69" s="14"/>
      <c r="L69" s="14"/>
      <c r="M69" s="14"/>
      <c r="N69" s="14"/>
      <c r="O69" s="15"/>
      <c r="P69" s="10"/>
    </row>
    <row r="70" spans="1:20" ht="45" hidden="1" customHeight="1" x14ac:dyDescent="0.25">
      <c r="A70" s="1" t="str">
        <f t="shared" si="0"/>
        <v>Criminal Traffic</v>
      </c>
      <c r="B70" s="1">
        <f>IF(E70="YES",MAX(B$56:B69)+1,0)</f>
        <v>0</v>
      </c>
      <c r="C70" s="1" t="str">
        <f>A$19</f>
        <v>CGE CQ3-16</v>
      </c>
      <c r="D70" s="42" t="s">
        <v>134</v>
      </c>
      <c r="E70" s="1" t="str">
        <f>IF(MAX(F70:I70)&gt;0,"YES","NO")</f>
        <v>NO</v>
      </c>
      <c r="F70" s="43">
        <f t="shared" si="3"/>
        <v>-9.7504842330492277E-3</v>
      </c>
      <c r="G70" s="43">
        <f t="shared" si="3"/>
        <v>-3.4393976281789406E-3</v>
      </c>
      <c r="H70" s="43">
        <f t="shared" si="3"/>
        <v>-3.2594301587811113E-3</v>
      </c>
      <c r="I70" s="43">
        <f t="shared" si="3"/>
        <v>0</v>
      </c>
      <c r="K70" s="14"/>
      <c r="L70" s="14"/>
      <c r="M70" s="14"/>
      <c r="N70" s="14"/>
      <c r="O70" s="11"/>
    </row>
    <row r="71" spans="1:20" ht="96.6" hidden="1" x14ac:dyDescent="0.25">
      <c r="A71" s="1" t="str">
        <f t="shared" si="0"/>
        <v>Criminal Traffic</v>
      </c>
      <c r="B71" s="1">
        <f>IF(E71="YES",MAX(B$56:B70)+1,0)</f>
        <v>0</v>
      </c>
      <c r="C71" s="1" t="str">
        <f>A$19</f>
        <v>CGE CQ3-16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40%</v>
      </c>
      <c r="E71" s="1" t="str">
        <f>IF(F71="N/A","NO",IF(F71&lt;H$8,"YES","NO"))</f>
        <v>NO</v>
      </c>
      <c r="F71" s="44" t="str">
        <f>J22</f>
        <v>N/A</v>
      </c>
      <c r="J71" s="41">
        <f>H$8</f>
        <v>0.4</v>
      </c>
      <c r="K71" s="14"/>
      <c r="L71" s="14"/>
      <c r="M71" s="14"/>
      <c r="N71" s="14"/>
    </row>
    <row r="72" spans="1:20" ht="65.25" hidden="1" customHeight="1" x14ac:dyDescent="0.25">
      <c r="A72" s="1" t="str">
        <f t="shared" si="0"/>
        <v>Criminal Traffic</v>
      </c>
      <c r="B72" s="1">
        <f>IF(E72="YES",MAX(B$56:B71)+1,0)</f>
        <v>0</v>
      </c>
      <c r="C72" s="1" t="str">
        <f>A$23</f>
        <v>CGE CQ4-16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IF(MAX(F72:G72)&gt;V$10,"YES","NO")</f>
        <v>NO</v>
      </c>
      <c r="F72" s="43">
        <f>IFERROR(IF(NOT(ISBLANK(J24)),(J24-I24)/I24,0),0)</f>
        <v>0</v>
      </c>
      <c r="G72" s="43">
        <f>IFERROR(IF(NOT(ISBLANK(K24)),(K24-J24)/J24,0),0)</f>
        <v>0</v>
      </c>
      <c r="J72" s="41">
        <f>V$10</f>
        <v>5</v>
      </c>
      <c r="K72" s="14"/>
      <c r="L72" s="14"/>
      <c r="M72" s="14"/>
      <c r="N72" s="14"/>
      <c r="O72" s="15"/>
      <c r="P72" s="10"/>
      <c r="T72" s="91" t="s">
        <v>105</v>
      </c>
    </row>
    <row r="73" spans="1:20" ht="60.75" hidden="1" customHeight="1" x14ac:dyDescent="0.25">
      <c r="A73" s="1" t="str">
        <f t="shared" si="0"/>
        <v>Criminal Traffic</v>
      </c>
      <c r="B73" s="1">
        <f>IF(E73="YES",MAX(B$56:B72)+1,0)</f>
        <v>0</v>
      </c>
      <c r="C73" s="1" t="str">
        <f>A$23</f>
        <v>CGE CQ4-16</v>
      </c>
      <c r="D73" s="42" t="str">
        <f>"Assessments dropped by more than set percentage of: "&amp;TEXT(J73,"#0%")</f>
        <v>Assessments dropped by more than set percentage of: 15%</v>
      </c>
      <c r="E73" s="1" t="str">
        <f>IF(MIN(F73:I73)&lt;(-1*V$11),"YES","NO")</f>
        <v>NO</v>
      </c>
      <c r="F73" s="43">
        <f>IFERROR(IF(NOT(ISBLANK(H25)),(H25-G25)/G25,0),0)</f>
        <v>-1.2590304238838697E-2</v>
      </c>
      <c r="G73" s="43">
        <f>IFERROR(IF(NOT(ISBLANK(I25)),(I25-H25)/H25,0),0)</f>
        <v>-9.6039150027319008E-3</v>
      </c>
      <c r="H73" s="43">
        <f>IFERROR(IF(NOT(ISBLANK(J25)),(J25-I25)/I25,0),0)</f>
        <v>0</v>
      </c>
      <c r="I73" s="43">
        <f>IFERROR(IF(NOT(ISBLANK(K25)),(K25-J25)/J25,0),0)</f>
        <v>0</v>
      </c>
      <c r="J73" s="41">
        <f>V$11</f>
        <v>0.15</v>
      </c>
      <c r="K73" s="14"/>
      <c r="L73" s="14"/>
      <c r="M73" s="14"/>
      <c r="N73" s="14"/>
      <c r="O73" s="15"/>
      <c r="P73" s="10"/>
      <c r="T73" s="91" t="s">
        <v>110</v>
      </c>
    </row>
    <row r="74" spans="1:20" ht="52.5" hidden="1" customHeight="1" x14ac:dyDescent="0.25">
      <c r="A74" s="1" t="str">
        <f t="shared" si="0"/>
        <v>Criminal Traffic</v>
      </c>
      <c r="B74" s="1">
        <f>IF(E74="YES",MAX(B$56:B73)+1,0)</f>
        <v>0</v>
      </c>
      <c r="C74" s="1" t="str">
        <f>A$23</f>
        <v>CGE CQ4-16</v>
      </c>
      <c r="D74" s="42" t="s">
        <v>133</v>
      </c>
      <c r="E74" s="1" t="str">
        <f>IF(MIN(F74:I74)&lt;0,"YES","NO")</f>
        <v>NO</v>
      </c>
      <c r="F74" s="43">
        <f t="shared" ref="F74:I75" si="4">IFERROR(IF(NOT(ISBLANK(H24)),(H24-G24)/G24,0),0)</f>
        <v>0.44698881992141765</v>
      </c>
      <c r="G74" s="43">
        <f t="shared" si="4"/>
        <v>0.31732755627490433</v>
      </c>
      <c r="H74" s="43">
        <f t="shared" si="4"/>
        <v>0</v>
      </c>
      <c r="I74" s="43">
        <f t="shared" si="4"/>
        <v>0</v>
      </c>
      <c r="K74" s="14"/>
      <c r="L74" s="14"/>
      <c r="M74" s="14"/>
      <c r="N74" s="14"/>
      <c r="O74" s="15"/>
      <c r="P74" s="10"/>
    </row>
    <row r="75" spans="1:20" ht="45" hidden="1" customHeight="1" x14ac:dyDescent="0.25">
      <c r="A75" s="1" t="str">
        <f t="shared" si="0"/>
        <v>Criminal Traffic</v>
      </c>
      <c r="B75" s="1">
        <f>IF(E75="YES",MAX(B$56:B74)+1,0)</f>
        <v>0</v>
      </c>
      <c r="C75" s="1" t="str">
        <f>A$23</f>
        <v>CGE CQ4-16</v>
      </c>
      <c r="D75" s="42" t="s">
        <v>134</v>
      </c>
      <c r="E75" s="1" t="str">
        <f>IF(MAX(F75:I75)&gt;0,"YES","NO")</f>
        <v>NO</v>
      </c>
      <c r="F75" s="43">
        <f t="shared" si="4"/>
        <v>-1.2590304238838697E-2</v>
      </c>
      <c r="G75" s="43">
        <f t="shared" si="4"/>
        <v>-9.6039150027319008E-3</v>
      </c>
      <c r="H75" s="43">
        <f t="shared" si="4"/>
        <v>0</v>
      </c>
      <c r="I75" s="43">
        <f t="shared" si="4"/>
        <v>0</v>
      </c>
      <c r="K75" s="14"/>
      <c r="L75" s="14"/>
      <c r="M75" s="14"/>
      <c r="N75" s="14"/>
    </row>
    <row r="76" spans="1:20" ht="96.6" hidden="1" x14ac:dyDescent="0.25">
      <c r="A76" s="1" t="str">
        <f t="shared" si="0"/>
        <v>Criminal Traffic</v>
      </c>
      <c r="B76" s="1">
        <f>IF(E76="YES",MAX(B$56:B75)+1,0)</f>
        <v>0</v>
      </c>
      <c r="C76" s="1" t="str">
        <f>A$23</f>
        <v>CGE CQ4-16</v>
      </c>
      <c r="D76" s="42" t="str">
        <f>"The 5th Quarter Collection Rate did not meet the established performance measure standard of: "&amp;TEXT(J76,"#0%")</f>
        <v>The 5th Quarter Collection Rate did not meet the established performance measure standard of: 40%</v>
      </c>
      <c r="E76" s="1" t="str">
        <f>IF(F76="N/A","NO",IF(F76&lt;H$8,"YES","NO"))</f>
        <v>NO</v>
      </c>
      <c r="F76" s="44" t="str">
        <f>K26</f>
        <v>N/A</v>
      </c>
      <c r="J76" s="41">
        <f>H$8</f>
        <v>0.4</v>
      </c>
      <c r="K76" s="14"/>
      <c r="L76" s="14"/>
      <c r="M76" s="14"/>
      <c r="N76" s="14"/>
    </row>
    <row r="77" spans="1:20" s="18" customFormat="1" ht="65.25" hidden="1" customHeight="1" x14ac:dyDescent="0.3">
      <c r="A77" s="1" t="str">
        <f t="shared" si="0"/>
        <v>Criminal Traffic</v>
      </c>
      <c r="B77" s="1">
        <f>IF(E77="YES",MAX(B$56:B76)+1,0)</f>
        <v>0</v>
      </c>
      <c r="C77" s="1" t="str">
        <f>A$27</f>
        <v>CGE CQ1-17</v>
      </c>
      <c r="D77" s="42" t="str">
        <f>"After 3rd Q, Collections went up by more than set percentage of: "&amp;TEXT(J77,"#0%")</f>
        <v>After 3rd Q, Collections went up by more than set percentage of: 500%</v>
      </c>
      <c r="E77" s="1" t="str">
        <f>IF(MAX(F77)&gt;V$10,"YES","NO")</f>
        <v>NO</v>
      </c>
      <c r="F77" s="43">
        <f>IFERROR(IF(NOT(ISBLANK(K28)),(K28-J28)/J28,0),0)</f>
        <v>0</v>
      </c>
      <c r="G77" s="43"/>
      <c r="H77" s="1"/>
      <c r="I77" s="1"/>
      <c r="J77" s="41">
        <f>V$10</f>
        <v>5</v>
      </c>
      <c r="K77" s="14"/>
      <c r="L77" s="14"/>
      <c r="M77" s="14"/>
      <c r="N77" s="14"/>
      <c r="O77" s="17"/>
      <c r="P77" s="10"/>
      <c r="T77" s="91" t="s">
        <v>106</v>
      </c>
    </row>
    <row r="78" spans="1:20" ht="60.75" hidden="1" customHeight="1" x14ac:dyDescent="0.25">
      <c r="A78" s="1" t="str">
        <f t="shared" si="0"/>
        <v>Criminal Traffic</v>
      </c>
      <c r="B78" s="1">
        <f>IF(E78="YES",MAX(B$56:B77)+1,0)</f>
        <v>0</v>
      </c>
      <c r="C78" s="1" t="str">
        <f>A$27</f>
        <v>CGE CQ1-17</v>
      </c>
      <c r="D78" s="42" t="str">
        <f>"Assessments dropped by more than set percentage of: "&amp;TEXT(J78,"#0%")</f>
        <v>Assessments dropped by more than set percentage of: 15%</v>
      </c>
      <c r="E78" s="1" t="str">
        <f>IF(MIN(F78:H78)&lt;(-1*V$11),"YES","NO")</f>
        <v>NO</v>
      </c>
      <c r="F78" s="43">
        <f>IFERROR(IF(NOT(ISBLANK(I29)),(I29-H29)/H29,0),0)</f>
        <v>-6.4840057521135495E-3</v>
      </c>
      <c r="G78" s="43">
        <f>IFERROR(IF(NOT(ISBLANK(J29)),(J29-I29)/I29,0),0)</f>
        <v>0</v>
      </c>
      <c r="H78" s="43">
        <f>IFERROR(IF(NOT(ISBLANK(K29)),(K29-J29)/J29,0),0)</f>
        <v>0</v>
      </c>
      <c r="J78" s="41">
        <f>V$11</f>
        <v>0.15</v>
      </c>
      <c r="K78" s="14"/>
      <c r="L78" s="14"/>
      <c r="M78" s="14"/>
      <c r="N78" s="14"/>
      <c r="O78" s="15"/>
      <c r="P78" s="10"/>
      <c r="T78" s="91" t="s">
        <v>111</v>
      </c>
    </row>
    <row r="79" spans="1:20" ht="52.5" hidden="1" customHeight="1" x14ac:dyDescent="0.25">
      <c r="A79" s="1" t="str">
        <f t="shared" si="0"/>
        <v>Criminal Traffic</v>
      </c>
      <c r="B79" s="1">
        <f>IF(E79="YES",MAX(B$56:B78)+1,0)</f>
        <v>0</v>
      </c>
      <c r="C79" s="1" t="str">
        <f>A$27</f>
        <v>CGE CQ1-17</v>
      </c>
      <c r="D79" s="42" t="s">
        <v>133</v>
      </c>
      <c r="E79" s="1" t="str">
        <f>IF(MIN(F79:H79)&lt;0,"YES","NO")</f>
        <v>NO</v>
      </c>
      <c r="F79" s="43">
        <f t="shared" ref="F79:H80" si="5">IFERROR(IF(NOT(ISBLANK(I28)),(I28-H28)/H28,0),0)</f>
        <v>0.68637249612353357</v>
      </c>
      <c r="G79" s="43">
        <f t="shared" si="5"/>
        <v>0</v>
      </c>
      <c r="H79" s="43">
        <f t="shared" si="5"/>
        <v>0</v>
      </c>
      <c r="K79" s="14"/>
      <c r="L79" s="14"/>
      <c r="M79" s="14"/>
      <c r="N79" s="14"/>
      <c r="O79" s="15"/>
      <c r="P79" s="10"/>
    </row>
    <row r="80" spans="1:20" ht="45" hidden="1" customHeight="1" x14ac:dyDescent="0.25">
      <c r="A80" s="1" t="str">
        <f t="shared" si="0"/>
        <v>Criminal Traffic</v>
      </c>
      <c r="B80" s="1">
        <f>IF(E80="YES",MAX(B$56:B79)+1,0)</f>
        <v>0</v>
      </c>
      <c r="C80" s="1" t="str">
        <f>A$27</f>
        <v>CGE CQ1-17</v>
      </c>
      <c r="D80" s="42" t="s">
        <v>134</v>
      </c>
      <c r="E80" s="1" t="str">
        <f>IF(MAX(F80:H80)&gt;0,"YES","NO")</f>
        <v>NO</v>
      </c>
      <c r="F80" s="43">
        <f t="shared" si="5"/>
        <v>-6.4840057521135495E-3</v>
      </c>
      <c r="G80" s="43">
        <f t="shared" si="5"/>
        <v>0</v>
      </c>
      <c r="H80" s="43">
        <f t="shared" si="5"/>
        <v>0</v>
      </c>
      <c r="K80" s="14"/>
      <c r="L80" s="14"/>
      <c r="M80" s="14"/>
      <c r="N80" s="14"/>
    </row>
    <row r="81" spans="1:20" ht="60.75" hidden="1" customHeight="1" x14ac:dyDescent="0.25">
      <c r="A81" s="1" t="str">
        <f t="shared" si="0"/>
        <v>Criminal Traffic</v>
      </c>
      <c r="B81" s="1">
        <f>IF(E81="YES",MAX(B$56:B80)+1,0)</f>
        <v>0</v>
      </c>
      <c r="C81" s="1" t="str">
        <f>A$31</f>
        <v>CGE CQ2-17</v>
      </c>
      <c r="D81" s="42" t="str">
        <f>"Assessments dropped by more than set percentage of: "&amp;TEXT(J81,"#0%")</f>
        <v>Assessments dropped by more than set percentage of: 15%</v>
      </c>
      <c r="E81" s="1" t="str">
        <f>IF(MIN(F81:G81)&lt;(-1*V$11),"YES","NO")</f>
        <v>NO</v>
      </c>
      <c r="F81" s="43">
        <f>IFERROR(IF(NOT(ISBLANK(J33)),(J33-I33)/I33,0),0)</f>
        <v>0</v>
      </c>
      <c r="G81" s="43">
        <f>IFERROR(IF(NOT(ISBLANK(K33)),(K33-J33)/J33,0),0)</f>
        <v>0</v>
      </c>
      <c r="J81" s="41">
        <f>V$11</f>
        <v>0.15</v>
      </c>
      <c r="K81" s="14"/>
      <c r="L81" s="14"/>
      <c r="M81" s="14"/>
      <c r="N81" s="14"/>
      <c r="O81" s="15"/>
      <c r="P81" s="10"/>
      <c r="T81" s="91" t="s">
        <v>112</v>
      </c>
    </row>
    <row r="82" spans="1:20" ht="52.5" hidden="1" customHeight="1" x14ac:dyDescent="0.25">
      <c r="A82" s="1" t="str">
        <f t="shared" si="0"/>
        <v>Criminal Traffic</v>
      </c>
      <c r="B82" s="1">
        <f>IF(E82="YES",MAX(B$56:B81)+1,0)</f>
        <v>0</v>
      </c>
      <c r="C82" s="1" t="str">
        <f>A$31</f>
        <v>CGE CQ2-17</v>
      </c>
      <c r="D82" s="42" t="s">
        <v>133</v>
      </c>
      <c r="E82" s="1" t="str">
        <f>IF(MIN(F82:G82)&lt;0,"YES","NO")</f>
        <v>NO</v>
      </c>
      <c r="F82" s="43">
        <f>IFERROR(IF(NOT(ISBLANK(J32)),(J32-I32)/I32,0),0)</f>
        <v>0</v>
      </c>
      <c r="G82" s="43">
        <f>IFERROR(IF(NOT(ISBLANK(K32)),(K32-J32)/J32,0),0)</f>
        <v>0</v>
      </c>
      <c r="K82" s="14"/>
      <c r="L82" s="14"/>
      <c r="M82" s="14"/>
      <c r="N82" s="14"/>
      <c r="O82" s="15"/>
      <c r="P82" s="10"/>
    </row>
    <row r="83" spans="1:20" ht="45" hidden="1" customHeight="1" x14ac:dyDescent="0.25">
      <c r="A83" s="1" t="str">
        <f t="shared" si="0"/>
        <v>Criminal Traffic</v>
      </c>
      <c r="B83" s="1">
        <f>IF(E83="YES",MAX(B$56:B82)+1,0)</f>
        <v>0</v>
      </c>
      <c r="C83" s="1" t="str">
        <f>A$31</f>
        <v>CGE CQ2-17</v>
      </c>
      <c r="D83" s="42" t="s">
        <v>134</v>
      </c>
      <c r="E83" s="1" t="str">
        <f>IF(MAX(F83:G83)&gt;0,"YES","NO")</f>
        <v>NO</v>
      </c>
      <c r="F83" s="43">
        <f>IFERROR(IF(NOT(ISBLANK(J33)),(J33-I33)/I33,0),0)</f>
        <v>0</v>
      </c>
      <c r="G83" s="43">
        <f>IFERROR(IF(NOT(ISBLANK(K33)),(K33-J33)/J33,0),0)</f>
        <v>0</v>
      </c>
      <c r="K83" s="14"/>
      <c r="L83" s="14"/>
      <c r="M83" s="14"/>
      <c r="N83" s="14"/>
    </row>
    <row r="84" spans="1:20" ht="60.75" hidden="1" customHeight="1" x14ac:dyDescent="0.25">
      <c r="A84" s="1" t="str">
        <f t="shared" si="0"/>
        <v>Criminal Traffic</v>
      </c>
      <c r="B84" s="1">
        <f>IF(E84="YES",MAX(B$56:B83)+1,0)</f>
        <v>0</v>
      </c>
      <c r="C84" s="1" t="str">
        <f>A$35</f>
        <v>CGE CQ3-17</v>
      </c>
      <c r="D84" s="42" t="str">
        <f>"Assessments dropped by more than set percentage of: "&amp;TEXT(J84,"#0%")</f>
        <v>Assessments dropped by more than set percentage of: 15%</v>
      </c>
      <c r="E84" s="1" t="str">
        <f>IF(MIN(F84)&lt;(-1*V$11),"YES","NO")</f>
        <v>NO</v>
      </c>
      <c r="F84" s="43">
        <f>IFERROR(IF(NOT(ISBLANK(K37)),(K37-J37)/J37,0),0)</f>
        <v>0</v>
      </c>
      <c r="J84" s="41">
        <f>V$11</f>
        <v>0.15</v>
      </c>
      <c r="K84" s="14"/>
      <c r="L84" s="14"/>
      <c r="M84" s="14"/>
      <c r="N84" s="14"/>
      <c r="O84" s="15"/>
      <c r="P84" s="10"/>
      <c r="T84" s="91" t="s">
        <v>113</v>
      </c>
    </row>
    <row r="85" spans="1:20" ht="52.5" hidden="1" customHeight="1" x14ac:dyDescent="0.25">
      <c r="A85" s="1" t="str">
        <f t="shared" si="0"/>
        <v>Criminal Traffic</v>
      </c>
      <c r="B85" s="1">
        <f>IF(E85="YES",MAX(B$56:B84)+1,0)</f>
        <v>0</v>
      </c>
      <c r="C85" s="1" t="str">
        <f>A$35</f>
        <v>CGE CQ3-17</v>
      </c>
      <c r="D85" s="42" t="s">
        <v>133</v>
      </c>
      <c r="E85" s="1" t="str">
        <f>IF(MIN(F85)&lt;0,"YES","NO")</f>
        <v>NO</v>
      </c>
      <c r="F85" s="43">
        <f>IFERROR(IF(NOT(ISBLANK(K36)),(K36-J36)/J36,0),0)</f>
        <v>0</v>
      </c>
      <c r="K85" s="14"/>
      <c r="L85" s="14"/>
      <c r="M85" s="14"/>
      <c r="N85" s="14"/>
      <c r="O85" s="15"/>
    </row>
    <row r="86" spans="1:20" ht="45" hidden="1" customHeight="1" x14ac:dyDescent="0.25">
      <c r="A86" s="1" t="str">
        <f t="shared" si="0"/>
        <v>Criminal Traffic</v>
      </c>
      <c r="B86" s="1">
        <f>IF(E86="YES",MAX(B$56:B85)+1,0)</f>
        <v>0</v>
      </c>
      <c r="C86" s="1" t="str">
        <f>A$35</f>
        <v>CGE CQ3-17</v>
      </c>
      <c r="D86" s="42" t="s">
        <v>134</v>
      </c>
      <c r="E86" s="1" t="str">
        <f>IF(MAX(F86)&gt;0,"YES","NO")</f>
        <v>NO</v>
      </c>
      <c r="F86" s="43">
        <f>IFERROR(IF(NOT(ISBLANK(K37)),(K37-J37)/J37,0),0)</f>
        <v>0</v>
      </c>
      <c r="K86" s="14"/>
      <c r="L86" s="14"/>
      <c r="M86" s="14"/>
      <c r="N86" s="14"/>
    </row>
  </sheetData>
  <sheetProtection algorithmName="SHA-512" hashValue="eKTyOt4o/NEL9zt76HwMCVVFbPeYmmQ7q5NWeP8Ap0zctSvDoj/5WhBjrfiltiWu8O+Vie6tUcjZxO6kJLlkXg==" saltValue="P2VV+F326e2Lfyj9YYFm0w==" spinCount="100000" sheet="1" objects="1" scenarios="1" selectLockedCells="1"/>
  <mergeCells count="36">
    <mergeCell ref="A53:B53"/>
    <mergeCell ref="B35:B38"/>
    <mergeCell ref="B39:B42"/>
    <mergeCell ref="A11:A14"/>
    <mergeCell ref="A15:A18"/>
    <mergeCell ref="B19:B22"/>
    <mergeCell ref="B23:B26"/>
    <mergeCell ref="B11:B14"/>
    <mergeCell ref="B15:B18"/>
    <mergeCell ref="A19:A22"/>
    <mergeCell ref="A23:A26"/>
    <mergeCell ref="A39:A42"/>
    <mergeCell ref="A31:A34"/>
    <mergeCell ref="A27:A30"/>
    <mergeCell ref="B27:B30"/>
    <mergeCell ref="B31:B34"/>
    <mergeCell ref="A35:A38"/>
    <mergeCell ref="D43:G43"/>
    <mergeCell ref="H43:K43"/>
    <mergeCell ref="L31:M31"/>
    <mergeCell ref="L32:M42"/>
    <mergeCell ref="D6:E6"/>
    <mergeCell ref="M23:M26"/>
    <mergeCell ref="L9:M9"/>
    <mergeCell ref="L11:L14"/>
    <mergeCell ref="M11:M14"/>
    <mergeCell ref="L15:L18"/>
    <mergeCell ref="M15:M18"/>
    <mergeCell ref="L19:L22"/>
    <mergeCell ref="M19:M22"/>
    <mergeCell ref="L23:L26"/>
    <mergeCell ref="D8:E8"/>
    <mergeCell ref="I11:I14"/>
    <mergeCell ref="D25:D26"/>
    <mergeCell ref="E25:E26"/>
    <mergeCell ref="F25:F26"/>
  </mergeCells>
  <phoneticPr fontId="0" type="noConversion"/>
  <conditionalFormatting sqref="M11:M14">
    <cfRule type="expression" dxfId="270" priority="358" stopIfTrue="1">
      <formula>$H$14&lt;$H$8</formula>
    </cfRule>
  </conditionalFormatting>
  <conditionalFormatting sqref="M15:M18">
    <cfRule type="expression" dxfId="269" priority="357" stopIfTrue="1">
      <formula>$I$18&lt;$H$8</formula>
    </cfRule>
  </conditionalFormatting>
  <conditionalFormatting sqref="M19:M22">
    <cfRule type="expression" dxfId="268" priority="356" stopIfTrue="1">
      <formula>$J$22&lt;$H$8</formula>
    </cfRule>
  </conditionalFormatting>
  <conditionalFormatting sqref="M23:M26">
    <cfRule type="expression" dxfId="267" priority="355" stopIfTrue="1">
      <formula>$K$26&lt;$H$8</formula>
    </cfRule>
  </conditionalFormatting>
  <conditionalFormatting sqref="I39:I42">
    <cfRule type="cellIs" dxfId="266" priority="43" stopIfTrue="1" operator="lessThan">
      <formula>$H$8</formula>
    </cfRule>
  </conditionalFormatting>
  <conditionalFormatting sqref="H12">
    <cfRule type="expression" dxfId="265" priority="42">
      <formula>(H12&lt;G12)</formula>
    </cfRule>
  </conditionalFormatting>
  <conditionalFormatting sqref="I16">
    <cfRule type="expression" dxfId="264" priority="41">
      <formula>(I16&lt;H16)</formula>
    </cfRule>
  </conditionalFormatting>
  <conditionalFormatting sqref="J20">
    <cfRule type="expression" dxfId="263" priority="40">
      <formula>(J20&lt;I20)</formula>
    </cfRule>
  </conditionalFormatting>
  <conditionalFormatting sqref="K24">
    <cfRule type="expression" dxfId="262" priority="39">
      <formula>(K24&lt;J24)</formula>
    </cfRule>
  </conditionalFormatting>
  <conditionalFormatting sqref="H16">
    <cfRule type="expression" dxfId="261" priority="38">
      <formula>(H16&lt;G16)</formula>
    </cfRule>
  </conditionalFormatting>
  <conditionalFormatting sqref="I20">
    <cfRule type="expression" dxfId="260" priority="37">
      <formula>(I20&lt;H20)</formula>
    </cfRule>
  </conditionalFormatting>
  <conditionalFormatting sqref="J24">
    <cfRule type="expression" dxfId="259" priority="36">
      <formula>(J24&lt;I24)</formula>
    </cfRule>
  </conditionalFormatting>
  <conditionalFormatting sqref="K28">
    <cfRule type="expression" dxfId="258" priority="35">
      <formula>(K28&lt;J28)</formula>
    </cfRule>
  </conditionalFormatting>
  <conditionalFormatting sqref="H20">
    <cfRule type="expression" dxfId="257" priority="34">
      <formula>(H20&lt;G20)</formula>
    </cfRule>
  </conditionalFormatting>
  <conditionalFormatting sqref="I24">
    <cfRule type="expression" dxfId="256" priority="33">
      <formula>(I24&lt;H24)</formula>
    </cfRule>
  </conditionalFormatting>
  <conditionalFormatting sqref="J28">
    <cfRule type="expression" dxfId="255" priority="32">
      <formula>(J28&lt;I28)</formula>
    </cfRule>
  </conditionalFormatting>
  <conditionalFormatting sqref="K32">
    <cfRule type="expression" dxfId="254" priority="31">
      <formula>(K32&lt;J32)</formula>
    </cfRule>
  </conditionalFormatting>
  <conditionalFormatting sqref="H24">
    <cfRule type="expression" dxfId="253" priority="30">
      <formula>(H24&lt;G24)</formula>
    </cfRule>
  </conditionalFormatting>
  <conditionalFormatting sqref="I28">
    <cfRule type="expression" dxfId="252" priority="29">
      <formula>(I28&lt;H28)</formula>
    </cfRule>
  </conditionalFormatting>
  <conditionalFormatting sqref="J32">
    <cfRule type="expression" dxfId="251" priority="28">
      <formula>(J32&lt;I32)</formula>
    </cfRule>
  </conditionalFormatting>
  <conditionalFormatting sqref="K36">
    <cfRule type="expression" dxfId="250" priority="27">
      <formula>(K36&lt;J36)</formula>
    </cfRule>
  </conditionalFormatting>
  <conditionalFormatting sqref="H13">
    <cfRule type="expression" dxfId="249" priority="26">
      <formula>(H13&gt;G13)</formula>
    </cfRule>
  </conditionalFormatting>
  <conditionalFormatting sqref="H17">
    <cfRule type="expression" dxfId="248" priority="25">
      <formula>(H17&gt;G17)</formula>
    </cfRule>
  </conditionalFormatting>
  <conditionalFormatting sqref="H21">
    <cfRule type="expression" dxfId="247" priority="24">
      <formula>(H21&gt;G21)</formula>
    </cfRule>
  </conditionalFormatting>
  <conditionalFormatting sqref="H25">
    <cfRule type="expression" dxfId="246" priority="23">
      <formula>(H25&gt;G25)</formula>
    </cfRule>
  </conditionalFormatting>
  <conditionalFormatting sqref="I29">
    <cfRule type="expression" dxfId="245" priority="22">
      <formula>(I29&gt;H29)</formula>
    </cfRule>
  </conditionalFormatting>
  <conditionalFormatting sqref="H14">
    <cfRule type="expression" dxfId="244" priority="21">
      <formula>H14&lt;$H$8</formula>
    </cfRule>
  </conditionalFormatting>
  <conditionalFormatting sqref="I18">
    <cfRule type="expression" dxfId="243" priority="20">
      <formula>I18&lt;$H$8</formula>
    </cfRule>
  </conditionalFormatting>
  <conditionalFormatting sqref="J22">
    <cfRule type="expression" dxfId="242" priority="19">
      <formula>J22&lt;$H$8</formula>
    </cfRule>
  </conditionalFormatting>
  <conditionalFormatting sqref="K26">
    <cfRule type="expression" dxfId="241" priority="18">
      <formula>K26&lt;$H$8</formula>
    </cfRule>
  </conditionalFormatting>
  <conditionalFormatting sqref="I17">
    <cfRule type="expression" dxfId="240" priority="17">
      <formula>(I17&gt;H17)</formula>
    </cfRule>
  </conditionalFormatting>
  <conditionalFormatting sqref="J21">
    <cfRule type="expression" dxfId="239" priority="16">
      <formula>(J21&gt;I21)</formula>
    </cfRule>
  </conditionalFormatting>
  <conditionalFormatting sqref="K25">
    <cfRule type="expression" dxfId="238" priority="15">
      <formula>(K25&gt;J25)</formula>
    </cfRule>
  </conditionalFormatting>
  <conditionalFormatting sqref="I21">
    <cfRule type="expression" dxfId="237" priority="14">
      <formula>(I21&gt;H21)</formula>
    </cfRule>
  </conditionalFormatting>
  <conditionalFormatting sqref="J25">
    <cfRule type="expression" dxfId="236" priority="13">
      <formula>(J25&gt;I25)</formula>
    </cfRule>
  </conditionalFormatting>
  <conditionalFormatting sqref="K29">
    <cfRule type="expression" dxfId="235" priority="12">
      <formula>(K29&gt;J29)</formula>
    </cfRule>
  </conditionalFormatting>
  <conditionalFormatting sqref="I25">
    <cfRule type="expression" dxfId="234" priority="11">
      <formula>(I25&gt;H25)</formula>
    </cfRule>
  </conditionalFormatting>
  <conditionalFormatting sqref="J29">
    <cfRule type="expression" dxfId="233" priority="10">
      <formula>(J29&gt;I29)</formula>
    </cfRule>
  </conditionalFormatting>
  <conditionalFormatting sqref="K33">
    <cfRule type="expression" dxfId="232" priority="9">
      <formula>(K33&gt;J33)</formula>
    </cfRule>
  </conditionalFormatting>
  <conditionalFormatting sqref="J33">
    <cfRule type="expression" dxfId="231" priority="8">
      <formula>(J33&gt;I33)</formula>
    </cfRule>
  </conditionalFormatting>
  <conditionalFormatting sqref="K37">
    <cfRule type="expression" dxfId="230" priority="7">
      <formula>(K37&gt;J37)</formula>
    </cfRule>
  </conditionalFormatting>
  <conditionalFormatting sqref="L32:M42">
    <cfRule type="expression" dxfId="229" priority="6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L11:L14">
    <cfRule type="expression" dxfId="228" priority="4" stopIfTrue="1">
      <formula>$H$14&lt;$H$8</formula>
    </cfRule>
  </conditionalFormatting>
  <conditionalFormatting sqref="L15:L18">
    <cfRule type="expression" dxfId="227" priority="3" stopIfTrue="1">
      <formula>$I$18&lt;$H$8</formula>
    </cfRule>
  </conditionalFormatting>
  <conditionalFormatting sqref="L19:L22">
    <cfRule type="expression" dxfId="226" priority="2" stopIfTrue="1">
      <formula>$J$22&lt;$H$8</formula>
    </cfRule>
  </conditionalFormatting>
  <conditionalFormatting sqref="L23:L26">
    <cfRule type="expression" dxfId="225" priority="1" stopIfTrue="1">
      <formula>$K$26&lt;$H$8</formula>
    </cfRule>
  </conditionalFormatting>
  <dataValidations count="2">
    <dataValidation type="textLength" allowBlank="1" showInputMessage="1" showErrorMessage="1" sqref="M31 L31:L32 L27:M30 L10 M10:M26 N10:N42">
      <formula1>0</formula1>
      <formula2>500</formula2>
    </dataValidation>
    <dataValidation type="decimal" allowBlank="1" showInputMessage="1" showErrorMessage="1" sqref="G19:I19 H15:K16 J35:J37 J39:J42 H21:I21 G15 D12:H13 G25:I25 J18:K19 G28:I29 I31:I32 J12:K13 G39:H42">
      <formula1>0</formula1>
      <formula2>999999999999999</formula2>
    </dataValidation>
  </dataValidations>
  <printOptions horizontalCentered="1" verticalCentered="1"/>
  <pageMargins left="0.21" right="0.23" top="0.3" bottom="0.36" header="0.2" footer="0.17"/>
  <pageSetup scale="57" orientation="landscape" horizontalDpi="4294967293" r:id="rId1"/>
  <headerFooter alignWithMargins="0">
    <oddFooter>&amp;L&amp;F</oddFooter>
  </headerFooter>
  <ignoredErrors>
    <ignoredError sqref="D14:G15 D18:G19 D16 D17 D22:G23 D20:E20 D21:E21 D25:F25 D24:F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'Circuit Criminal'!$N$11:$N$12</xm:f>
          </x14:formula1>
          <xm:sqref>L11:L26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86"/>
  <sheetViews>
    <sheetView showGridLines="0" tabSelected="1" topLeftCell="B2" zoomScale="75" zoomScaleNormal="75" zoomScaleSheetLayoutView="70" workbookViewId="0">
      <selection activeCell="J20" sqref="J20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2" width="18.6640625" style="1" customWidth="1"/>
    <col min="13" max="13" width="33.109375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2.44140625" style="1" hidden="1" customWidth="1"/>
    <col min="22" max="22" width="11.5546875" style="1" hidden="1" customWidth="1"/>
    <col min="23" max="23" width="13.33203125" style="1" hidden="1" customWidth="1"/>
    <col min="24" max="28" width="9.109375" style="1" hidden="1" customWidth="1"/>
    <col min="29" max="29" width="0" style="1" hidden="1" customWidth="1"/>
    <col min="30" max="16384" width="9.109375" style="1"/>
  </cols>
  <sheetData>
    <row r="1" spans="1:22" ht="33" hidden="1" customHeight="1" x14ac:dyDescent="0.25"/>
    <row r="2" spans="1:22" ht="22.8" x14ac:dyDescent="0.4">
      <c r="K2" s="2"/>
      <c r="L2" s="2"/>
      <c r="M2" s="2" t="s">
        <v>241</v>
      </c>
      <c r="N2" s="2"/>
      <c r="T2" s="91" t="s">
        <v>48</v>
      </c>
    </row>
    <row r="3" spans="1:22" ht="22.8" x14ac:dyDescent="0.4">
      <c r="K3" s="2"/>
      <c r="L3" s="2"/>
      <c r="M3" s="2" t="s">
        <v>16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39" t="str">
        <f>'Circuit Criminal'!D4</f>
        <v>March 2016</v>
      </c>
      <c r="I4" s="223" t="s">
        <v>248</v>
      </c>
      <c r="J4" s="224"/>
      <c r="K4" s="224"/>
      <c r="L4" s="224"/>
      <c r="M4" s="225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37">
        <f>'Circuit Criminal'!$D$5</f>
        <v>1</v>
      </c>
      <c r="I5" s="226"/>
      <c r="J5" s="227" t="s">
        <v>249</v>
      </c>
      <c r="K5" s="227"/>
      <c r="L5" s="227"/>
      <c r="M5" s="228"/>
      <c r="T5" s="91" t="s">
        <v>50</v>
      </c>
    </row>
    <row r="6" spans="1:22" ht="20.25" customHeight="1" x14ac:dyDescent="0.25">
      <c r="A6" s="3"/>
      <c r="C6" s="6" t="s">
        <v>9</v>
      </c>
      <c r="D6" s="300" t="str">
        <f>'Circuit Criminal'!D6</f>
        <v>Brevard</v>
      </c>
      <c r="E6" s="300"/>
      <c r="F6" s="91"/>
      <c r="G6" s="91"/>
      <c r="H6" s="91"/>
      <c r="I6" s="232"/>
      <c r="J6" s="230" t="s">
        <v>250</v>
      </c>
      <c r="K6" s="230"/>
      <c r="L6" s="230"/>
      <c r="M6" s="231"/>
      <c r="N6" s="91"/>
      <c r="T6" s="91" t="s">
        <v>51</v>
      </c>
    </row>
    <row r="7" spans="1:22" ht="11.25" customHeight="1" x14ac:dyDescent="0.25">
      <c r="A7" s="3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42</v>
      </c>
      <c r="E8" s="284"/>
      <c r="G8" s="6" t="s">
        <v>33</v>
      </c>
      <c r="H8" s="27">
        <v>0.9</v>
      </c>
      <c r="T8" s="91" t="s">
        <v>53</v>
      </c>
    </row>
    <row r="9" spans="1:22" ht="15.6" x14ac:dyDescent="0.3">
      <c r="A9" s="7"/>
      <c r="B9" s="3"/>
      <c r="J9" s="8"/>
      <c r="K9" s="9"/>
      <c r="L9" s="291" t="s">
        <v>187</v>
      </c>
      <c r="M9" s="292"/>
      <c r="N9" s="90">
        <v>1</v>
      </c>
      <c r="O9" s="10" t="s">
        <v>2</v>
      </c>
      <c r="P9" s="1" t="s">
        <v>29</v>
      </c>
      <c r="Q9" s="1">
        <v>1</v>
      </c>
      <c r="T9" s="91" t="s">
        <v>54</v>
      </c>
    </row>
    <row r="10" spans="1:22" s="11" customFormat="1" ht="26.25" customHeight="1" thickBot="1" x14ac:dyDescent="0.3">
      <c r="B10" s="19"/>
      <c r="C10" s="20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118" t="s">
        <v>190</v>
      </c>
      <c r="N10" s="87"/>
      <c r="O10" s="10" t="s">
        <v>3</v>
      </c>
      <c r="P10" s="11" t="s">
        <v>30</v>
      </c>
      <c r="Q10" s="1"/>
      <c r="T10" s="91" t="s">
        <v>55</v>
      </c>
      <c r="V10" s="40"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21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/>
      <c r="M11" s="303"/>
      <c r="N11" s="117" t="s">
        <v>188</v>
      </c>
      <c r="O11" s="10" t="s">
        <v>4</v>
      </c>
      <c r="P11" s="1" t="s">
        <v>31</v>
      </c>
      <c r="Q11" s="1">
        <v>3</v>
      </c>
      <c r="T11" s="91" t="s">
        <v>56</v>
      </c>
      <c r="U11" s="1" t="str">
        <f>D6&amp;" "&amp;D8</f>
        <v>Brevard Circuit Civil</v>
      </c>
      <c r="V11" s="41">
        <v>0.15</v>
      </c>
    </row>
    <row r="12" spans="1:22" ht="15.75" customHeight="1" x14ac:dyDescent="0.25">
      <c r="A12" s="277"/>
      <c r="B12" s="264"/>
      <c r="C12" s="22" t="s">
        <v>23</v>
      </c>
      <c r="D12" s="158">
        <f>LOOKUP($U$11,Lookup!$C$3:$C$672,Lookup!I$3:I$672)</f>
        <v>790725.48</v>
      </c>
      <c r="E12" s="137">
        <f>LOOKUP($U$11,Lookup!$C$3:$C$672,Lookup!J$3:J$672)</f>
        <v>838792.47</v>
      </c>
      <c r="F12" s="137">
        <f>LOOKUP($U$11,Lookup!$C$3:$C$672,Lookup!K$3:K$672)</f>
        <v>839265.79</v>
      </c>
      <c r="G12" s="143">
        <f>LOOKUP($U$11,Lookup!$C$3:$C$672,Lookup!L$3:L$672)</f>
        <v>837928.1</v>
      </c>
      <c r="H12" s="144">
        <v>836441.57</v>
      </c>
      <c r="I12" s="281"/>
      <c r="J12" s="96"/>
      <c r="K12" s="159"/>
      <c r="L12" s="271"/>
      <c r="M12" s="301"/>
      <c r="N12" s="26" t="s">
        <v>189</v>
      </c>
      <c r="O12" s="10" t="s">
        <v>5</v>
      </c>
      <c r="P12" s="1" t="s">
        <v>32</v>
      </c>
      <c r="Q12" s="1">
        <v>4</v>
      </c>
      <c r="T12" s="91" t="s">
        <v>57</v>
      </c>
      <c r="U12" s="1" t="str">
        <f>IF(P13=TRUE,A11,"")</f>
        <v>CGE CQ1-16</v>
      </c>
    </row>
    <row r="13" spans="1:22" ht="15.75" customHeight="1" thickBot="1" x14ac:dyDescent="0.3">
      <c r="A13" s="277"/>
      <c r="B13" s="264"/>
      <c r="C13" s="22" t="s">
        <v>24</v>
      </c>
      <c r="D13" s="160">
        <f>LOOKUP($U$11,Lookup!$C$3:$C$672,Lookup!D$3:D$672)</f>
        <v>856517.27</v>
      </c>
      <c r="E13" s="138">
        <f>LOOKUP($U$11,Lookup!$C$3:$C$672,Lookup!E$3:E$672)</f>
        <v>856517.27</v>
      </c>
      <c r="F13" s="138">
        <f>LOOKUP($U$11,Lookup!$C$3:$C$672,Lookup!F$3:F$672)</f>
        <v>856503.27</v>
      </c>
      <c r="G13" s="138">
        <f>LOOKUP($U$11,Lookup!$C$3:$C$672,Lookup!G$3:G$672)</f>
        <v>856503.27</v>
      </c>
      <c r="H13" s="54">
        <v>856503.27</v>
      </c>
      <c r="I13" s="282"/>
      <c r="J13" s="96"/>
      <c r="K13" s="159"/>
      <c r="L13" s="271"/>
      <c r="M13" s="301"/>
      <c r="N13" s="26" t="s">
        <v>191</v>
      </c>
      <c r="O13" s="10" t="s">
        <v>6</v>
      </c>
      <c r="P13" s="1" t="b">
        <f>OR(AND(E12&lt;D12,E12&gt;0),AND(F12&lt;E12,F12&gt;0),AND(G12&lt;F12,G12&gt;0),AND(H12&lt;G12,H12&gt;0),AND(F13&gt;E13,E13&gt;0),AND(G13&gt;F13,F13&gt;0),AND(H13&lt;G13,G13&gt;0))</f>
        <v>1</v>
      </c>
      <c r="Q13" s="1">
        <v>5</v>
      </c>
      <c r="T13" s="91" t="s">
        <v>58</v>
      </c>
      <c r="U13" s="1" t="str">
        <f>IF(P14=TRUE,A15,"")</f>
        <v>CGE CQ2-16</v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0.9231868494607236</v>
      </c>
      <c r="E14" s="145">
        <f>IF(ISBLANK(E12),"N/A",IF(OR(E12=0,E12="N/A"),0,E12/E13))</f>
        <v>0.97930596308933726</v>
      </c>
      <c r="F14" s="145">
        <f>IF(ISBLANK(F12),"N/A",IF(OR(F12=0,F12="N/A"),0,F12/F13))</f>
        <v>0.97987458938714855</v>
      </c>
      <c r="G14" s="145">
        <f>IF(ISBLANK(G12),"N/A",IF(OR(G12=0,G12="N/A"),0,G12/G13))</f>
        <v>0.97831278565930047</v>
      </c>
      <c r="H14" s="145">
        <f>IF(ISBLANK(H12),"N/A",IF(AND(H12=0,H13=0,NOT(ISBLANK(H12)),NOT(ISBLANK(H13))),1,H12/H13))</f>
        <v>0.97657720559549055</v>
      </c>
      <c r="I14" s="283"/>
      <c r="J14" s="96"/>
      <c r="K14" s="159"/>
      <c r="L14" s="271"/>
      <c r="M14" s="301"/>
      <c r="N14" s="117" t="s">
        <v>200</v>
      </c>
      <c r="O14" s="10" t="s">
        <v>7</v>
      </c>
      <c r="P14" s="1" t="b">
        <f>OR(AND(F16&lt;E16,F16&gt;0),AND(G16&lt;F16,G16&gt;0),AND(H16&lt;G16,H16&gt;0),AND(I16&lt;H16,I16&gt;0),AND(G17&gt;F17, F17&gt;0),AND(H17&gt;G17, G17&gt;0),AND(I17&lt;H17,I17&gt;0))</f>
        <v>1</v>
      </c>
      <c r="Q14" s="1">
        <v>6</v>
      </c>
      <c r="T14" s="91" t="s">
        <v>59</v>
      </c>
      <c r="U14" s="1" t="str">
        <f>IF(P15=TRUE,A19,"")</f>
        <v>CGE CQ3-16</v>
      </c>
    </row>
    <row r="15" spans="1:22" ht="15.75" customHeight="1" x14ac:dyDescent="0.25">
      <c r="A15" s="276" t="str">
        <f>LEFT(B15,3)&amp;" "&amp;RIGHT(B15,6)</f>
        <v>CGE CQ2-16</v>
      </c>
      <c r="B15" s="304" t="s">
        <v>208</v>
      </c>
      <c r="C15" s="119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303"/>
      <c r="N15" s="26" t="s">
        <v>192</v>
      </c>
      <c r="O15" s="10" t="s">
        <v>8</v>
      </c>
      <c r="P15" s="1" t="b">
        <f>OR(AND(G20&lt;F20,D10&gt;0),AND(H20&lt;G20,H20&gt;0),AND(I20&lt;H20,I20&gt;0),AND(J20&lt;I20,J20&gt;0),AND(H21&gt;G21, G21&gt;0),AND(I21&gt;H21, H21&gt;0),AND(J21&lt;I21, J21&gt;0))</f>
        <v>1</v>
      </c>
      <c r="Q15" s="1">
        <v>7</v>
      </c>
      <c r="T15" s="91" t="s">
        <v>60</v>
      </c>
      <c r="U15" s="1" t="str">
        <f>IF(P16=TRUE,A23,"")</f>
        <v>CGE CQ4-16</v>
      </c>
    </row>
    <row r="16" spans="1:22" ht="15.75" customHeight="1" x14ac:dyDescent="0.25">
      <c r="A16" s="277"/>
      <c r="B16" s="305"/>
      <c r="C16" s="22" t="s">
        <v>23</v>
      </c>
      <c r="D16" s="161"/>
      <c r="E16" s="137">
        <f>LOOKUP($U$11,Lookup!$C$3:$C$672,Lookup!S$3:S$672)</f>
        <v>824060.58</v>
      </c>
      <c r="F16" s="137">
        <f>LOOKUP($U$11,Lookup!$C$3:$C$672,Lookup!T$3:T$672)</f>
        <v>873134</v>
      </c>
      <c r="G16" s="137">
        <f>LOOKUP($U$11,Lookup!$C$3:$C$672,Lookup!U$3:U$672)</f>
        <v>870183.99</v>
      </c>
      <c r="H16" s="144">
        <v>869396.91</v>
      </c>
      <c r="I16" s="144">
        <v>866784.93</v>
      </c>
      <c r="J16" s="98"/>
      <c r="K16" s="159"/>
      <c r="L16" s="271"/>
      <c r="M16" s="301"/>
      <c r="N16" s="26" t="s">
        <v>193</v>
      </c>
      <c r="O16" s="10" t="s">
        <v>11</v>
      </c>
      <c r="P16" s="1" t="b">
        <f>OR(AND(H24&lt;G24, H24&gt;0),AND(I24&lt;H24, I24&gt;0),AND(J24&lt;I24, J24&gt;0),AND(K24&lt;J24, K24&gt;0),AND(I25&gt;H25, H25&gt;0),AND(J25&gt;I25, I25&gt;0),AND(K25&lt;J25, J25&gt;0))</f>
        <v>1</v>
      </c>
      <c r="Q16" s="1">
        <v>8</v>
      </c>
      <c r="T16" s="91" t="s">
        <v>61</v>
      </c>
      <c r="U16" s="1" t="str">
        <f>IF(P17=TRUE,A27,"")</f>
        <v/>
      </c>
    </row>
    <row r="17" spans="1:21" ht="15.75" customHeight="1" thickBot="1" x14ac:dyDescent="0.3">
      <c r="A17" s="277"/>
      <c r="B17" s="305"/>
      <c r="C17" s="22" t="s">
        <v>24</v>
      </c>
      <c r="D17" s="161"/>
      <c r="E17" s="138">
        <f>LOOKUP($U$11,Lookup!$C$3:$C$672,Lookup!N$3:N$672)</f>
        <v>886179.28</v>
      </c>
      <c r="F17" s="138">
        <f>LOOKUP($U$11,Lookup!$C$3:$C$672,Lookup!O$3:O$672)</f>
        <v>884858.28</v>
      </c>
      <c r="G17" s="138">
        <f>LOOKUP($U$11,Lookup!$C$3:$C$672,Lookup!P$3:P$672)</f>
        <v>882749.28</v>
      </c>
      <c r="H17" s="54">
        <v>882749.28</v>
      </c>
      <c r="I17" s="54">
        <v>881947.28</v>
      </c>
      <c r="J17" s="98"/>
      <c r="K17" s="159"/>
      <c r="L17" s="271"/>
      <c r="M17" s="301"/>
      <c r="N17" s="117" t="s">
        <v>201</v>
      </c>
      <c r="O17" s="10" t="s">
        <v>12</v>
      </c>
      <c r="P17" s="1" t="b">
        <f>OR(AND(I28&lt;H28, I28&gt;0),AND(J28&lt;I28, J28&gt;0),AND(K28&lt;J28, K28&gt;0),AND(J29&gt;I29, I29&gt;0),AND(K29&gt;J29, J29&gt;0))</f>
        <v>0</v>
      </c>
      <c r="Q17" s="1">
        <v>9</v>
      </c>
      <c r="T17" s="91" t="s">
        <v>62</v>
      </c>
      <c r="U17" s="1" t="str">
        <f>IF(P18=TRUE,A31,"")</f>
        <v/>
      </c>
    </row>
    <row r="18" spans="1:21" ht="15.75" customHeight="1" thickBot="1" x14ac:dyDescent="0.3">
      <c r="A18" s="278"/>
      <c r="B18" s="306"/>
      <c r="C18" s="24" t="s">
        <v>26</v>
      </c>
      <c r="D18" s="162"/>
      <c r="E18" s="145">
        <f>IF(ISBLANK(E16),"N/A",IF(OR(E16=0,E16="N/A"),0,E16/E17))</f>
        <v>0.92990278445688768</v>
      </c>
      <c r="F18" s="145">
        <f>IF(ISBLANK(F16),"N/A",IF(OR(F16=0,F16="N/A"),0,F16/F17))</f>
        <v>0.98675010420877785</v>
      </c>
      <c r="G18" s="145">
        <f>IF(ISBLANK(G16),"N/A",IF(OR(G16=0,G16="N/A"),0,G16/G17))</f>
        <v>0.98576573180552463</v>
      </c>
      <c r="H18" s="145">
        <f>IF(ISBLANK(H16),"N/A",IF(AND(H16=0,H17=0,NOT(ISBLANK(H16)),NOT(ISBLANK(H17))),1,H16/H17))</f>
        <v>0.9848741083085335</v>
      </c>
      <c r="I18" s="145">
        <f>IF(ISBLANK(I16),"N/A",IF(AND(I16=0,I17=0,NOT(ISBLANK(I16)),NOT(ISBLANK(I17))),1,I16/I17))</f>
        <v>0.98280809936847924</v>
      </c>
      <c r="J18" s="99"/>
      <c r="K18" s="159"/>
      <c r="L18" s="271"/>
      <c r="M18" s="301"/>
      <c r="N18" s="117" t="s">
        <v>202</v>
      </c>
      <c r="O18" s="10" t="s">
        <v>13</v>
      </c>
      <c r="P18" s="1" t="b">
        <f>OR(AND(J32&lt;I32, J32&gt;0),AND(K32&lt;J32, K32&gt;0),AND(K33&gt;J33, J33&gt;0))</f>
        <v>0</v>
      </c>
      <c r="Q18" s="1">
        <v>10</v>
      </c>
      <c r="T18" s="91" t="s">
        <v>63</v>
      </c>
      <c r="U18" s="1" t="str">
        <f>IF(P19=TRUE,A35,"")</f>
        <v/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119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301"/>
      <c r="N19" s="26" t="s">
        <v>194</v>
      </c>
      <c r="O19" s="10" t="s">
        <v>14</v>
      </c>
      <c r="P19" s="1" t="b">
        <f>OR(K36&lt;J36)</f>
        <v>0</v>
      </c>
      <c r="Q19" s="1">
        <v>11</v>
      </c>
      <c r="T19" s="91" t="s">
        <v>64</v>
      </c>
      <c r="U19" s="1" t="str">
        <f>U12&amp;" "&amp;U13&amp;" "&amp;U14&amp;" "&amp;U15&amp;" "&amp;U16&amp;" "&amp;U17&amp;" "&amp;U18</f>
        <v xml:space="preserve">CGE CQ1-16 CGE CQ2-16 CGE CQ3-16 CGE CQ4-16   </v>
      </c>
    </row>
    <row r="20" spans="1:21" ht="15.75" customHeight="1" x14ac:dyDescent="0.25">
      <c r="A20" s="277"/>
      <c r="B20" s="264"/>
      <c r="C20" s="22" t="s">
        <v>23</v>
      </c>
      <c r="D20" s="163"/>
      <c r="E20" s="29"/>
      <c r="F20" s="137">
        <f>LOOKUP($U$11,Lookup!$C$3:$C$672,Lookup!AC$3:AC$672)</f>
        <v>804230.19</v>
      </c>
      <c r="G20" s="137">
        <f>LOOKUP($U$11,Lookup!$C$3:$C$672,Lookup!AD$3:AD$672)</f>
        <v>851527.95</v>
      </c>
      <c r="H20" s="144">
        <v>851126.02</v>
      </c>
      <c r="I20" s="144">
        <v>843603.84</v>
      </c>
      <c r="J20" s="144"/>
      <c r="K20" s="165"/>
      <c r="L20" s="271"/>
      <c r="M20" s="301"/>
      <c r="N20" s="82"/>
      <c r="O20" s="10" t="s">
        <v>15</v>
      </c>
      <c r="P20" s="1">
        <f>COUNTIF(P13:P19,"TRUE")</f>
        <v>4</v>
      </c>
      <c r="Q20" s="1">
        <v>12</v>
      </c>
      <c r="T20" s="91" t="s">
        <v>65</v>
      </c>
    </row>
    <row r="21" spans="1:21" s="16" customFormat="1" ht="15.75" customHeight="1" thickBot="1" x14ac:dyDescent="0.3">
      <c r="A21" s="277"/>
      <c r="B21" s="264"/>
      <c r="C21" s="22" t="s">
        <v>24</v>
      </c>
      <c r="D21" s="163"/>
      <c r="E21" s="29"/>
      <c r="F21" s="138">
        <f>LOOKUP($U$11,Lookup!$C$3:$C$672,Lookup!X$3:X$672)</f>
        <v>873388.72</v>
      </c>
      <c r="G21" s="138">
        <f>LOOKUP($U$11,Lookup!$C$3:$C$672,Lookup!Y$3:Y$672)</f>
        <v>872941.72</v>
      </c>
      <c r="H21" s="54">
        <v>869525.72</v>
      </c>
      <c r="I21" s="54">
        <v>867312.72</v>
      </c>
      <c r="J21" s="54"/>
      <c r="K21" s="165"/>
      <c r="L21" s="271"/>
      <c r="M21" s="301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4" t="s">
        <v>26</v>
      </c>
      <c r="D22" s="163"/>
      <c r="E22" s="33"/>
      <c r="F22" s="152">
        <f>IF(ISBLANK(F20),"N/A",IF(OR(F20=0,F20="N/A"),0,F20/F21))</f>
        <v>0.92081586535718019</v>
      </c>
      <c r="G22" s="145">
        <f>IF(ISBLANK(G20),"N/A",IF(OR(G20=0,G20="N/A"),0,G20/G21))</f>
        <v>0.97546941621715588</v>
      </c>
      <c r="H22" s="145">
        <f>IF(ISBLANK(H20),"N/A",IF(AND(H20=0,H21=0,NOT(ISBLANK(H20)),NOT(ISBLANK(H21))),1,H20/H21))</f>
        <v>0.97883938384249292</v>
      </c>
      <c r="I22" s="145">
        <f>IF(ISBLANK(I20),"N/A",IF(AND(I20=0,I21=0,NOT(ISBLANK(I20)),NOT(ISBLANK(I21))),1,I20/I21))</f>
        <v>0.97266397753280964</v>
      </c>
      <c r="J22" s="145" t="str">
        <f>IF(ISBLANK(J20),"N/A",IF(AND(J20=0,J21=0,NOT(ISBLANK(J20)),NOT(ISBLANK(J21))),1,J20/J21))</f>
        <v>N/A</v>
      </c>
      <c r="K22" s="166"/>
      <c r="L22" s="271"/>
      <c r="M22" s="301"/>
      <c r="N22" s="83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304" t="s">
        <v>210</v>
      </c>
      <c r="C23" s="21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301"/>
      <c r="N23" s="94"/>
      <c r="O23" s="101" t="b">
        <v>0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IF(AND('Circuit Criminal'!D4=1,S36=1),A11,IF(AND('Circuit Criminal'!D4=2,S36=1),A15,IF(AND('Circuit Criminal'!D4=3,S36=1),A19,IF(AND('Circuit Criminal'!D4=4,S36=1),A23,""))))</f>
        <v/>
      </c>
      <c r="T23" s="91" t="s">
        <v>68</v>
      </c>
    </row>
    <row r="24" spans="1:21" s="18" customFormat="1" ht="15.75" customHeight="1" x14ac:dyDescent="0.3">
      <c r="A24" s="277"/>
      <c r="B24" s="305"/>
      <c r="C24" s="22" t="s">
        <v>23</v>
      </c>
      <c r="D24" s="163"/>
      <c r="E24" s="33"/>
      <c r="F24" s="29"/>
      <c r="G24" s="139">
        <f>LOOKUP($U$11,Lookup!$C$3:$C$672,Lookup!AM$3:AM$672)</f>
        <v>1180053.94</v>
      </c>
      <c r="H24" s="144">
        <v>1222686.53</v>
      </c>
      <c r="I24" s="144">
        <v>1218705.8799999999</v>
      </c>
      <c r="J24" s="144"/>
      <c r="K24" s="169"/>
      <c r="L24" s="271"/>
      <c r="M24" s="301"/>
      <c r="N24" s="103"/>
      <c r="O24" s="120" t="b">
        <v>0</v>
      </c>
      <c r="P24" s="120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IF(AND('Circuit Criminal'!D4=1,S37=1),A15,IF(AND('Circuit Criminal'!D4=2,S37=1),A19,IF(AND('Circuit Criminal'!D4=3,S37=1),A23,IF(AND('Circuit Criminal'!D4=4,S37=1),A27,""))))</f>
        <v/>
      </c>
      <c r="T24" s="91" t="s">
        <v>69</v>
      </c>
    </row>
    <row r="25" spans="1:21" ht="15.75" customHeight="1" thickBot="1" x14ac:dyDescent="0.3">
      <c r="A25" s="277"/>
      <c r="B25" s="305"/>
      <c r="C25" s="22" t="s">
        <v>24</v>
      </c>
      <c r="D25" s="287"/>
      <c r="E25" s="289"/>
      <c r="F25" s="269"/>
      <c r="G25" s="140">
        <f>LOOKUP($U$11,Lookup!$C$3:$C$672,Lookup!AH$3:AH$672)</f>
        <v>1235738.98</v>
      </c>
      <c r="H25" s="54">
        <v>1235267.98</v>
      </c>
      <c r="I25" s="54">
        <v>1233455.98</v>
      </c>
      <c r="J25" s="54"/>
      <c r="K25" s="54"/>
      <c r="L25" s="271"/>
      <c r="M25" s="301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IF(AND('Circuit Criminal'!D4=1,S38=1),A19,IF(AND('Circuit Criminal'!D4=2,S38=1),A23,IF(AND('Circuit Criminal'!D4=3,S38=1),A27,IF(AND('Circuit Criminal'!D4=4,S38=1),A31,""))))</f>
        <v/>
      </c>
      <c r="T25" s="91" t="s">
        <v>70</v>
      </c>
    </row>
    <row r="26" spans="1:21" ht="15.75" customHeight="1" thickBot="1" x14ac:dyDescent="0.3">
      <c r="A26" s="278"/>
      <c r="B26" s="306"/>
      <c r="C26" s="24" t="s">
        <v>26</v>
      </c>
      <c r="D26" s="288"/>
      <c r="E26" s="290"/>
      <c r="F26" s="270"/>
      <c r="G26" s="153">
        <f>IF(ISBLANK(G24),"N/A",IF(OR(G24=0,G24="N/A"),0,G24/G25))</f>
        <v>0.95493786236313427</v>
      </c>
      <c r="H26" s="145">
        <f>IF(ISBLANK(H24),"N/A",IF(AND(H24=0,H25=0,NOT(ISBLANK(H24)),NOT(ISBLANK(H25))),1,H24/H25))</f>
        <v>0.98981480115755938</v>
      </c>
      <c r="I26" s="145">
        <f>IF(ISBLANK(I24),"N/A",IF(AND(I24=0,I25=0,NOT(ISBLANK(I24)),NOT(ISBLANK(I25))),1,I24/I25))</f>
        <v>0.98804164863670274</v>
      </c>
      <c r="J26" s="145" t="str">
        <f>IF(ISBLANK(J24),"N/A",IF(AND(J24=0,J25=0,NOT(ISBLANK(J24)),NOT(ISBLANK(J25))),1,J24/J25))</f>
        <v>N/A</v>
      </c>
      <c r="K26" s="171" t="str">
        <f>IF(ISBLANK(K24),"N/A",IF(AND(K24=0,K25=0,NOT(ISBLANK(K24)),NOT(ISBLANK(K25))),1,K24/K25))</f>
        <v>N/A</v>
      </c>
      <c r="L26" s="271"/>
      <c r="M26" s="302"/>
      <c r="N26" s="84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IF(AND('Circuit Criminal'!D4=1,S39=1),A23,IF(AND('Circuit Criminal'!D4=2,S39=1),A27,IF(AND('Circuit Criminal'!D4=3,S39=1),A31,IF(AND('Circuit Criminal'!D4=4,S39=1),A35,""))))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21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94"/>
      <c r="M27" s="94"/>
      <c r="N27" s="9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IF(AND('Circuit Criminal'!D4=1,S40=1),A27,IF(AND('Circuit Criminal'!D4=2,S40=1),A31,IF(AND('Circuit Criminal'!D4=3,S40=1),A35,IF(AND('Circuit Criminal'!D4=4,S40=1),A39,""))))</f>
        <v/>
      </c>
      <c r="T27" s="91" t="s">
        <v>72</v>
      </c>
    </row>
    <row r="28" spans="1:21" ht="15.75" customHeight="1" x14ac:dyDescent="0.25">
      <c r="A28" s="277"/>
      <c r="B28" s="264"/>
      <c r="C28" s="22" t="s">
        <v>23</v>
      </c>
      <c r="D28" s="173"/>
      <c r="E28" s="33"/>
      <c r="F28" s="33"/>
      <c r="G28" s="29"/>
      <c r="H28" s="144">
        <v>763884.34</v>
      </c>
      <c r="I28" s="144">
        <v>824144.15</v>
      </c>
      <c r="J28" s="144"/>
      <c r="K28" s="169"/>
      <c r="L28" s="103"/>
      <c r="M28" s="103"/>
      <c r="N28" s="103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22" t="s">
        <v>24</v>
      </c>
      <c r="D29" s="173"/>
      <c r="E29" s="33"/>
      <c r="F29" s="33"/>
      <c r="G29" s="29"/>
      <c r="H29" s="54">
        <v>834675.06</v>
      </c>
      <c r="I29" s="54">
        <v>834224.06</v>
      </c>
      <c r="J29" s="54"/>
      <c r="K29" s="54"/>
      <c r="L29" s="103"/>
      <c r="M29" s="103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4" t="s">
        <v>26</v>
      </c>
      <c r="D30" s="174"/>
      <c r="E30" s="30"/>
      <c r="F30" s="30"/>
      <c r="G30" s="30"/>
      <c r="H30" s="145">
        <f>IF(ISBLANK(H28),"N/A",IF(AND(H28=0,H29=0,NOT(ISBLANK(H28)),NOT(ISBLANK(H29))),1,H28/H29))</f>
        <v>0.91518768992570587</v>
      </c>
      <c r="I30" s="145">
        <f>IF(ISBLANK(I28),"N/A",IF(AND(I28=0,I29=0,NOT(ISBLANK(I28)),NOT(ISBLANK(I29))),1,I28/I29))</f>
        <v>0.98791702315562557</v>
      </c>
      <c r="J30" s="145" t="str">
        <f>IF(ISBLANK(J28),"N/A",IF(AND(J28=0,J29=0,NOT(ISBLANK(J28)),NOT(ISBLANK(J29))),1,J28/J29))</f>
        <v>N/A</v>
      </c>
      <c r="K30" s="171" t="str">
        <f>IF(ISBLANK(K28),"N/A",IF(AND(K28=0,K29=0,NOT(ISBLANK(K28)),NOT(ISBLANK(K29))),1,K28/K29))</f>
        <v>N/A</v>
      </c>
      <c r="L30" s="84"/>
      <c r="M30" s="84"/>
      <c r="N30" s="84"/>
      <c r="O30" s="101" t="b">
        <v>0</v>
      </c>
      <c r="P30" s="101" t="b">
        <v>0</v>
      </c>
      <c r="Q30" s="1" t="str">
        <f>IF(AND(OR(ISBLANK(J20),ISBLANK(J21)),O30=FALSE),"Red","Gray")</f>
        <v>Red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304" t="s">
        <v>258</v>
      </c>
      <c r="C31" s="119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94"/>
      <c r="O31" s="101" t="b">
        <v>0</v>
      </c>
      <c r="P31" s="101" t="b">
        <v>0</v>
      </c>
      <c r="Q31" s="1" t="str">
        <f>IF(AND(OR(ISBLANK(J24),ISBLANK(J25)),O31=FALSE),"Red","Gray")</f>
        <v>Red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305"/>
      <c r="C32" s="22" t="s">
        <v>23</v>
      </c>
      <c r="D32" s="175"/>
      <c r="E32" s="74"/>
      <c r="F32" s="74"/>
      <c r="G32" s="74"/>
      <c r="H32" s="74"/>
      <c r="I32" s="144">
        <v>887414.34</v>
      </c>
      <c r="J32" s="144"/>
      <c r="K32" s="169"/>
      <c r="L32" s="307"/>
      <c r="M32" s="258"/>
      <c r="N32" s="103"/>
      <c r="O32" s="101" t="b">
        <v>0</v>
      </c>
      <c r="P32" s="101" t="b">
        <v>0</v>
      </c>
      <c r="Q32" s="1" t="str">
        <f>IF(AND(OR(ISBLANK(J28),ISBLANK(J29)),O32=FALSE),"Red","Gray")</f>
        <v>Red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305"/>
      <c r="C33" s="22" t="s">
        <v>24</v>
      </c>
      <c r="D33" s="175"/>
      <c r="E33" s="74"/>
      <c r="F33" s="74"/>
      <c r="G33" s="74"/>
      <c r="H33" s="74"/>
      <c r="I33" s="54">
        <v>918122.82</v>
      </c>
      <c r="J33" s="54"/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Red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306"/>
      <c r="C34" s="24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0.96655297163836973</v>
      </c>
      <c r="J34" s="145" t="str">
        <f>IF(ISBLANK(J32),"N/A",IF(AND(J32=0,J33=0,NOT(ISBLANK(J32)),NOT(ISBLANK(J33))),1,J32/J33))</f>
        <v>N/A</v>
      </c>
      <c r="K34" s="171" t="str">
        <f>IF(ISBLANK(K32),"N/A",IF(AND(K32=0,K33=0,NOT(ISBLANK(K32)),NOT(ISBLANK(K33))),1,K32/K33))</f>
        <v>N/A</v>
      </c>
      <c r="L34" s="259"/>
      <c r="M34" s="260"/>
      <c r="N34" s="84"/>
      <c r="O34" s="121" t="b">
        <v>0</v>
      </c>
      <c r="P34" s="105" t="b">
        <v>0</v>
      </c>
      <c r="Q34" s="1" t="str">
        <f>IF(AND(OR(ISBLANK(J36),ISBLANK(J37)),O34=FALSE),"Red","Gray")</f>
        <v>Red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119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9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22" t="s">
        <v>23</v>
      </c>
      <c r="D36" s="177"/>
      <c r="E36" s="107"/>
      <c r="F36" s="107"/>
      <c r="G36" s="107"/>
      <c r="H36" s="107"/>
      <c r="I36" s="108"/>
      <c r="J36" s="144"/>
      <c r="K36" s="169"/>
      <c r="L36" s="259"/>
      <c r="M36" s="260"/>
      <c r="N36" s="103"/>
      <c r="O36" s="14" t="str">
        <f>IF(AND('Circuit Criminal'!$D$4=1,Q23="Red"),"Red","Gray")</f>
        <v>Gray</v>
      </c>
      <c r="P36" s="14" t="str">
        <f>IF(AND('Circuit Criminal'!$D$4=2,R23="Red"),"Red","Gray")</f>
        <v>Gray</v>
      </c>
      <c r="Q36" s="14" t="str">
        <f>IF(AND('Circuit Criminal'!$D$4=3,Q30="Red"),"Red","Gray")</f>
        <v>Gray</v>
      </c>
      <c r="R36" s="14" t="str">
        <f>IF(AND('Circuit Criminal'!$D$4=4,R30="Red"),"Red","Gray")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22" t="s">
        <v>24</v>
      </c>
      <c r="D37" s="177"/>
      <c r="E37" s="107"/>
      <c r="F37" s="107"/>
      <c r="G37" s="107"/>
      <c r="H37" s="107"/>
      <c r="I37" s="107"/>
      <c r="J37" s="54"/>
      <c r="K37" s="54"/>
      <c r="L37" s="259"/>
      <c r="M37" s="260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23" t="s">
        <v>26</v>
      </c>
      <c r="D38" s="178"/>
      <c r="E38" s="112"/>
      <c r="F38" s="112"/>
      <c r="G38" s="112"/>
      <c r="H38" s="112"/>
      <c r="I38" s="112"/>
      <c r="J38" s="145" t="str">
        <f>IF(ISBLANK(J36),"N/A",IF(AND(J36=0,J37=0,NOT(ISBLANK(J36)),NOT(ISBLANK(J37))),1,J36/J37))</f>
        <v>N/A</v>
      </c>
      <c r="K38" s="171" t="str">
        <f>IF(ISBLANK(K36),"N/A",IF(AND(K36=0,K37=0,NOT(ISBLANK(K36)),NOT(ISBLANK(K37))),1,K36/K37))</f>
        <v>N/A</v>
      </c>
      <c r="L38" s="259"/>
      <c r="M38" s="260"/>
      <c r="N38" s="84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304" t="s">
        <v>260</v>
      </c>
      <c r="C39" s="21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9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305"/>
      <c r="C40" s="122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103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305"/>
      <c r="C41" s="122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306"/>
      <c r="C42" s="123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84"/>
      <c r="O42" s="35">
        <f>SUM(O41:R41)</f>
        <v>0</v>
      </c>
      <c r="P42" s="15"/>
      <c r="T42" s="91" t="s">
        <v>87</v>
      </c>
    </row>
    <row r="43" spans="1:20" ht="61.2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90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92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93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94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95</v>
      </c>
    </row>
    <row r="49" spans="1:20" s="11" customFormat="1" ht="20.2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9"/>
      <c r="Q49" s="10"/>
      <c r="T49" s="91" t="s">
        <v>92</v>
      </c>
    </row>
    <row r="50" spans="1:20" ht="15.75" hidden="1" customHeight="1" x14ac:dyDescent="0.25">
      <c r="O50" s="13"/>
      <c r="P50" s="13"/>
      <c r="Q50" s="10"/>
      <c r="T50" s="91" t="s">
        <v>93</v>
      </c>
    </row>
    <row r="51" spans="1:20" ht="15.75" hidden="1" customHeight="1" x14ac:dyDescent="0.25">
      <c r="O51" s="14"/>
      <c r="P51" s="15"/>
      <c r="Q51" s="10"/>
      <c r="T51" s="91" t="s">
        <v>94</v>
      </c>
    </row>
    <row r="52" spans="1:20" ht="15.75" hidden="1" customHeight="1" x14ac:dyDescent="0.25">
      <c r="O52" s="14"/>
      <c r="P52" s="15"/>
      <c r="Q52" s="10"/>
      <c r="T52" s="91" t="s">
        <v>95</v>
      </c>
    </row>
    <row r="53" spans="1:20" ht="15.75" hidden="1" customHeight="1" x14ac:dyDescent="0.25">
      <c r="A53" s="275"/>
      <c r="B53" s="275"/>
      <c r="K53" s="14"/>
      <c r="L53" s="14"/>
      <c r="M53" s="14"/>
      <c r="N53" s="14"/>
      <c r="O53" s="15"/>
      <c r="P53" s="10"/>
      <c r="T53" s="91" t="s">
        <v>98</v>
      </c>
    </row>
    <row r="54" spans="1:20" ht="15.75" customHeight="1" x14ac:dyDescent="0.25">
      <c r="K54" s="14"/>
      <c r="L54" s="14"/>
      <c r="M54" s="14"/>
      <c r="N54" s="14"/>
      <c r="O54" s="15"/>
      <c r="P54" s="10"/>
      <c r="T54" s="91" t="s">
        <v>99</v>
      </c>
    </row>
    <row r="55" spans="1:20" ht="15.75" customHeight="1" x14ac:dyDescent="0.25">
      <c r="K55" s="14"/>
      <c r="L55" s="14"/>
      <c r="M55" s="14"/>
      <c r="N55" s="14"/>
      <c r="O55" s="15"/>
      <c r="P55" s="10"/>
      <c r="T55" s="91" t="s">
        <v>100</v>
      </c>
    </row>
    <row r="56" spans="1:20" ht="15.75" hidden="1" customHeight="1" x14ac:dyDescent="0.25">
      <c r="B56" s="1">
        <f>MAX('Criminal Traffic'!B56:B99)</f>
        <v>2</v>
      </c>
      <c r="D56" s="1" t="s">
        <v>128</v>
      </c>
      <c r="F56" s="1" t="s">
        <v>129</v>
      </c>
      <c r="G56" s="1" t="s">
        <v>130</v>
      </c>
      <c r="H56" s="1" t="s">
        <v>131</v>
      </c>
      <c r="I56" s="1" t="s">
        <v>132</v>
      </c>
      <c r="J56" s="1" t="s">
        <v>139</v>
      </c>
      <c r="K56" s="14"/>
      <c r="L56" s="14"/>
      <c r="M56" s="14"/>
      <c r="N56" s="14"/>
      <c r="O56" s="15"/>
      <c r="T56" s="91" t="s">
        <v>101</v>
      </c>
    </row>
    <row r="57" spans="1:20" ht="69" hidden="1" customHeight="1" x14ac:dyDescent="0.25">
      <c r="A57" s="1" t="str">
        <f>D$8</f>
        <v>Circuit Civil</v>
      </c>
      <c r="B57" s="1">
        <f>IF(E57="YES",MAX(B56)+1,0)</f>
        <v>0</v>
      </c>
      <c r="C57" s="1" t="str">
        <f>A$11</f>
        <v>CGE CQ1-16</v>
      </c>
      <c r="D57" s="42" t="str">
        <f>"After 3rd Q, Collections went up by more than set percentage of: "&amp;TEXT(J57,"#0%")</f>
        <v>After 3rd Q, Collections went up by more than set percentage of: 500%</v>
      </c>
      <c r="E57" s="1" t="str">
        <f>IF(MAX(F57:G57)&gt;V$10,"YES","NO")</f>
        <v>NO</v>
      </c>
      <c r="F57" s="43">
        <f>IFERROR(IF(NOT(ISBLANK(G12)),(G12-F12)/F12,0),0)</f>
        <v>-1.5938812423178365E-3</v>
      </c>
      <c r="G57" s="43">
        <f>IFERROR(IF(NOT(ISBLANK(H12)),(H12-G12)/G12,0),0)</f>
        <v>-1.7740543609887627E-3</v>
      </c>
      <c r="J57" s="41">
        <f>V$10</f>
        <v>5</v>
      </c>
      <c r="K57" s="14"/>
      <c r="L57" s="14"/>
      <c r="M57" s="14"/>
      <c r="N57" s="14"/>
      <c r="O57" s="15"/>
      <c r="T57" s="91" t="s">
        <v>102</v>
      </c>
    </row>
    <row r="58" spans="1:20" ht="72.75" hidden="1" customHeight="1" x14ac:dyDescent="0.25">
      <c r="A58" s="1" t="str">
        <f t="shared" ref="A58:A86" si="0">D$8</f>
        <v>Circuit Civil</v>
      </c>
      <c r="B58" s="1">
        <f>IF(E58="YES",MAX(B$56:B57)+1,0)</f>
        <v>0</v>
      </c>
      <c r="C58" s="1" t="str">
        <f>A$11</f>
        <v>CGE CQ1-16</v>
      </c>
      <c r="D58" s="42" t="str">
        <f>"Assessments dropped by more than set percentage of: "&amp;TEXT(J58,"#0%")</f>
        <v>Assessments dropped by more than set percentage of: 15%</v>
      </c>
      <c r="E58" s="1" t="str">
        <f>IF(MIN(F58:I58)&lt;(-1*V$11),"YES","NO")</f>
        <v>NO</v>
      </c>
      <c r="F58" s="43">
        <f>IFERROR(IF(NOT(ISBLANK(E13)),(E13-D13)/D13,0),0)</f>
        <v>0</v>
      </c>
      <c r="G58" s="43">
        <f>IFERROR(IF(NOT(ISBLANK(F13)),(F13-E13)/E13,0),0)</f>
        <v>-1.6345262950740036E-5</v>
      </c>
      <c r="H58" s="43">
        <f>IFERROR(IF(NOT(ISBLANK(G13)),(G13-F13)/F13,0),0)</f>
        <v>0</v>
      </c>
      <c r="I58" s="43">
        <f>IFERROR(IF(NOT(ISBLANK(H13)),(H13-G13)/G13,0),0)</f>
        <v>0</v>
      </c>
      <c r="J58" s="41">
        <f>V$11</f>
        <v>0.15</v>
      </c>
      <c r="K58" s="14"/>
      <c r="L58" s="14"/>
      <c r="M58" s="14"/>
      <c r="N58" s="14"/>
      <c r="O58" s="15"/>
      <c r="P58" s="10"/>
      <c r="T58" s="91" t="s">
        <v>107</v>
      </c>
    </row>
    <row r="59" spans="1:20" ht="52.5" hidden="1" customHeight="1" x14ac:dyDescent="0.25">
      <c r="A59" s="1" t="str">
        <f t="shared" si="0"/>
        <v>Circuit Civil</v>
      </c>
      <c r="B59" s="1">
        <f>IF(E59="YES",MAX(B$56:B58)+1,0)</f>
        <v>0</v>
      </c>
      <c r="C59" s="1" t="str">
        <f>A$11</f>
        <v>CGE CQ1-16</v>
      </c>
      <c r="D59" s="42" t="str">
        <f>"The 5th Quarter Collection Rate did not meet the established performance measure standard of: "&amp;TEXT(J59,"#0%")</f>
        <v>The 5th Quarter Collection Rate did not meet the established performance measure standard of: 90%</v>
      </c>
      <c r="E59" s="1" t="str">
        <f>IF(F59="N/A","NO",IF(F59&lt;H$8,"YES","NO"))</f>
        <v>NO</v>
      </c>
      <c r="F59" s="44">
        <f>H14</f>
        <v>0.97657720559549055</v>
      </c>
      <c r="J59" s="41">
        <f>H$8</f>
        <v>0.9</v>
      </c>
      <c r="K59" s="14"/>
      <c r="L59" s="14"/>
      <c r="M59" s="14"/>
      <c r="N59" s="14"/>
      <c r="O59" s="15"/>
      <c r="P59" s="10"/>
      <c r="T59" s="91" t="s">
        <v>114</v>
      </c>
    </row>
    <row r="60" spans="1:20" ht="45" hidden="1" customHeight="1" x14ac:dyDescent="0.25">
      <c r="A60" s="1" t="str">
        <f t="shared" si="0"/>
        <v>Circuit Civil</v>
      </c>
      <c r="B60" s="1">
        <f>IF(E60="YES",MAX(B$56:B59)+1,0)</f>
        <v>3</v>
      </c>
      <c r="C60" s="1" t="str">
        <f>A$11</f>
        <v>CGE CQ1-16</v>
      </c>
      <c r="D60" s="42" t="s">
        <v>133</v>
      </c>
      <c r="E60" s="1" t="str">
        <f>IF(MIN(F60:I60)&lt;0,"YES","NO")</f>
        <v>YES</v>
      </c>
      <c r="F60" s="43">
        <f t="shared" ref="F60:I61" si="1">IFERROR(IF(NOT(ISBLANK(E12)),(E12-D12)/D12,0),0)</f>
        <v>6.0788467319909799E-2</v>
      </c>
      <c r="G60" s="43">
        <f t="shared" si="1"/>
        <v>5.6428737372912416E-4</v>
      </c>
      <c r="H60" s="43">
        <f t="shared" si="1"/>
        <v>-1.5938812423178365E-3</v>
      </c>
      <c r="I60" s="43">
        <f t="shared" si="1"/>
        <v>-1.7740543609887627E-3</v>
      </c>
      <c r="K60" s="14"/>
      <c r="L60" s="14"/>
      <c r="M60" s="14"/>
      <c r="N60" s="14"/>
      <c r="O60" s="15"/>
    </row>
    <row r="61" spans="1:20" ht="41.4" hidden="1" x14ac:dyDescent="0.25">
      <c r="A61" s="1" t="str">
        <f t="shared" si="0"/>
        <v>Circuit Civil</v>
      </c>
      <c r="B61" s="1">
        <f>IF(E61="YES",MAX(B$56:B60)+1,0)</f>
        <v>0</v>
      </c>
      <c r="C61" s="1" t="str">
        <f>A$11</f>
        <v>CGE CQ1-16</v>
      </c>
      <c r="D61" s="42" t="s">
        <v>134</v>
      </c>
      <c r="E61" s="1" t="str">
        <f>IF(MAX(F61:I61)&gt;0,"YES","NO")</f>
        <v>NO</v>
      </c>
      <c r="F61" s="43">
        <f t="shared" si="1"/>
        <v>0</v>
      </c>
      <c r="G61" s="43">
        <f t="shared" si="1"/>
        <v>-1.6345262950740036E-5</v>
      </c>
      <c r="H61" s="43">
        <f t="shared" si="1"/>
        <v>0</v>
      </c>
      <c r="I61" s="43">
        <f t="shared" si="1"/>
        <v>0</v>
      </c>
      <c r="K61" s="14"/>
      <c r="L61" s="14"/>
      <c r="M61" s="14"/>
      <c r="N61" s="14"/>
    </row>
    <row r="62" spans="1:20" s="16" customFormat="1" ht="65.25" hidden="1" customHeight="1" x14ac:dyDescent="0.25">
      <c r="A62" s="1" t="str">
        <f t="shared" si="0"/>
        <v>Circuit Civil</v>
      </c>
      <c r="B62" s="1">
        <f>IF(E62="YES",MAX(B$56:B61)+1,0)</f>
        <v>0</v>
      </c>
      <c r="C62" s="1" t="str">
        <f>A$15</f>
        <v>CGE CQ2-16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IFERROR(IF(NOT(ISBLANK(H16)),(H16-G16)/G16,0),0)</f>
        <v>-9.0449836936204507E-4</v>
      </c>
      <c r="G62" s="43">
        <f>IFERROR(IF(NOT(ISBLANK(I16)),(I16-H16)/H16,0),0)</f>
        <v>-3.0043585041037023E-3</v>
      </c>
      <c r="H62" s="43"/>
      <c r="I62" s="1"/>
      <c r="J62" s="41">
        <f>V$10</f>
        <v>5</v>
      </c>
      <c r="K62" s="14"/>
      <c r="L62" s="14"/>
      <c r="M62" s="14"/>
      <c r="N62" s="14"/>
      <c r="O62" s="11"/>
      <c r="P62" s="1"/>
      <c r="T62" s="91" t="s">
        <v>103</v>
      </c>
    </row>
    <row r="63" spans="1:20" ht="60.75" hidden="1" customHeight="1" x14ac:dyDescent="0.25">
      <c r="A63" s="1" t="str">
        <f t="shared" si="0"/>
        <v>Circuit Civil</v>
      </c>
      <c r="B63" s="1">
        <f>IF(E63="YES",MAX(B$56:B62)+1,0)</f>
        <v>0</v>
      </c>
      <c r="C63" s="1" t="str">
        <f>A$15</f>
        <v>CGE CQ2-16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IFERROR(IF(NOT(ISBLANK(F17)),(F17-E17)/E17,0),0)</f>
        <v>-1.490669021284271E-3</v>
      </c>
      <c r="G63" s="43">
        <f>IFERROR(IF(NOT(ISBLANK(G17)),(G17-F17)/F17,0),0)</f>
        <v>-2.3834325198380918E-3</v>
      </c>
      <c r="H63" s="43">
        <f>IFERROR(IF(NOT(ISBLANK(H17)),(H17-G17)/G17,0),0)</f>
        <v>0</v>
      </c>
      <c r="I63" s="43">
        <f>IFERROR(IF(NOT(ISBLANK(I17)),(I17-H17)/H17,0),0)</f>
        <v>-9.0852523833267812E-4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108</v>
      </c>
    </row>
    <row r="64" spans="1:20" ht="52.5" hidden="1" customHeight="1" x14ac:dyDescent="0.25">
      <c r="A64" s="1" t="str">
        <f t="shared" si="0"/>
        <v>Circuit Civil</v>
      </c>
      <c r="B64" s="1">
        <f>IF(E64="YES",MAX(B$56:B63)+1,0)</f>
        <v>4</v>
      </c>
      <c r="C64" s="1" t="str">
        <f>A$15</f>
        <v>CGE CQ2-16</v>
      </c>
      <c r="D64" s="42" t="s">
        <v>133</v>
      </c>
      <c r="E64" s="1" t="str">
        <f>IF(MIN(F64:I64)&lt;0,"YES","NO")</f>
        <v>YES</v>
      </c>
      <c r="F64" s="43">
        <f t="shared" ref="F64:I65" si="2">IFERROR(IF(NOT(ISBLANK(F16)),(F16-E16)/E16,0),0)</f>
        <v>5.9550743223271335E-2</v>
      </c>
      <c r="G64" s="43">
        <f t="shared" si="2"/>
        <v>-3.3786452022255566E-3</v>
      </c>
      <c r="H64" s="43">
        <f t="shared" si="2"/>
        <v>-9.0449836936204507E-4</v>
      </c>
      <c r="I64" s="43">
        <f t="shared" si="2"/>
        <v>-3.0043585041037023E-3</v>
      </c>
      <c r="K64" s="14"/>
      <c r="L64" s="14"/>
      <c r="M64" s="14"/>
      <c r="N64" s="14"/>
      <c r="O64" s="15"/>
      <c r="P64" s="10"/>
    </row>
    <row r="65" spans="1:20" s="16" customFormat="1" ht="45" hidden="1" customHeight="1" x14ac:dyDescent="0.25">
      <c r="A65" s="1" t="str">
        <f t="shared" si="0"/>
        <v>Circuit Civil</v>
      </c>
      <c r="B65" s="1">
        <f>IF(E65="YES",MAX(B$56:B64)+1,0)</f>
        <v>0</v>
      </c>
      <c r="C65" s="1" t="str">
        <f>A$15</f>
        <v>CGE CQ2-16</v>
      </c>
      <c r="D65" s="42" t="s">
        <v>134</v>
      </c>
      <c r="E65" s="1" t="str">
        <f>IF(MAX(F65:I65)&gt;0,"YES","NO")</f>
        <v>NO</v>
      </c>
      <c r="F65" s="43">
        <f t="shared" si="2"/>
        <v>-1.490669021284271E-3</v>
      </c>
      <c r="G65" s="43">
        <f t="shared" si="2"/>
        <v>-2.3834325198380918E-3</v>
      </c>
      <c r="H65" s="43">
        <f t="shared" si="2"/>
        <v>0</v>
      </c>
      <c r="I65" s="43">
        <f t="shared" si="2"/>
        <v>-9.0852523833267812E-4</v>
      </c>
      <c r="J65" s="1"/>
      <c r="K65" s="14"/>
      <c r="L65" s="14"/>
      <c r="M65" s="14"/>
      <c r="N65" s="14"/>
      <c r="O65" s="11"/>
      <c r="P65" s="1"/>
    </row>
    <row r="66" spans="1:20" ht="96.6" hidden="1" x14ac:dyDescent="0.25">
      <c r="A66" s="1" t="str">
        <f t="shared" si="0"/>
        <v>Circuit Civil</v>
      </c>
      <c r="B66" s="1">
        <f>IF(E66="YES",MAX(B$56:B65)+1,0)</f>
        <v>0</v>
      </c>
      <c r="C66" s="1" t="str">
        <f>A$15</f>
        <v>CGE CQ2-16</v>
      </c>
      <c r="D66" s="42" t="str">
        <f>"The 5th Quarter Collection Rate did not meet the established performance measure standard of: "&amp;TEXT(J66,"#0%")</f>
        <v>The 5th Quarter Collection Rate did not meet the established performance measure standard of: 90%</v>
      </c>
      <c r="E66" s="1" t="str">
        <f>IF(F66="N/A","NO",IF(F66&lt;H$8,"YES","NO"))</f>
        <v>NO</v>
      </c>
      <c r="F66" s="44">
        <f>I18</f>
        <v>0.98280809936847924</v>
      </c>
      <c r="J66" s="41">
        <f>H$8</f>
        <v>0.9</v>
      </c>
      <c r="K66" s="14"/>
      <c r="L66" s="14"/>
      <c r="M66" s="14"/>
      <c r="N66" s="14"/>
    </row>
    <row r="67" spans="1:20" ht="65.25" hidden="1" customHeight="1" x14ac:dyDescent="0.3">
      <c r="A67" s="1" t="str">
        <f t="shared" si="0"/>
        <v>Circuit Civil</v>
      </c>
      <c r="B67" s="1">
        <f>IF(E67="YES",MAX(B$56:B66)+1,0)</f>
        <v>0</v>
      </c>
      <c r="C67" s="1" t="str">
        <f>A$19</f>
        <v>CGE CQ3-16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IFERROR(IF(NOT(ISBLANK(I20)),(I20-H20)/H20,0),0)</f>
        <v>-8.8379156825684306E-3</v>
      </c>
      <c r="G67" s="43">
        <f>IFERROR(IF(NOT(ISBLANK(J20)),(J20-I20)/I20,0),0)</f>
        <v>0</v>
      </c>
      <c r="J67" s="41">
        <f>V$10</f>
        <v>5</v>
      </c>
      <c r="K67" s="14"/>
      <c r="L67" s="14"/>
      <c r="M67" s="14"/>
      <c r="N67" s="14"/>
      <c r="O67" s="11"/>
      <c r="P67" s="18"/>
      <c r="T67" s="91" t="s">
        <v>104</v>
      </c>
    </row>
    <row r="68" spans="1:20" ht="60.75" hidden="1" customHeight="1" x14ac:dyDescent="0.25">
      <c r="A68" s="1" t="str">
        <f t="shared" si="0"/>
        <v>Circuit Civil</v>
      </c>
      <c r="B68" s="1">
        <f>IF(E68="YES",MAX(B$56:B67)+1,0)</f>
        <v>0</v>
      </c>
      <c r="C68" s="1" t="str">
        <f>A$19</f>
        <v>CGE CQ3-16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IFERROR(IF(NOT(ISBLANK(G21)),(G21-F21)/F21,0),0)</f>
        <v>-5.1179960281602904E-4</v>
      </c>
      <c r="G68" s="43">
        <f>IFERROR(IF(NOT(ISBLANK(H21)),(H21-G21)/G21,0),0)</f>
        <v>-3.9132051106458747E-3</v>
      </c>
      <c r="H68" s="43">
        <f>IFERROR(IF(NOT(ISBLANK(I21)),(I21-H21)/H21,0),0)</f>
        <v>-2.5450656019697726E-3</v>
      </c>
      <c r="I68" s="43">
        <f>IFERROR(IF(NOT(ISBLANK(J21)),(J21-I21)/I21,0),0)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109</v>
      </c>
    </row>
    <row r="69" spans="1:20" ht="52.5" hidden="1" customHeight="1" x14ac:dyDescent="0.25">
      <c r="A69" s="1" t="str">
        <f t="shared" si="0"/>
        <v>Circuit Civil</v>
      </c>
      <c r="B69" s="1">
        <f>IF(E69="YES",MAX(B$56:B68)+1,0)</f>
        <v>5</v>
      </c>
      <c r="C69" s="1" t="str">
        <f>A$19</f>
        <v>CGE CQ3-16</v>
      </c>
      <c r="D69" s="42" t="s">
        <v>133</v>
      </c>
      <c r="E69" s="1" t="str">
        <f>IF(MIN(F69:I69)&lt;0,"YES","NO")</f>
        <v>YES</v>
      </c>
      <c r="F69" s="43">
        <f t="shared" ref="F69:I70" si="3">IFERROR(IF(NOT(ISBLANK(G20)),(G20-F20)/F20,0),0)</f>
        <v>5.8811221697608759E-2</v>
      </c>
      <c r="G69" s="43">
        <f t="shared" si="3"/>
        <v>-4.7201034328930109E-4</v>
      </c>
      <c r="H69" s="43">
        <f t="shared" si="3"/>
        <v>-8.8379156825684306E-3</v>
      </c>
      <c r="I69" s="43">
        <f t="shared" si="3"/>
        <v>0</v>
      </c>
      <c r="K69" s="14"/>
      <c r="L69" s="14"/>
      <c r="M69" s="14"/>
      <c r="N69" s="14"/>
      <c r="O69" s="15"/>
      <c r="P69" s="10"/>
    </row>
    <row r="70" spans="1:20" ht="45" hidden="1" customHeight="1" x14ac:dyDescent="0.25">
      <c r="A70" s="1" t="str">
        <f t="shared" si="0"/>
        <v>Circuit Civil</v>
      </c>
      <c r="B70" s="1">
        <f>IF(E70="YES",MAX(B$56:B69)+1,0)</f>
        <v>0</v>
      </c>
      <c r="C70" s="1" t="str">
        <f>A$19</f>
        <v>CGE CQ3-16</v>
      </c>
      <c r="D70" s="42" t="s">
        <v>134</v>
      </c>
      <c r="E70" s="1" t="str">
        <f>IF(MAX(F70:I70)&gt;0,"YES","NO")</f>
        <v>NO</v>
      </c>
      <c r="F70" s="43">
        <f t="shared" si="3"/>
        <v>-5.1179960281602904E-4</v>
      </c>
      <c r="G70" s="43">
        <f t="shared" si="3"/>
        <v>-3.9132051106458747E-3</v>
      </c>
      <c r="H70" s="43">
        <f t="shared" si="3"/>
        <v>-2.5450656019697726E-3</v>
      </c>
      <c r="I70" s="43">
        <f t="shared" si="3"/>
        <v>0</v>
      </c>
      <c r="K70" s="14"/>
      <c r="L70" s="14"/>
      <c r="M70" s="14"/>
      <c r="N70" s="14"/>
      <c r="O70" s="11"/>
    </row>
    <row r="71" spans="1:20" ht="96.6" hidden="1" x14ac:dyDescent="0.25">
      <c r="A71" s="1" t="str">
        <f t="shared" si="0"/>
        <v>Circuit Civil</v>
      </c>
      <c r="B71" s="1">
        <f>IF(E71="YES",MAX(B$56:B70)+1,0)</f>
        <v>0</v>
      </c>
      <c r="C71" s="1" t="str">
        <f>A$19</f>
        <v>CGE CQ3-16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90%</v>
      </c>
      <c r="E71" s="1" t="str">
        <f>IF(F71="N/A","NO",IF(F71&lt;H$8,"YES","NO"))</f>
        <v>NO</v>
      </c>
      <c r="F71" s="44" t="str">
        <f>J22</f>
        <v>N/A</v>
      </c>
      <c r="J71" s="41">
        <f>H$8</f>
        <v>0.9</v>
      </c>
      <c r="K71" s="14"/>
      <c r="L71" s="14"/>
      <c r="M71" s="14"/>
      <c r="N71" s="14"/>
    </row>
    <row r="72" spans="1:20" ht="65.25" hidden="1" customHeight="1" x14ac:dyDescent="0.25">
      <c r="A72" s="1" t="str">
        <f t="shared" si="0"/>
        <v>Circuit Civil</v>
      </c>
      <c r="B72" s="1">
        <f>IF(E72="YES",MAX(B$56:B71)+1,0)</f>
        <v>0</v>
      </c>
      <c r="C72" s="1" t="str">
        <f>A$23</f>
        <v>CGE CQ4-16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IF(MAX(F72:G72)&gt;V$10,"YES","NO")</f>
        <v>NO</v>
      </c>
      <c r="F72" s="43">
        <f>IFERROR(IF(NOT(ISBLANK(J24)),(J24-I24)/I24,0),0)</f>
        <v>0</v>
      </c>
      <c r="G72" s="43">
        <f>IFERROR(IF(NOT(ISBLANK(K24)),(K24-J24)/J24,0),0)</f>
        <v>0</v>
      </c>
      <c r="J72" s="41">
        <f>V$10</f>
        <v>5</v>
      </c>
      <c r="K72" s="14"/>
      <c r="L72" s="14"/>
      <c r="M72" s="14"/>
      <c r="N72" s="14"/>
      <c r="O72" s="15"/>
      <c r="P72" s="10"/>
      <c r="T72" s="91" t="s">
        <v>105</v>
      </c>
    </row>
    <row r="73" spans="1:20" ht="60.75" hidden="1" customHeight="1" x14ac:dyDescent="0.25">
      <c r="A73" s="1" t="str">
        <f t="shared" si="0"/>
        <v>Circuit Civil</v>
      </c>
      <c r="B73" s="1">
        <f>IF(E73="YES",MAX(B$56:B72)+1,0)</f>
        <v>0</v>
      </c>
      <c r="C73" s="1" t="str">
        <f>A$23</f>
        <v>CGE CQ4-16</v>
      </c>
      <c r="D73" s="42" t="str">
        <f>"Assessments dropped by more than set percentage of: "&amp;TEXT(J73,"#0%")</f>
        <v>Assessments dropped by more than set percentage of: 15%</v>
      </c>
      <c r="E73" s="1" t="str">
        <f>IF(MIN(F73:I73)&lt;(-1*V$11),"YES","NO")</f>
        <v>NO</v>
      </c>
      <c r="F73" s="43">
        <f>IFERROR(IF(NOT(ISBLANK(H25)),(H25-G25)/G25,0),0)</f>
        <v>-3.8114845256398725E-4</v>
      </c>
      <c r="G73" s="43">
        <f>IFERROR(IF(NOT(ISBLANK(I25)),(I25-H25)/H25,0),0)</f>
        <v>-1.4668881808140126E-3</v>
      </c>
      <c r="H73" s="43">
        <f>IFERROR(IF(NOT(ISBLANK(J25)),(J25-I25)/I25,0),0)</f>
        <v>0</v>
      </c>
      <c r="I73" s="43">
        <f>IFERROR(IF(NOT(ISBLANK(K25)),(K25-J25)/J25,0),0)</f>
        <v>0</v>
      </c>
      <c r="J73" s="41">
        <f>V$11</f>
        <v>0.15</v>
      </c>
      <c r="K73" s="14"/>
      <c r="L73" s="14"/>
      <c r="M73" s="14"/>
      <c r="N73" s="14"/>
      <c r="O73" s="15"/>
      <c r="P73" s="10"/>
      <c r="T73" s="91" t="s">
        <v>110</v>
      </c>
    </row>
    <row r="74" spans="1:20" ht="52.5" hidden="1" customHeight="1" x14ac:dyDescent="0.25">
      <c r="A74" s="1" t="str">
        <f t="shared" si="0"/>
        <v>Circuit Civil</v>
      </c>
      <c r="B74" s="1">
        <f>IF(E74="YES",MAX(B$56:B73)+1,0)</f>
        <v>6</v>
      </c>
      <c r="C74" s="1" t="str">
        <f>A$23</f>
        <v>CGE CQ4-16</v>
      </c>
      <c r="D74" s="42" t="s">
        <v>133</v>
      </c>
      <c r="E74" s="1" t="str">
        <f>IF(MIN(F74:I74)&lt;0,"YES","NO")</f>
        <v>YES</v>
      </c>
      <c r="F74" s="43">
        <f t="shared" ref="F74:I75" si="4">IFERROR(IF(NOT(ISBLANK(H24)),(H24-G24)/G24,0),0)</f>
        <v>3.6127662096531017E-2</v>
      </c>
      <c r="G74" s="43">
        <f t="shared" si="4"/>
        <v>-3.2556586682934503E-3</v>
      </c>
      <c r="H74" s="43">
        <f t="shared" si="4"/>
        <v>0</v>
      </c>
      <c r="I74" s="43">
        <f t="shared" si="4"/>
        <v>0</v>
      </c>
      <c r="K74" s="14"/>
      <c r="L74" s="14"/>
      <c r="M74" s="14"/>
      <c r="N74" s="14"/>
      <c r="O74" s="15"/>
      <c r="P74" s="10"/>
    </row>
    <row r="75" spans="1:20" ht="45" hidden="1" customHeight="1" x14ac:dyDescent="0.25">
      <c r="A75" s="1" t="str">
        <f t="shared" si="0"/>
        <v>Circuit Civil</v>
      </c>
      <c r="B75" s="1">
        <f>IF(E75="YES",MAX(B$56:B74)+1,0)</f>
        <v>0</v>
      </c>
      <c r="C75" s="1" t="str">
        <f>A$23</f>
        <v>CGE CQ4-16</v>
      </c>
      <c r="D75" s="42" t="s">
        <v>134</v>
      </c>
      <c r="E75" s="1" t="str">
        <f>IF(MAX(F75:I75)&gt;0,"YES","NO")</f>
        <v>NO</v>
      </c>
      <c r="F75" s="43">
        <f t="shared" si="4"/>
        <v>-3.8114845256398725E-4</v>
      </c>
      <c r="G75" s="43">
        <f t="shared" si="4"/>
        <v>-1.4668881808140126E-3</v>
      </c>
      <c r="H75" s="43">
        <f t="shared" si="4"/>
        <v>0</v>
      </c>
      <c r="I75" s="43">
        <f t="shared" si="4"/>
        <v>0</v>
      </c>
      <c r="K75" s="14"/>
      <c r="L75" s="14"/>
      <c r="M75" s="14"/>
      <c r="N75" s="14"/>
    </row>
    <row r="76" spans="1:20" ht="96.6" hidden="1" x14ac:dyDescent="0.25">
      <c r="A76" s="1" t="str">
        <f t="shared" si="0"/>
        <v>Circuit Civil</v>
      </c>
      <c r="B76" s="1">
        <f>IF(E76="YES",MAX(B$56:B75)+1,0)</f>
        <v>0</v>
      </c>
      <c r="C76" s="1" t="str">
        <f>A$23</f>
        <v>CGE CQ4-16</v>
      </c>
      <c r="D76" s="42" t="str">
        <f>"The 5th Quarter Collection Rate did not meet the established performance measure standard of: "&amp;TEXT(J76,"#0%")</f>
        <v>The 5th Quarter Collection Rate did not meet the established performance measure standard of: 90%</v>
      </c>
      <c r="E76" s="1" t="str">
        <f>IF(F76="N/A","NO",IF(F76&lt;H$8,"YES","NO"))</f>
        <v>NO</v>
      </c>
      <c r="F76" s="44" t="str">
        <f>K26</f>
        <v>N/A</v>
      </c>
      <c r="J76" s="41">
        <f>H$8</f>
        <v>0.9</v>
      </c>
      <c r="K76" s="14"/>
      <c r="L76" s="14"/>
      <c r="M76" s="14"/>
      <c r="N76" s="14"/>
    </row>
    <row r="77" spans="1:20" s="18" customFormat="1" ht="65.25" hidden="1" customHeight="1" x14ac:dyDescent="0.3">
      <c r="A77" s="1" t="str">
        <f t="shared" si="0"/>
        <v>Circuit Civil</v>
      </c>
      <c r="B77" s="1">
        <f>IF(E77="YES",MAX(B$56:B76)+1,0)</f>
        <v>0</v>
      </c>
      <c r="C77" s="1" t="str">
        <f>A$27</f>
        <v>CGE CQ1-17</v>
      </c>
      <c r="D77" s="42" t="str">
        <f>"After 3rd Q, Collections went up by more than set percentage of: "&amp;TEXT(J77,"#0%")</f>
        <v>After 3rd Q, Collections went up by more than set percentage of: 500%</v>
      </c>
      <c r="E77" s="1" t="str">
        <f>IF(MAX(F77)&gt;V$10,"YES","NO")</f>
        <v>NO</v>
      </c>
      <c r="F77" s="43">
        <f>IFERROR(IF(NOT(ISBLANK(K28)),(K28-J28)/J28,0),0)</f>
        <v>0</v>
      </c>
      <c r="G77" s="43"/>
      <c r="H77" s="1"/>
      <c r="I77" s="1"/>
      <c r="J77" s="41">
        <f>V$10</f>
        <v>5</v>
      </c>
      <c r="K77" s="14"/>
      <c r="L77" s="14"/>
      <c r="M77" s="14"/>
      <c r="N77" s="14"/>
      <c r="O77" s="17"/>
      <c r="P77" s="10"/>
      <c r="T77" s="91" t="s">
        <v>106</v>
      </c>
    </row>
    <row r="78" spans="1:20" ht="60.75" hidden="1" customHeight="1" x14ac:dyDescent="0.25">
      <c r="A78" s="1" t="str">
        <f t="shared" si="0"/>
        <v>Circuit Civil</v>
      </c>
      <c r="B78" s="1">
        <f>IF(E78="YES",MAX(B$56:B77)+1,0)</f>
        <v>0</v>
      </c>
      <c r="C78" s="1" t="str">
        <f>A$27</f>
        <v>CGE CQ1-17</v>
      </c>
      <c r="D78" s="42" t="str">
        <f>"Assessments dropped by more than set percentage of: "&amp;TEXT(J78,"#0%")</f>
        <v>Assessments dropped by more than set percentage of: 15%</v>
      </c>
      <c r="E78" s="1" t="str">
        <f>IF(MIN(F78:H78)&lt;(-1*V$11),"YES","NO")</f>
        <v>NO</v>
      </c>
      <c r="F78" s="43">
        <f>IFERROR(IF(NOT(ISBLANK(I29)),(I29-H29)/H29,0),0)</f>
        <v>-5.40330029748343E-4</v>
      </c>
      <c r="G78" s="43">
        <f>IFERROR(IF(NOT(ISBLANK(J29)),(J29-I29)/I29,0),0)</f>
        <v>0</v>
      </c>
      <c r="H78" s="43">
        <f>IFERROR(IF(NOT(ISBLANK(K29)),(K29-J29)/J29,0),0)</f>
        <v>0</v>
      </c>
      <c r="J78" s="41">
        <f>V$11</f>
        <v>0.15</v>
      </c>
      <c r="K78" s="14"/>
      <c r="L78" s="14"/>
      <c r="M78" s="14"/>
      <c r="N78" s="14"/>
      <c r="O78" s="15"/>
      <c r="P78" s="10"/>
      <c r="T78" s="91" t="s">
        <v>111</v>
      </c>
    </row>
    <row r="79" spans="1:20" ht="52.5" hidden="1" customHeight="1" x14ac:dyDescent="0.25">
      <c r="A79" s="1" t="str">
        <f t="shared" si="0"/>
        <v>Circuit Civil</v>
      </c>
      <c r="B79" s="1">
        <f>IF(E79="YES",MAX(B$56:B78)+1,0)</f>
        <v>0</v>
      </c>
      <c r="C79" s="1" t="str">
        <f>A$27</f>
        <v>CGE CQ1-17</v>
      </c>
      <c r="D79" s="42" t="s">
        <v>133</v>
      </c>
      <c r="E79" s="1" t="str">
        <f>IF(MIN(F79:H79)&lt;0,"YES","NO")</f>
        <v>NO</v>
      </c>
      <c r="F79" s="43">
        <f t="shared" ref="F79:H80" si="5">IFERROR(IF(NOT(ISBLANK(I28)),(I28-H28)/H28,0),0)</f>
        <v>7.8886039213737588E-2</v>
      </c>
      <c r="G79" s="43">
        <f t="shared" si="5"/>
        <v>0</v>
      </c>
      <c r="H79" s="43">
        <f t="shared" si="5"/>
        <v>0</v>
      </c>
      <c r="K79" s="14"/>
      <c r="L79" s="14"/>
      <c r="M79" s="14"/>
      <c r="N79" s="14"/>
      <c r="O79" s="15"/>
      <c r="P79" s="10"/>
    </row>
    <row r="80" spans="1:20" ht="45" hidden="1" customHeight="1" x14ac:dyDescent="0.25">
      <c r="A80" s="1" t="str">
        <f t="shared" si="0"/>
        <v>Circuit Civil</v>
      </c>
      <c r="B80" s="1">
        <f>IF(E80="YES",MAX(B$56:B79)+1,0)</f>
        <v>0</v>
      </c>
      <c r="C80" s="1" t="str">
        <f>A$27</f>
        <v>CGE CQ1-17</v>
      </c>
      <c r="D80" s="42" t="s">
        <v>134</v>
      </c>
      <c r="E80" s="1" t="str">
        <f>IF(MAX(F80:H80)&gt;0,"YES","NO")</f>
        <v>NO</v>
      </c>
      <c r="F80" s="43">
        <f t="shared" si="5"/>
        <v>-5.40330029748343E-4</v>
      </c>
      <c r="G80" s="43">
        <f t="shared" si="5"/>
        <v>0</v>
      </c>
      <c r="H80" s="43">
        <f t="shared" si="5"/>
        <v>0</v>
      </c>
      <c r="K80" s="14"/>
      <c r="L80" s="14"/>
      <c r="M80" s="14"/>
      <c r="N80" s="14"/>
    </row>
    <row r="81" spans="1:20" ht="60.75" hidden="1" customHeight="1" x14ac:dyDescent="0.25">
      <c r="A81" s="1" t="str">
        <f t="shared" si="0"/>
        <v>Circuit Civil</v>
      </c>
      <c r="B81" s="1">
        <f>IF(E81="YES",MAX(B$56:B80)+1,0)</f>
        <v>0</v>
      </c>
      <c r="C81" s="1" t="str">
        <f>A$31</f>
        <v>CGE CQ2-17</v>
      </c>
      <c r="D81" s="42" t="str">
        <f>"Assessments dropped by more than set percentage of: "&amp;TEXT(J81,"#0%")</f>
        <v>Assessments dropped by more than set percentage of: 15%</v>
      </c>
      <c r="E81" s="1" t="str">
        <f>IF(MIN(F81:G81)&lt;(-1*V$11),"YES","NO")</f>
        <v>NO</v>
      </c>
      <c r="F81" s="43">
        <f>IFERROR(IF(NOT(ISBLANK(J33)),(J33-I33)/I33,0),0)</f>
        <v>0</v>
      </c>
      <c r="G81" s="43">
        <f>IFERROR(IF(NOT(ISBLANK(K33)),(K33-J33)/J33,0),0)</f>
        <v>0</v>
      </c>
      <c r="J81" s="41">
        <f>V$11</f>
        <v>0.15</v>
      </c>
      <c r="K81" s="14"/>
      <c r="L81" s="14"/>
      <c r="M81" s="14"/>
      <c r="N81" s="14"/>
      <c r="O81" s="15"/>
      <c r="P81" s="10"/>
      <c r="T81" s="91" t="s">
        <v>112</v>
      </c>
    </row>
    <row r="82" spans="1:20" ht="52.5" hidden="1" customHeight="1" x14ac:dyDescent="0.25">
      <c r="A82" s="1" t="str">
        <f t="shared" si="0"/>
        <v>Circuit Civil</v>
      </c>
      <c r="B82" s="1">
        <f>IF(E82="YES",MAX(B$56:B81)+1,0)</f>
        <v>0</v>
      </c>
      <c r="C82" s="1" t="str">
        <f>A$31</f>
        <v>CGE CQ2-17</v>
      </c>
      <c r="D82" s="42" t="s">
        <v>133</v>
      </c>
      <c r="E82" s="1" t="str">
        <f>IF(MIN(F82:G82)&lt;0,"YES","NO")</f>
        <v>NO</v>
      </c>
      <c r="F82" s="43">
        <f>IFERROR(IF(NOT(ISBLANK(J32)),(J32-I32)/I32,0),0)</f>
        <v>0</v>
      </c>
      <c r="G82" s="43">
        <f>IFERROR(IF(NOT(ISBLANK(K32)),(K32-J32)/J32,0),0)</f>
        <v>0</v>
      </c>
      <c r="K82" s="14"/>
      <c r="L82" s="14"/>
      <c r="M82" s="14"/>
      <c r="N82" s="14"/>
      <c r="O82" s="15"/>
      <c r="P82" s="10"/>
    </row>
    <row r="83" spans="1:20" ht="45" hidden="1" customHeight="1" x14ac:dyDescent="0.25">
      <c r="A83" s="1" t="str">
        <f t="shared" si="0"/>
        <v>Circuit Civil</v>
      </c>
      <c r="B83" s="1">
        <f>IF(E83="YES",MAX(B$56:B82)+1,0)</f>
        <v>0</v>
      </c>
      <c r="C83" s="1" t="str">
        <f>A$31</f>
        <v>CGE CQ2-17</v>
      </c>
      <c r="D83" s="42" t="s">
        <v>134</v>
      </c>
      <c r="E83" s="1" t="str">
        <f>IF(MAX(F83:G83)&gt;0,"YES","NO")</f>
        <v>NO</v>
      </c>
      <c r="F83" s="43">
        <f>IFERROR(IF(NOT(ISBLANK(J33)),(J33-I33)/I33,0),0)</f>
        <v>0</v>
      </c>
      <c r="G83" s="43">
        <f>IFERROR(IF(NOT(ISBLANK(K33)),(K33-J33)/J33,0),0)</f>
        <v>0</v>
      </c>
      <c r="K83" s="14"/>
      <c r="L83" s="14"/>
      <c r="M83" s="14"/>
      <c r="N83" s="14"/>
    </row>
    <row r="84" spans="1:20" ht="60.75" hidden="1" customHeight="1" x14ac:dyDescent="0.25">
      <c r="A84" s="1" t="str">
        <f t="shared" si="0"/>
        <v>Circuit Civil</v>
      </c>
      <c r="B84" s="1">
        <f>IF(E84="YES",MAX(B$56:B83)+1,0)</f>
        <v>0</v>
      </c>
      <c r="C84" s="1" t="str">
        <f>A$35</f>
        <v>CGE CQ3-17</v>
      </c>
      <c r="D84" s="42" t="str">
        <f>"Assessments dropped by more than set percentage of: "&amp;TEXT(J84,"#0%")</f>
        <v>Assessments dropped by more than set percentage of: 15%</v>
      </c>
      <c r="E84" s="1" t="str">
        <f>IF(MIN(F84)&lt;(-1*V$11),"YES","NO")</f>
        <v>NO</v>
      </c>
      <c r="F84" s="43">
        <f>IFERROR(IF(NOT(ISBLANK(K37)),(K37-J37)/J37,0),0)</f>
        <v>0</v>
      </c>
      <c r="J84" s="41">
        <f>V$11</f>
        <v>0.15</v>
      </c>
      <c r="K84" s="14"/>
      <c r="L84" s="14"/>
      <c r="M84" s="14"/>
      <c r="N84" s="14"/>
      <c r="O84" s="15"/>
      <c r="P84" s="10"/>
      <c r="T84" s="91" t="s">
        <v>113</v>
      </c>
    </row>
    <row r="85" spans="1:20" ht="52.5" hidden="1" customHeight="1" x14ac:dyDescent="0.25">
      <c r="A85" s="1" t="str">
        <f t="shared" si="0"/>
        <v>Circuit Civil</v>
      </c>
      <c r="B85" s="1">
        <f>IF(E85="YES",MAX(B$56:B84)+1,0)</f>
        <v>0</v>
      </c>
      <c r="C85" s="1" t="str">
        <f>A$35</f>
        <v>CGE CQ3-17</v>
      </c>
      <c r="D85" s="42" t="s">
        <v>133</v>
      </c>
      <c r="E85" s="1" t="str">
        <f>IF(MIN(F85)&lt;0,"YES","NO")</f>
        <v>NO</v>
      </c>
      <c r="F85" s="43">
        <f>IFERROR(IF(NOT(ISBLANK(K36)),(K36-J36)/J36,0),0)</f>
        <v>0</v>
      </c>
      <c r="K85" s="14"/>
      <c r="L85" s="14"/>
      <c r="M85" s="14"/>
      <c r="N85" s="14"/>
      <c r="O85" s="15"/>
    </row>
    <row r="86" spans="1:20" ht="45" hidden="1" customHeight="1" x14ac:dyDescent="0.25">
      <c r="A86" s="1" t="str">
        <f t="shared" si="0"/>
        <v>Circuit Civil</v>
      </c>
      <c r="B86" s="1">
        <f>IF(E86="YES",MAX(B$56:B85)+1,0)</f>
        <v>0</v>
      </c>
      <c r="C86" s="1" t="str">
        <f>A$35</f>
        <v>CGE CQ3-17</v>
      </c>
      <c r="D86" s="42" t="s">
        <v>134</v>
      </c>
      <c r="E86" s="1" t="str">
        <f>IF(MAX(F86)&gt;0,"YES","NO")</f>
        <v>NO</v>
      </c>
      <c r="F86" s="43">
        <f>IFERROR(IF(NOT(ISBLANK(K37)),(K37-J37)/J37,0),0)</f>
        <v>0</v>
      </c>
      <c r="K86" s="14"/>
      <c r="L86" s="14"/>
      <c r="M86" s="14"/>
      <c r="N86" s="14"/>
    </row>
  </sheetData>
  <sheetProtection algorithmName="SHA-512" hashValue="9/0nMAE+4WLQD3LSsOYJv2fxn8XYW6mJDhwM5Cfy9yQAMHi1CnuvJKm40QsX45lbCqVEXSm9C51YerYaF6Ed9g==" saltValue="jkM1Uj/SiiLNOuAGdsvdeg==" spinCount="100000" sheet="1" objects="1" scenarios="1" selectLockedCells="1"/>
  <mergeCells count="36">
    <mergeCell ref="A53:B53"/>
    <mergeCell ref="B35:B38"/>
    <mergeCell ref="B39:B42"/>
    <mergeCell ref="A11:A14"/>
    <mergeCell ref="A15:A18"/>
    <mergeCell ref="B19:B22"/>
    <mergeCell ref="B23:B26"/>
    <mergeCell ref="B11:B14"/>
    <mergeCell ref="B15:B18"/>
    <mergeCell ref="A19:A22"/>
    <mergeCell ref="A23:A26"/>
    <mergeCell ref="A39:A42"/>
    <mergeCell ref="A31:A34"/>
    <mergeCell ref="A27:A30"/>
    <mergeCell ref="B27:B30"/>
    <mergeCell ref="B31:B34"/>
    <mergeCell ref="A35:A38"/>
    <mergeCell ref="D43:G43"/>
    <mergeCell ref="H43:K43"/>
    <mergeCell ref="L31:M31"/>
    <mergeCell ref="L32:M42"/>
    <mergeCell ref="D6:E6"/>
    <mergeCell ref="M23:M26"/>
    <mergeCell ref="L9:M9"/>
    <mergeCell ref="L11:L14"/>
    <mergeCell ref="M11:M14"/>
    <mergeCell ref="L15:L18"/>
    <mergeCell ref="M15:M18"/>
    <mergeCell ref="L19:L22"/>
    <mergeCell ref="M19:M22"/>
    <mergeCell ref="L23:L26"/>
    <mergeCell ref="D8:E8"/>
    <mergeCell ref="I11:I14"/>
    <mergeCell ref="D25:D26"/>
    <mergeCell ref="E25:E26"/>
    <mergeCell ref="F25:F26"/>
  </mergeCells>
  <phoneticPr fontId="0" type="noConversion"/>
  <conditionalFormatting sqref="M11:M14">
    <cfRule type="expression" dxfId="224" priority="242" stopIfTrue="1">
      <formula>$H$14&lt;$H$8</formula>
    </cfRule>
  </conditionalFormatting>
  <conditionalFormatting sqref="M15:M18">
    <cfRule type="expression" dxfId="223" priority="240" stopIfTrue="1">
      <formula>$I$18&lt;$H$8</formula>
    </cfRule>
  </conditionalFormatting>
  <conditionalFormatting sqref="M19:M22">
    <cfRule type="expression" dxfId="222" priority="239" stopIfTrue="1">
      <formula>$J$22&lt;$H$8</formula>
    </cfRule>
  </conditionalFormatting>
  <conditionalFormatting sqref="M23:M26">
    <cfRule type="expression" dxfId="221" priority="238" stopIfTrue="1">
      <formula>$K$26&lt;$H$8</formula>
    </cfRule>
  </conditionalFormatting>
  <conditionalFormatting sqref="I39:I42">
    <cfRule type="cellIs" dxfId="220" priority="43" stopIfTrue="1" operator="lessThan">
      <formula>$H$8</formula>
    </cfRule>
  </conditionalFormatting>
  <conditionalFormatting sqref="H12">
    <cfRule type="expression" dxfId="219" priority="42">
      <formula>(H12&lt;G12)</formula>
    </cfRule>
  </conditionalFormatting>
  <conditionalFormatting sqref="I16">
    <cfRule type="expression" dxfId="218" priority="41">
      <formula>(I16&lt;H16)</formula>
    </cfRule>
  </conditionalFormatting>
  <conditionalFormatting sqref="J20">
    <cfRule type="expression" dxfId="217" priority="40">
      <formula>(J20&lt;I20)</formula>
    </cfRule>
  </conditionalFormatting>
  <conditionalFormatting sqref="K24">
    <cfRule type="expression" dxfId="216" priority="39">
      <formula>(K24&lt;J24)</formula>
    </cfRule>
  </conditionalFormatting>
  <conditionalFormatting sqref="H16">
    <cfRule type="expression" dxfId="215" priority="38">
      <formula>(H16&lt;G16)</formula>
    </cfRule>
  </conditionalFormatting>
  <conditionalFormatting sqref="I20">
    <cfRule type="expression" dxfId="214" priority="37">
      <formula>(I20&lt;H20)</formula>
    </cfRule>
  </conditionalFormatting>
  <conditionalFormatting sqref="J24">
    <cfRule type="expression" dxfId="213" priority="36">
      <formula>(J24&lt;I24)</formula>
    </cfRule>
  </conditionalFormatting>
  <conditionalFormatting sqref="K28">
    <cfRule type="expression" dxfId="212" priority="35">
      <formula>(K28&lt;J28)</formula>
    </cfRule>
  </conditionalFormatting>
  <conditionalFormatting sqref="H20">
    <cfRule type="expression" dxfId="211" priority="34">
      <formula>(H20&lt;G20)</formula>
    </cfRule>
  </conditionalFormatting>
  <conditionalFormatting sqref="I24">
    <cfRule type="expression" dxfId="210" priority="33">
      <formula>(I24&lt;H24)</formula>
    </cfRule>
  </conditionalFormatting>
  <conditionalFormatting sqref="J28">
    <cfRule type="expression" dxfId="209" priority="32">
      <formula>(J28&lt;I28)</formula>
    </cfRule>
  </conditionalFormatting>
  <conditionalFormatting sqref="K32">
    <cfRule type="expression" dxfId="208" priority="31">
      <formula>(K32&lt;J32)</formula>
    </cfRule>
  </conditionalFormatting>
  <conditionalFormatting sqref="H24">
    <cfRule type="expression" dxfId="207" priority="30">
      <formula>(H24&lt;G24)</formula>
    </cfRule>
  </conditionalFormatting>
  <conditionalFormatting sqref="I28">
    <cfRule type="expression" dxfId="206" priority="29">
      <formula>(I28&lt;H28)</formula>
    </cfRule>
  </conditionalFormatting>
  <conditionalFormatting sqref="J32">
    <cfRule type="expression" dxfId="205" priority="28">
      <formula>(J32&lt;I32)</formula>
    </cfRule>
  </conditionalFormatting>
  <conditionalFormatting sqref="K36">
    <cfRule type="expression" dxfId="204" priority="27">
      <formula>(K36&lt;J36)</formula>
    </cfRule>
  </conditionalFormatting>
  <conditionalFormatting sqref="H13">
    <cfRule type="expression" dxfId="203" priority="26">
      <formula>(H13&gt;G13)</formula>
    </cfRule>
  </conditionalFormatting>
  <conditionalFormatting sqref="H17">
    <cfRule type="expression" dxfId="202" priority="25">
      <formula>(H17&gt;G17)</formula>
    </cfRule>
  </conditionalFormatting>
  <conditionalFormatting sqref="H21">
    <cfRule type="expression" dxfId="201" priority="24">
      <formula>(H21&gt;G21)</formula>
    </cfRule>
  </conditionalFormatting>
  <conditionalFormatting sqref="H25">
    <cfRule type="expression" dxfId="200" priority="23">
      <formula>(H25&gt;G25)</formula>
    </cfRule>
  </conditionalFormatting>
  <conditionalFormatting sqref="I29">
    <cfRule type="expression" dxfId="199" priority="22">
      <formula>(I29&gt;H29)</formula>
    </cfRule>
  </conditionalFormatting>
  <conditionalFormatting sqref="H14">
    <cfRule type="expression" dxfId="198" priority="21">
      <formula>H14&lt;$H$8</formula>
    </cfRule>
  </conditionalFormatting>
  <conditionalFormatting sqref="I18">
    <cfRule type="expression" dxfId="197" priority="20">
      <formula>I18&lt;$H$8</formula>
    </cfRule>
  </conditionalFormatting>
  <conditionalFormatting sqref="J22">
    <cfRule type="expression" dxfId="196" priority="19">
      <formula>J22&lt;$H$8</formula>
    </cfRule>
  </conditionalFormatting>
  <conditionalFormatting sqref="K26">
    <cfRule type="expression" dxfId="195" priority="18">
      <formula>K26&lt;$H$8</formula>
    </cfRule>
  </conditionalFormatting>
  <conditionalFormatting sqref="I17">
    <cfRule type="expression" dxfId="194" priority="17">
      <formula>(I17&gt;H17)</formula>
    </cfRule>
  </conditionalFormatting>
  <conditionalFormatting sqref="J21">
    <cfRule type="expression" dxfId="193" priority="16">
      <formula>(J21&gt;I21)</formula>
    </cfRule>
  </conditionalFormatting>
  <conditionalFormatting sqref="K25">
    <cfRule type="expression" dxfId="192" priority="15">
      <formula>(K25&gt;J25)</formula>
    </cfRule>
  </conditionalFormatting>
  <conditionalFormatting sqref="I21">
    <cfRule type="expression" dxfId="191" priority="14">
      <formula>(I21&gt;H21)</formula>
    </cfRule>
  </conditionalFormatting>
  <conditionalFormatting sqref="J25">
    <cfRule type="expression" dxfId="190" priority="13">
      <formula>(J25&gt;I25)</formula>
    </cfRule>
  </conditionalFormatting>
  <conditionalFormatting sqref="K29">
    <cfRule type="expression" dxfId="189" priority="12">
      <formula>(K29&gt;J29)</formula>
    </cfRule>
  </conditionalFormatting>
  <conditionalFormatting sqref="I25">
    <cfRule type="expression" dxfId="188" priority="11">
      <formula>(I25&gt;H25)</formula>
    </cfRule>
  </conditionalFormatting>
  <conditionalFormatting sqref="J29">
    <cfRule type="expression" dxfId="187" priority="10">
      <formula>(J29&gt;I29)</formula>
    </cfRule>
  </conditionalFormatting>
  <conditionalFormatting sqref="K33">
    <cfRule type="expression" dxfId="186" priority="9">
      <formula>(K33&gt;J33)</formula>
    </cfRule>
  </conditionalFormatting>
  <conditionalFormatting sqref="J33">
    <cfRule type="expression" dxfId="185" priority="8">
      <formula>(J33&gt;I33)</formula>
    </cfRule>
  </conditionalFormatting>
  <conditionalFormatting sqref="K37">
    <cfRule type="expression" dxfId="184" priority="7">
      <formula>(K37&gt;J37)</formula>
    </cfRule>
  </conditionalFormatting>
  <conditionalFormatting sqref="L32:M42">
    <cfRule type="expression" dxfId="183" priority="6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L11:L14">
    <cfRule type="expression" dxfId="182" priority="4" stopIfTrue="1">
      <formula>$H$14&lt;$H$8</formula>
    </cfRule>
  </conditionalFormatting>
  <conditionalFormatting sqref="L15:L18">
    <cfRule type="expression" dxfId="181" priority="3" stopIfTrue="1">
      <formula>$I$18&lt;$H$8</formula>
    </cfRule>
  </conditionalFormatting>
  <conditionalFormatting sqref="L19:L22">
    <cfRule type="expression" dxfId="180" priority="2" stopIfTrue="1">
      <formula>$J$22&lt;$H$8</formula>
    </cfRule>
  </conditionalFormatting>
  <conditionalFormatting sqref="L23:L26">
    <cfRule type="expression" dxfId="179" priority="1" stopIfTrue="1">
      <formula>$K$26&lt;$H$8</formula>
    </cfRule>
  </conditionalFormatting>
  <dataValidations count="2">
    <dataValidation type="textLength" allowBlank="1" showInputMessage="1" showErrorMessage="1" sqref="M31 L31:L32 L27:M30 M10:M26 L10 N10:N42">
      <formula1>0</formula1>
      <formula2>500</formula2>
    </dataValidation>
    <dataValidation type="decimal" allowBlank="1" showInputMessage="1" showErrorMessage="1" sqref="G19:I19 H15:K16 J35:J37 J39:J42 H21:I21 G15 D12:H13 G25:I25 J18:K19 G28:I29 I31:I32 J12:K13 G39:H42">
      <formula1>0</formula1>
      <formula2>999999999999999</formula2>
    </dataValidation>
  </dataValidations>
  <printOptions horizontalCentered="1" verticalCentered="1"/>
  <pageMargins left="0.21" right="0.23" top="0.3" bottom="0.36" header="0.2" footer="0.17"/>
  <pageSetup scale="57" orientation="landscape" horizontalDpi="4294967293" r:id="rId1"/>
  <headerFooter alignWithMargins="0">
    <oddFooter>&amp;L&amp;F</oddFooter>
  </headerFooter>
  <ignoredErrors>
    <ignoredError sqref="D14:G15 D18:G19 D16 D17 D22:G23 D20:E20 D21:E21 D25:F25 D24:F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'Circuit Criminal'!$N$11:$N$12</xm:f>
          </x14:formula1>
          <xm:sqref>L11:L26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86"/>
  <sheetViews>
    <sheetView showGridLines="0" topLeftCell="B2" zoomScale="75" zoomScaleNormal="75" zoomScaleSheetLayoutView="70" workbookViewId="0">
      <selection activeCell="J20" sqref="J20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2" width="18.6640625" style="1" customWidth="1"/>
    <col min="13" max="13" width="33.109375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2.44140625" style="1" hidden="1" customWidth="1"/>
    <col min="22" max="22" width="11.5546875" style="1" hidden="1" customWidth="1"/>
    <col min="23" max="23" width="13.33203125" style="1" hidden="1" customWidth="1"/>
    <col min="24" max="25" width="9.109375" style="1" hidden="1" customWidth="1"/>
    <col min="26" max="26" width="9.109375" style="1" customWidth="1"/>
    <col min="27" max="16384" width="9.109375" style="1"/>
  </cols>
  <sheetData>
    <row r="1" spans="1:22" ht="33" hidden="1" customHeight="1" x14ac:dyDescent="0.25"/>
    <row r="2" spans="1:22" ht="22.8" x14ac:dyDescent="0.4">
      <c r="K2" s="2"/>
      <c r="L2" s="2"/>
      <c r="M2" s="2" t="s">
        <v>241</v>
      </c>
      <c r="N2" s="2"/>
      <c r="T2" s="91" t="s">
        <v>48</v>
      </c>
    </row>
    <row r="3" spans="1:22" ht="22.8" x14ac:dyDescent="0.4">
      <c r="K3" s="2"/>
      <c r="L3" s="2"/>
      <c r="M3" s="2" t="s">
        <v>16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39" t="str">
        <f>'Circuit Criminal'!D4</f>
        <v>March 2016</v>
      </c>
      <c r="I4" s="223" t="s">
        <v>248</v>
      </c>
      <c r="J4" s="224"/>
      <c r="K4" s="224"/>
      <c r="L4" s="224"/>
      <c r="M4" s="225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37">
        <f>'Circuit Criminal'!$D$5</f>
        <v>1</v>
      </c>
      <c r="I5" s="226"/>
      <c r="J5" s="227" t="s">
        <v>249</v>
      </c>
      <c r="K5" s="227"/>
      <c r="L5" s="227"/>
      <c r="M5" s="228"/>
      <c r="T5" s="91" t="s">
        <v>50</v>
      </c>
    </row>
    <row r="6" spans="1:22" ht="20.25" customHeight="1" x14ac:dyDescent="0.25">
      <c r="A6" s="3"/>
      <c r="C6" s="6" t="s">
        <v>9</v>
      </c>
      <c r="D6" s="300" t="str">
        <f>'Circuit Criminal'!D6</f>
        <v>Brevard</v>
      </c>
      <c r="E6" s="300"/>
      <c r="F6" s="91"/>
      <c r="G6" s="91"/>
      <c r="H6" s="91"/>
      <c r="I6" s="232"/>
      <c r="J6" s="230" t="s">
        <v>250</v>
      </c>
      <c r="K6" s="230"/>
      <c r="L6" s="230"/>
      <c r="M6" s="231"/>
      <c r="N6" s="91"/>
      <c r="T6" s="91" t="s">
        <v>51</v>
      </c>
    </row>
    <row r="7" spans="1:22" ht="11.25" customHeight="1" x14ac:dyDescent="0.25">
      <c r="A7" s="3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43</v>
      </c>
      <c r="E8" s="284"/>
      <c r="G8" s="6" t="s">
        <v>33</v>
      </c>
      <c r="H8" s="27">
        <v>0.9</v>
      </c>
      <c r="T8" s="91" t="s">
        <v>53</v>
      </c>
    </row>
    <row r="9" spans="1:22" ht="15.6" x14ac:dyDescent="0.3">
      <c r="A9" s="7"/>
      <c r="B9" s="3"/>
      <c r="J9" s="8"/>
      <c r="K9" s="9"/>
      <c r="L9" s="291" t="s">
        <v>187</v>
      </c>
      <c r="M9" s="292"/>
      <c r="N9" s="90">
        <v>1</v>
      </c>
      <c r="O9" s="10" t="s">
        <v>2</v>
      </c>
      <c r="P9" s="1" t="s">
        <v>29</v>
      </c>
      <c r="Q9" s="1">
        <v>1</v>
      </c>
      <c r="T9" s="91" t="s">
        <v>54</v>
      </c>
    </row>
    <row r="10" spans="1:22" s="11" customFormat="1" ht="26.25" customHeight="1" thickBot="1" x14ac:dyDescent="0.3">
      <c r="B10" s="19"/>
      <c r="C10" s="20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118" t="s">
        <v>190</v>
      </c>
      <c r="N10" s="87"/>
      <c r="O10" s="10" t="s">
        <v>3</v>
      </c>
      <c r="P10" s="11" t="s">
        <v>30</v>
      </c>
      <c r="Q10" s="1"/>
      <c r="T10" s="91" t="s">
        <v>55</v>
      </c>
      <c r="V10" s="40"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21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/>
      <c r="M11" s="301"/>
      <c r="N11" s="117" t="s">
        <v>188</v>
      </c>
      <c r="O11" s="10" t="s">
        <v>4</v>
      </c>
      <c r="P11" s="1" t="s">
        <v>31</v>
      </c>
      <c r="Q11" s="1">
        <v>3</v>
      </c>
      <c r="T11" s="91" t="s">
        <v>56</v>
      </c>
      <c r="U11" s="1" t="str">
        <f>D6&amp;" "&amp;D8</f>
        <v>Brevard County Civil</v>
      </c>
      <c r="V11" s="41">
        <v>0.15</v>
      </c>
    </row>
    <row r="12" spans="1:22" ht="15.75" customHeight="1" x14ac:dyDescent="0.25">
      <c r="A12" s="277"/>
      <c r="B12" s="264"/>
      <c r="C12" s="22" t="s">
        <v>23</v>
      </c>
      <c r="D12" s="158">
        <f>LOOKUP($U$11,Lookup!$C$3:$C$672,Lookup!I$3:I$672)</f>
        <v>423305.53</v>
      </c>
      <c r="E12" s="137">
        <f>LOOKUP($U$11,Lookup!$C$3:$C$672,Lookup!J$3:J$672)</f>
        <v>431937.42</v>
      </c>
      <c r="F12" s="137">
        <f>LOOKUP($U$11,Lookup!$C$3:$C$672,Lookup!K$3:K$672)</f>
        <v>431937.42</v>
      </c>
      <c r="G12" s="143">
        <f>LOOKUP($U$11,Lookup!$C$3:$C$672,Lookup!L$3:L$672)</f>
        <v>431942.42</v>
      </c>
      <c r="H12" s="144">
        <v>431942.42</v>
      </c>
      <c r="I12" s="281"/>
      <c r="J12" s="96"/>
      <c r="K12" s="159"/>
      <c r="L12" s="271"/>
      <c r="M12" s="301"/>
      <c r="N12" s="26" t="s">
        <v>189</v>
      </c>
      <c r="O12" s="10" t="s">
        <v>5</v>
      </c>
      <c r="P12" s="1" t="s">
        <v>32</v>
      </c>
      <c r="Q12" s="1">
        <v>4</v>
      </c>
      <c r="T12" s="91" t="s">
        <v>57</v>
      </c>
      <c r="U12" s="1" t="str">
        <f>IF(P13=TRUE,A11,"")</f>
        <v/>
      </c>
    </row>
    <row r="13" spans="1:22" ht="15.75" customHeight="1" thickBot="1" x14ac:dyDescent="0.3">
      <c r="A13" s="277"/>
      <c r="B13" s="264"/>
      <c r="C13" s="22" t="s">
        <v>24</v>
      </c>
      <c r="D13" s="160">
        <f>LOOKUP($U$11,Lookup!$C$3:$C$672,Lookup!D$3:D$672)</f>
        <v>432588.49</v>
      </c>
      <c r="E13" s="138">
        <f>LOOKUP($U$11,Lookup!$C$3:$C$672,Lookup!E$3:E$672)</f>
        <v>432493.49</v>
      </c>
      <c r="F13" s="138">
        <f>LOOKUP($U$11,Lookup!$C$3:$C$672,Lookup!F$3:F$672)</f>
        <v>432408.49</v>
      </c>
      <c r="G13" s="138">
        <f>LOOKUP($U$11,Lookup!$C$3:$C$672,Lookup!G$3:G$672)</f>
        <v>432408.49</v>
      </c>
      <c r="H13" s="54">
        <v>432408.49</v>
      </c>
      <c r="I13" s="282"/>
      <c r="J13" s="96"/>
      <c r="K13" s="159"/>
      <c r="L13" s="271"/>
      <c r="M13" s="301"/>
      <c r="N13" s="26" t="s">
        <v>191</v>
      </c>
      <c r="O13" s="10" t="s">
        <v>6</v>
      </c>
      <c r="P13" s="1" t="b">
        <f>OR(AND(E12&lt;D12,E12&gt;0),AND(F12&lt;E12,F12&gt;0),AND(G12&lt;F12,G12&gt;0),AND(H12&lt;G12,H12&gt;0),AND(F13&gt;E13,E13&gt;0),AND(G13&gt;F13,F13&gt;0),AND(H13&lt;G13,G13&gt;0))</f>
        <v>0</v>
      </c>
      <c r="Q13" s="1">
        <v>5</v>
      </c>
      <c r="T13" s="91" t="s">
        <v>58</v>
      </c>
      <c r="U13" s="1" t="str">
        <f>IF(P14=TRUE,A15,"")</f>
        <v>CGE CQ2-16</v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0.97854089922734666</v>
      </c>
      <c r="E14" s="145">
        <f>IF(ISBLANK(E12),"N/A",IF(OR(E12=0,E12="N/A"),0,E12/E13))</f>
        <v>0.99871426966449828</v>
      </c>
      <c r="F14" s="145">
        <f>IF(ISBLANK(F12),"N/A",IF(OR(F12=0,F12="N/A"),0,F12/F13))</f>
        <v>0.99891059030778973</v>
      </c>
      <c r="G14" s="145">
        <f>IF(ISBLANK(G12),"N/A",IF(OR(G12=0,G12="N/A"),0,G12/G13))</f>
        <v>0.99892215344800472</v>
      </c>
      <c r="H14" s="145">
        <f>IF(ISBLANK(H12),"N/A",IF(AND(H12=0,H13=0,NOT(ISBLANK(H12)),NOT(ISBLANK(H13))),1,H12/H13))</f>
        <v>0.99892215344800472</v>
      </c>
      <c r="I14" s="283"/>
      <c r="J14" s="96"/>
      <c r="K14" s="159"/>
      <c r="L14" s="271"/>
      <c r="M14" s="301"/>
      <c r="N14" s="117" t="s">
        <v>200</v>
      </c>
      <c r="O14" s="10" t="s">
        <v>7</v>
      </c>
      <c r="P14" s="1" t="b">
        <f>OR(AND(F16&lt;E16,F16&gt;0),AND(G16&lt;F16,G16&gt;0),AND(H16&lt;G16,H16&gt;0),AND(I16&lt;H16,I16&gt;0),AND(G17&gt;F17, F17&gt;0),AND(H17&gt;G17, G17&gt;0),AND(I17&lt;H17,I17&gt;0))</f>
        <v>1</v>
      </c>
      <c r="Q14" s="1">
        <v>6</v>
      </c>
      <c r="T14" s="91" t="s">
        <v>59</v>
      </c>
      <c r="U14" s="1" t="str">
        <f>IF(P15=TRUE,A19,"")</f>
        <v/>
      </c>
    </row>
    <row r="15" spans="1:22" ht="15.75" customHeight="1" x14ac:dyDescent="0.25">
      <c r="A15" s="276" t="str">
        <f>LEFT(B15,3)&amp;" "&amp;RIGHT(B15,6)</f>
        <v>CGE CQ2-16</v>
      </c>
      <c r="B15" s="304" t="s">
        <v>208</v>
      </c>
      <c r="C15" s="119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301"/>
      <c r="N15" s="26" t="s">
        <v>192</v>
      </c>
      <c r="O15" s="10" t="s">
        <v>8</v>
      </c>
      <c r="P15" s="1" t="b">
        <f>OR(AND(G20&lt;F20,D10&gt;0),AND(H20&lt;G20,H20&gt;0),AND(I20&lt;H20,I20&gt;0),AND(J20&lt;I20,J20&gt;0),AND(H21&gt;G21, G21&gt;0),AND(I21&gt;H21, H21&gt;0),AND(J21&lt;I21, J21&gt;0))</f>
        <v>0</v>
      </c>
      <c r="Q15" s="1">
        <v>7</v>
      </c>
      <c r="T15" s="91" t="s">
        <v>60</v>
      </c>
      <c r="U15" s="1" t="str">
        <f>IF(P16=TRUE,A23,"")</f>
        <v/>
      </c>
    </row>
    <row r="16" spans="1:22" ht="15.75" customHeight="1" x14ac:dyDescent="0.25">
      <c r="A16" s="277"/>
      <c r="B16" s="305"/>
      <c r="C16" s="22" t="s">
        <v>23</v>
      </c>
      <c r="D16" s="161"/>
      <c r="E16" s="137">
        <f>LOOKUP($U$11,Lookup!$C$3:$C$672,Lookup!S$3:S$672)</f>
        <v>492109.86</v>
      </c>
      <c r="F16" s="137">
        <f>LOOKUP($U$11,Lookup!$C$3:$C$672,Lookup!T$3:T$672)</f>
        <v>503948.86</v>
      </c>
      <c r="G16" s="137">
        <f>LOOKUP($U$11,Lookup!$C$3:$C$672,Lookup!U$3:U$672)</f>
        <v>503898.86</v>
      </c>
      <c r="H16" s="144">
        <v>504240.86</v>
      </c>
      <c r="I16" s="144">
        <v>504240.86</v>
      </c>
      <c r="J16" s="98"/>
      <c r="K16" s="159"/>
      <c r="L16" s="271"/>
      <c r="M16" s="301"/>
      <c r="N16" s="26" t="s">
        <v>193</v>
      </c>
      <c r="O16" s="10" t="s">
        <v>11</v>
      </c>
      <c r="P16" s="1" t="b">
        <f>OR(AND(H24&lt;G24, H24&gt;0),AND(I24&lt;H24, I24&gt;0),AND(J24&lt;I24, J24&gt;0),AND(K24&lt;J24, K24&gt;0),AND(I25&gt;H25, H25&gt;0),AND(J25&gt;I25, I25&gt;0),AND(K25&lt;J25, J25&gt;0))</f>
        <v>0</v>
      </c>
      <c r="Q16" s="1">
        <v>8</v>
      </c>
      <c r="T16" s="91" t="s">
        <v>61</v>
      </c>
      <c r="U16" s="1" t="str">
        <f>IF(P17=TRUE,A27,"")</f>
        <v/>
      </c>
    </row>
    <row r="17" spans="1:21" ht="15.75" customHeight="1" thickBot="1" x14ac:dyDescent="0.3">
      <c r="A17" s="277"/>
      <c r="B17" s="305"/>
      <c r="C17" s="22" t="s">
        <v>24</v>
      </c>
      <c r="D17" s="161"/>
      <c r="E17" s="138">
        <f>LOOKUP($U$11,Lookup!$C$3:$C$672,Lookup!N$3:N$672)</f>
        <v>505201.86</v>
      </c>
      <c r="F17" s="138">
        <f>LOOKUP($U$11,Lookup!$C$3:$C$672,Lookup!O$3:O$672)</f>
        <v>505193.86</v>
      </c>
      <c r="G17" s="138">
        <f>LOOKUP($U$11,Lookup!$C$3:$C$672,Lookup!P$3:P$672)</f>
        <v>505193.86</v>
      </c>
      <c r="H17" s="54">
        <v>505193.86</v>
      </c>
      <c r="I17" s="54">
        <v>505193.86</v>
      </c>
      <c r="J17" s="98"/>
      <c r="K17" s="159"/>
      <c r="L17" s="271"/>
      <c r="M17" s="301"/>
      <c r="N17" s="117" t="s">
        <v>201</v>
      </c>
      <c r="O17" s="10" t="s">
        <v>12</v>
      </c>
      <c r="P17" s="1" t="b">
        <f>OR(AND(I28&lt;H28, I28&gt;0),AND(J28&lt;I28, J28&gt;0),AND(K28&lt;J28, K28&gt;0),AND(J29&gt;I29, I29&gt;0),AND(K29&gt;J29, J29&gt;0))</f>
        <v>0</v>
      </c>
      <c r="Q17" s="1">
        <v>9</v>
      </c>
      <c r="T17" s="91" t="s">
        <v>62</v>
      </c>
      <c r="U17" s="1" t="str">
        <f>IF(P18=TRUE,A31,"")</f>
        <v/>
      </c>
    </row>
    <row r="18" spans="1:21" ht="15.75" customHeight="1" thickBot="1" x14ac:dyDescent="0.3">
      <c r="A18" s="278"/>
      <c r="B18" s="306"/>
      <c r="C18" s="24" t="s">
        <v>26</v>
      </c>
      <c r="D18" s="162"/>
      <c r="E18" s="145">
        <f>IF(ISBLANK(E16),"N/A",IF(OR(E16=0,E16="N/A"),0,E16/E17))</f>
        <v>0.97408560609812478</v>
      </c>
      <c r="F18" s="145">
        <f>IF(ISBLANK(F16),"N/A",IF(OR(F16=0,F16="N/A"),0,F16/F17))</f>
        <v>0.99753559950233761</v>
      </c>
      <c r="G18" s="145">
        <f>IF(ISBLANK(G16),"N/A",IF(OR(G16=0,G16="N/A"),0,G16/G17))</f>
        <v>0.9974366275948009</v>
      </c>
      <c r="H18" s="145">
        <f>IF(ISBLANK(H16),"N/A",IF(AND(H16=0,H17=0,NOT(ISBLANK(H16)),NOT(ISBLANK(H17))),1,H16/H17))</f>
        <v>0.99811359544235156</v>
      </c>
      <c r="I18" s="145">
        <f>IF(ISBLANK(I16),"N/A",IF(AND(I16=0,I17=0,NOT(ISBLANK(I16)),NOT(ISBLANK(I17))),1,I16/I17))</f>
        <v>0.99811359544235156</v>
      </c>
      <c r="J18" s="99"/>
      <c r="K18" s="159"/>
      <c r="L18" s="271"/>
      <c r="M18" s="301"/>
      <c r="N18" s="117" t="s">
        <v>202</v>
      </c>
      <c r="O18" s="10" t="s">
        <v>13</v>
      </c>
      <c r="P18" s="1" t="b">
        <f>OR(AND(J32&lt;I32, J32&gt;0),AND(K32&lt;J32, K32&gt;0),AND(K33&gt;J33, J33&gt;0))</f>
        <v>0</v>
      </c>
      <c r="Q18" s="1">
        <v>10</v>
      </c>
      <c r="T18" s="91" t="s">
        <v>63</v>
      </c>
      <c r="U18" s="1" t="str">
        <f>IF(P19=TRUE,A35,"")</f>
        <v/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119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301"/>
      <c r="N19" s="26" t="s">
        <v>194</v>
      </c>
      <c r="O19" s="10" t="s">
        <v>14</v>
      </c>
      <c r="P19" s="1" t="b">
        <f>OR(K36&lt;J36)</f>
        <v>0</v>
      </c>
      <c r="Q19" s="1">
        <v>11</v>
      </c>
      <c r="T19" s="91" t="s">
        <v>64</v>
      </c>
      <c r="U19" s="1" t="str">
        <f>U12&amp;" "&amp;U13&amp;" "&amp;U14&amp;" "&amp;U15&amp;" "&amp;U16&amp;" "&amp;U17&amp;" "&amp;U18</f>
        <v xml:space="preserve"> CGE CQ2-16     </v>
      </c>
    </row>
    <row r="20" spans="1:21" ht="15.75" customHeight="1" x14ac:dyDescent="0.25">
      <c r="A20" s="277"/>
      <c r="B20" s="264"/>
      <c r="C20" s="22" t="s">
        <v>23</v>
      </c>
      <c r="D20" s="163"/>
      <c r="E20" s="29"/>
      <c r="F20" s="137">
        <f>LOOKUP($U$11,Lookup!$C$3:$C$672,Lookup!AC$3:AC$672)</f>
        <v>504157.79</v>
      </c>
      <c r="G20" s="137">
        <f>LOOKUP($U$11,Lookup!$C$3:$C$672,Lookup!AD$3:AD$672)</f>
        <v>527913.02</v>
      </c>
      <c r="H20" s="144">
        <v>527969.05000000005</v>
      </c>
      <c r="I20" s="144">
        <v>528139.73</v>
      </c>
      <c r="J20" s="144"/>
      <c r="K20" s="165"/>
      <c r="L20" s="271"/>
      <c r="M20" s="301"/>
      <c r="N20" s="82"/>
      <c r="O20" s="10" t="s">
        <v>15</v>
      </c>
      <c r="P20" s="1">
        <f>COUNTIF(P13:P19,"TRUE")</f>
        <v>1</v>
      </c>
      <c r="Q20" s="1">
        <v>12</v>
      </c>
      <c r="T20" s="91" t="s">
        <v>65</v>
      </c>
    </row>
    <row r="21" spans="1:21" s="16" customFormat="1" ht="15.75" customHeight="1" thickBot="1" x14ac:dyDescent="0.3">
      <c r="A21" s="277"/>
      <c r="B21" s="264"/>
      <c r="C21" s="22" t="s">
        <v>24</v>
      </c>
      <c r="D21" s="163"/>
      <c r="E21" s="29"/>
      <c r="F21" s="138">
        <f>LOOKUP($U$11,Lookup!$C$3:$C$672,Lookup!X$3:X$672)</f>
        <v>531302.88</v>
      </c>
      <c r="G21" s="138">
        <f>LOOKUP($U$11,Lookup!$C$3:$C$672,Lookup!Y$3:Y$672)</f>
        <v>531302.88</v>
      </c>
      <c r="H21" s="54">
        <v>531302.88</v>
      </c>
      <c r="I21" s="54">
        <v>531302.88</v>
      </c>
      <c r="J21" s="54"/>
      <c r="K21" s="165"/>
      <c r="L21" s="271"/>
      <c r="M21" s="301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4" t="s">
        <v>26</v>
      </c>
      <c r="D22" s="163"/>
      <c r="E22" s="33"/>
      <c r="F22" s="152">
        <f>IF(ISBLANK(F20),"N/A",IF(OR(F20=0,F20="N/A"),0,F20/F21))</f>
        <v>0.94890844559321785</v>
      </c>
      <c r="G22" s="145">
        <f>IF(ISBLANK(G20),"N/A",IF(OR(G20=0,G20="N/A"),0,G20/G21))</f>
        <v>0.99361972214417515</v>
      </c>
      <c r="H22" s="145">
        <f>IF(ISBLANK(H20),"N/A",IF(AND(H20=0,H21=0,NOT(ISBLANK(H20)),NOT(ISBLANK(H21))),1,H20/H21))</f>
        <v>0.99372517988233011</v>
      </c>
      <c r="I22" s="145">
        <f>IF(ISBLANK(I20),"N/A",IF(AND(I20=0,I21=0,NOT(ISBLANK(I20)),NOT(ISBLANK(I21))),1,I20/I21))</f>
        <v>0.99404642790567965</v>
      </c>
      <c r="J22" s="145" t="str">
        <f>IF(ISBLANK(J20),"N/A",IF(AND(J20=0,J21=0,NOT(ISBLANK(J20)),NOT(ISBLANK(J21))),1,J20/J21))</f>
        <v>N/A</v>
      </c>
      <c r="K22" s="166"/>
      <c r="L22" s="271"/>
      <c r="M22" s="301"/>
      <c r="N22" s="83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304" t="s">
        <v>210</v>
      </c>
      <c r="C23" s="21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303"/>
      <c r="N23" s="94"/>
      <c r="O23" s="101" t="b">
        <v>0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IF(AND('Circuit Criminal'!D4=1,S36=1),A11,IF(AND('Circuit Criminal'!D4=2,S36=1),A15,IF(AND('Circuit Criminal'!D4=3,S36=1),A19,IF(AND('Circuit Criminal'!D4=4,S36=1),A23,""))))</f>
        <v/>
      </c>
      <c r="T23" s="91" t="s">
        <v>68</v>
      </c>
    </row>
    <row r="24" spans="1:21" s="18" customFormat="1" ht="15.75" customHeight="1" x14ac:dyDescent="0.3">
      <c r="A24" s="277"/>
      <c r="B24" s="305"/>
      <c r="C24" s="22" t="s">
        <v>23</v>
      </c>
      <c r="D24" s="163"/>
      <c r="E24" s="33"/>
      <c r="F24" s="29"/>
      <c r="G24" s="139">
        <f>LOOKUP($U$11,Lookup!$C$3:$C$672,Lookup!AM$3:AM$672)</f>
        <v>448149.09</v>
      </c>
      <c r="H24" s="144">
        <v>466999.59</v>
      </c>
      <c r="I24" s="144">
        <v>467060.59</v>
      </c>
      <c r="J24" s="144"/>
      <c r="K24" s="169"/>
      <c r="L24" s="271"/>
      <c r="M24" s="301"/>
      <c r="N24" s="103"/>
      <c r="O24" s="120" t="b">
        <v>0</v>
      </c>
      <c r="P24" s="120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IF(AND('Circuit Criminal'!D4=1,S37=1),A15,IF(AND('Circuit Criminal'!D4=2,S37=1),A19,IF(AND('Circuit Criminal'!D4=3,S37=1),A23,IF(AND('Circuit Criminal'!D4=4,S37=1),A27,""))))</f>
        <v/>
      </c>
      <c r="T24" s="91" t="s">
        <v>69</v>
      </c>
    </row>
    <row r="25" spans="1:21" ht="15.75" customHeight="1" thickBot="1" x14ac:dyDescent="0.3">
      <c r="A25" s="277"/>
      <c r="B25" s="305"/>
      <c r="C25" s="22" t="s">
        <v>24</v>
      </c>
      <c r="D25" s="287"/>
      <c r="E25" s="289"/>
      <c r="F25" s="269"/>
      <c r="G25" s="140">
        <f>LOOKUP($U$11,Lookup!$C$3:$C$672,Lookup!AH$3:AH$672)</f>
        <v>470250.32</v>
      </c>
      <c r="H25" s="54">
        <v>470250.32</v>
      </c>
      <c r="I25" s="54">
        <v>470250.32</v>
      </c>
      <c r="J25" s="54"/>
      <c r="K25" s="54"/>
      <c r="L25" s="271"/>
      <c r="M25" s="301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IF(AND('Circuit Criminal'!D4=1,S38=1),A19,IF(AND('Circuit Criminal'!D4=2,S38=1),A23,IF(AND('Circuit Criminal'!D4=3,S38=1),A27,IF(AND('Circuit Criminal'!D4=4,S38=1),A31,""))))</f>
        <v/>
      </c>
      <c r="T25" s="91" t="s">
        <v>70</v>
      </c>
    </row>
    <row r="26" spans="1:21" ht="15.75" customHeight="1" thickBot="1" x14ac:dyDescent="0.3">
      <c r="A26" s="278"/>
      <c r="B26" s="306"/>
      <c r="C26" s="24" t="s">
        <v>26</v>
      </c>
      <c r="D26" s="288"/>
      <c r="E26" s="290"/>
      <c r="F26" s="270"/>
      <c r="G26" s="153">
        <f>IF(ISBLANK(G24),"N/A",IF(OR(G24=0,G24="N/A"),0,G24/G25))</f>
        <v>0.95300113777700357</v>
      </c>
      <c r="H26" s="145">
        <f>IF(ISBLANK(H24),"N/A",IF(AND(H24=0,H25=0,NOT(ISBLANK(H24)),NOT(ISBLANK(H25))),1,H24/H25))</f>
        <v>0.99308723490076523</v>
      </c>
      <c r="I26" s="145">
        <f>IF(ISBLANK(I24),"N/A",IF(AND(I24=0,I25=0,NOT(ISBLANK(I24)),NOT(ISBLANK(I25))),1,I24/I25))</f>
        <v>0.99321695304747482</v>
      </c>
      <c r="J26" s="145" t="str">
        <f>IF(ISBLANK(J24),"N/A",IF(AND(J24=0,J25=0,NOT(ISBLANK(J24)),NOT(ISBLANK(J25))),1,J24/J25))</f>
        <v>N/A</v>
      </c>
      <c r="K26" s="171" t="str">
        <f>IF(ISBLANK(K24),"N/A",IF(AND(K24=0,K25=0,NOT(ISBLANK(K24)),NOT(ISBLANK(K25))),1,K24/K25))</f>
        <v>N/A</v>
      </c>
      <c r="L26" s="271"/>
      <c r="M26" s="302"/>
      <c r="N26" s="84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IF(AND('Circuit Criminal'!D4=1,S39=1),A23,IF(AND('Circuit Criminal'!D4=2,S39=1),A27,IF(AND('Circuit Criminal'!D4=3,S39=1),A31,IF(AND('Circuit Criminal'!D4=4,S39=1),A35,""))))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21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94"/>
      <c r="M27" s="94"/>
      <c r="N27" s="9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IF(AND('Circuit Criminal'!D4=1,S40=1),A27,IF(AND('Circuit Criminal'!D4=2,S40=1),A31,IF(AND('Circuit Criminal'!D4=3,S40=1),A35,IF(AND('Circuit Criminal'!D4=4,S40=1),A39,""))))</f>
        <v/>
      </c>
      <c r="T27" s="91" t="s">
        <v>72</v>
      </c>
    </row>
    <row r="28" spans="1:21" ht="15.75" customHeight="1" x14ac:dyDescent="0.25">
      <c r="A28" s="277"/>
      <c r="B28" s="264"/>
      <c r="C28" s="22" t="s">
        <v>23</v>
      </c>
      <c r="D28" s="173"/>
      <c r="E28" s="33"/>
      <c r="F28" s="33"/>
      <c r="G28" s="29"/>
      <c r="H28" s="144">
        <v>474778.08</v>
      </c>
      <c r="I28" s="144">
        <v>483042.08</v>
      </c>
      <c r="J28" s="144"/>
      <c r="K28" s="169"/>
      <c r="L28" s="103"/>
      <c r="M28" s="103"/>
      <c r="N28" s="103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22" t="s">
        <v>24</v>
      </c>
      <c r="D29" s="173"/>
      <c r="E29" s="33"/>
      <c r="F29" s="33"/>
      <c r="G29" s="29"/>
      <c r="H29" s="54">
        <v>486738.08</v>
      </c>
      <c r="I29" s="54">
        <v>486738.08</v>
      </c>
      <c r="J29" s="54"/>
      <c r="K29" s="54"/>
      <c r="L29" s="103"/>
      <c r="M29" s="103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4" t="s">
        <v>26</v>
      </c>
      <c r="D30" s="174"/>
      <c r="E30" s="30"/>
      <c r="F30" s="30"/>
      <c r="G30" s="30"/>
      <c r="H30" s="145">
        <f>IF(ISBLANK(H28),"N/A",IF(AND(H28=0,H29=0,NOT(ISBLANK(H28)),NOT(ISBLANK(H29))),1,H28/H29))</f>
        <v>0.97542826318417497</v>
      </c>
      <c r="I30" s="145">
        <f>IF(ISBLANK(I28),"N/A",IF(AND(I28=0,I29=0,NOT(ISBLANK(I28)),NOT(ISBLANK(I29))),1,I28/I29))</f>
        <v>0.99240659370641393</v>
      </c>
      <c r="J30" s="145" t="str">
        <f>IF(ISBLANK(J28),"N/A",IF(AND(J28=0,J29=0,NOT(ISBLANK(J28)),NOT(ISBLANK(J29))),1,J28/J29))</f>
        <v>N/A</v>
      </c>
      <c r="K30" s="171" t="str">
        <f>IF(ISBLANK(K28),"N/A",IF(AND(K28=0,K29=0,NOT(ISBLANK(K28)),NOT(ISBLANK(K29))),1,K28/K29))</f>
        <v>N/A</v>
      </c>
      <c r="L30" s="84"/>
      <c r="M30" s="84"/>
      <c r="N30" s="84"/>
      <c r="O30" s="101" t="b">
        <v>0</v>
      </c>
      <c r="P30" s="101" t="b">
        <v>0</v>
      </c>
      <c r="Q30" s="1" t="str">
        <f>IF(AND(OR(ISBLANK(J20),ISBLANK(J21)),O30=FALSE),"Red","Gray")</f>
        <v>Red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304" t="s">
        <v>258</v>
      </c>
      <c r="C31" s="119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94"/>
      <c r="O31" s="101" t="b">
        <v>0</v>
      </c>
      <c r="P31" s="101" t="b">
        <v>0</v>
      </c>
      <c r="Q31" s="1" t="str">
        <f>IF(AND(OR(ISBLANK(J24),ISBLANK(J25)),O31=FALSE),"Red","Gray")</f>
        <v>Red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305"/>
      <c r="C32" s="22" t="s">
        <v>23</v>
      </c>
      <c r="D32" s="175"/>
      <c r="E32" s="74"/>
      <c r="F32" s="74"/>
      <c r="G32" s="74"/>
      <c r="H32" s="74"/>
      <c r="I32" s="144">
        <v>477367.87</v>
      </c>
      <c r="J32" s="144"/>
      <c r="K32" s="169"/>
      <c r="L32" s="257"/>
      <c r="M32" s="258"/>
      <c r="N32" s="103"/>
      <c r="O32" s="101" t="b">
        <v>0</v>
      </c>
      <c r="P32" s="101" t="b">
        <v>0</v>
      </c>
      <c r="Q32" s="1" t="str">
        <f>IF(AND(OR(ISBLANK(J28),ISBLANK(J29)),O32=FALSE),"Red","Gray")</f>
        <v>Red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305"/>
      <c r="C33" s="22" t="s">
        <v>24</v>
      </c>
      <c r="D33" s="175"/>
      <c r="E33" s="74"/>
      <c r="F33" s="74"/>
      <c r="G33" s="74"/>
      <c r="H33" s="74"/>
      <c r="I33" s="54">
        <v>490168.86</v>
      </c>
      <c r="J33" s="54"/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Red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306"/>
      <c r="C34" s="24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0.97388453032287692</v>
      </c>
      <c r="J34" s="145" t="str">
        <f>IF(ISBLANK(J32),"N/A",IF(AND(J32=0,J33=0,NOT(ISBLANK(J32)),NOT(ISBLANK(J33))),1,J32/J33))</f>
        <v>N/A</v>
      </c>
      <c r="K34" s="171" t="str">
        <f>IF(ISBLANK(K32),"N/A",IF(AND(K32=0,K33=0,NOT(ISBLANK(K32)),NOT(ISBLANK(K33))),1,K32/K33))</f>
        <v>N/A</v>
      </c>
      <c r="L34" s="259"/>
      <c r="M34" s="260"/>
      <c r="N34" s="84"/>
      <c r="O34" s="121" t="b">
        <v>0</v>
      </c>
      <c r="P34" s="105" t="b">
        <v>0</v>
      </c>
      <c r="Q34" s="1" t="str">
        <f>IF(AND(OR(ISBLANK(J36),ISBLANK(J37)),O34=FALSE),"Red","Gray")</f>
        <v>Red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119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9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22" t="s">
        <v>23</v>
      </c>
      <c r="D36" s="177"/>
      <c r="E36" s="107"/>
      <c r="F36" s="107"/>
      <c r="G36" s="107"/>
      <c r="H36" s="107"/>
      <c r="I36" s="108"/>
      <c r="J36" s="144"/>
      <c r="K36" s="169"/>
      <c r="L36" s="259"/>
      <c r="M36" s="260"/>
      <c r="N36" s="103"/>
      <c r="O36" s="14" t="str">
        <f>IF(AND('Circuit Criminal'!$D$4=1,Q23="Red"),"Red","Gray")</f>
        <v>Gray</v>
      </c>
      <c r="P36" s="14" t="str">
        <f>IF(AND('Circuit Criminal'!$D$4=2,R23="Red"),"Red","Gray")</f>
        <v>Gray</v>
      </c>
      <c r="Q36" s="14" t="str">
        <f>IF(AND('Circuit Criminal'!$D$4=3,Q30="Red"),"Red","Gray")</f>
        <v>Gray</v>
      </c>
      <c r="R36" s="14" t="str">
        <f>IF(AND('Circuit Criminal'!$D$4=4,R30="Red"),"Red","Gray")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22" t="s">
        <v>24</v>
      </c>
      <c r="D37" s="177"/>
      <c r="E37" s="107"/>
      <c r="F37" s="107"/>
      <c r="G37" s="107"/>
      <c r="H37" s="107"/>
      <c r="I37" s="107"/>
      <c r="J37" s="54"/>
      <c r="K37" s="54"/>
      <c r="L37" s="259"/>
      <c r="M37" s="260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23" t="s">
        <v>26</v>
      </c>
      <c r="D38" s="178"/>
      <c r="E38" s="112"/>
      <c r="F38" s="112"/>
      <c r="G38" s="112"/>
      <c r="H38" s="112"/>
      <c r="I38" s="112"/>
      <c r="J38" s="145" t="str">
        <f>IF(ISBLANK(J36),"N/A",IF(AND(J36=0,J37=0,NOT(ISBLANK(J36)),NOT(ISBLANK(J37))),1,J36/J37))</f>
        <v>N/A</v>
      </c>
      <c r="K38" s="171" t="str">
        <f>IF(ISBLANK(K36),"N/A",IF(AND(K36=0,K37=0,NOT(ISBLANK(K36)),NOT(ISBLANK(K37))),1,K36/K37))</f>
        <v>N/A</v>
      </c>
      <c r="L38" s="259"/>
      <c r="M38" s="260"/>
      <c r="N38" s="84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304" t="s">
        <v>260</v>
      </c>
      <c r="C39" s="21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9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305"/>
      <c r="C40" s="122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103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305"/>
      <c r="C41" s="122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306"/>
      <c r="C42" s="123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84"/>
      <c r="O42" s="35">
        <f>SUM(O41:R41)</f>
        <v>0</v>
      </c>
      <c r="P42" s="15"/>
      <c r="T42" s="91" t="s">
        <v>87</v>
      </c>
    </row>
    <row r="43" spans="1:20" ht="61.2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90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92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93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94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95</v>
      </c>
    </row>
    <row r="49" spans="1:20" s="11" customFormat="1" ht="20.2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9"/>
      <c r="Q49" s="10"/>
      <c r="T49" s="91" t="s">
        <v>92</v>
      </c>
    </row>
    <row r="50" spans="1:20" ht="15.75" hidden="1" customHeight="1" x14ac:dyDescent="0.25">
      <c r="O50" s="13"/>
      <c r="P50" s="13"/>
      <c r="Q50" s="10"/>
      <c r="T50" s="91" t="s">
        <v>93</v>
      </c>
    </row>
    <row r="51" spans="1:20" ht="15.75" hidden="1" customHeight="1" x14ac:dyDescent="0.25">
      <c r="O51" s="14"/>
      <c r="P51" s="15"/>
      <c r="Q51" s="10"/>
      <c r="T51" s="91" t="s">
        <v>94</v>
      </c>
    </row>
    <row r="52" spans="1:20" ht="15.75" hidden="1" customHeight="1" x14ac:dyDescent="0.25">
      <c r="O52" s="14"/>
      <c r="P52" s="15"/>
      <c r="Q52" s="10"/>
      <c r="T52" s="91" t="s">
        <v>95</v>
      </c>
    </row>
    <row r="53" spans="1:20" ht="15.75" hidden="1" customHeight="1" x14ac:dyDescent="0.25">
      <c r="A53" s="275"/>
      <c r="B53" s="275"/>
      <c r="K53" s="14"/>
      <c r="L53" s="14"/>
      <c r="M53" s="14"/>
      <c r="N53" s="14"/>
      <c r="O53" s="15"/>
      <c r="P53" s="10"/>
      <c r="T53" s="91" t="s">
        <v>98</v>
      </c>
    </row>
    <row r="54" spans="1:20" ht="15.75" customHeight="1" x14ac:dyDescent="0.25">
      <c r="K54" s="14"/>
      <c r="L54" s="14"/>
      <c r="M54" s="14"/>
      <c r="N54" s="14"/>
      <c r="O54" s="15"/>
      <c r="P54" s="10"/>
      <c r="T54" s="91" t="s">
        <v>99</v>
      </c>
    </row>
    <row r="55" spans="1:20" ht="15.75" customHeight="1" x14ac:dyDescent="0.25">
      <c r="K55" s="14"/>
      <c r="L55" s="14"/>
      <c r="M55" s="14"/>
      <c r="N55" s="14"/>
      <c r="O55" s="15"/>
      <c r="P55" s="10"/>
      <c r="T55" s="91" t="s">
        <v>100</v>
      </c>
    </row>
    <row r="56" spans="1:20" ht="15.75" hidden="1" customHeight="1" x14ac:dyDescent="0.25">
      <c r="B56" s="1">
        <f>MAX('Circuit Civil'!B56:B99)</f>
        <v>6</v>
      </c>
      <c r="D56" s="1" t="s">
        <v>128</v>
      </c>
      <c r="F56" s="1" t="s">
        <v>129</v>
      </c>
      <c r="G56" s="1" t="s">
        <v>130</v>
      </c>
      <c r="H56" s="1" t="s">
        <v>131</v>
      </c>
      <c r="I56" s="1" t="s">
        <v>132</v>
      </c>
      <c r="J56" s="1" t="s">
        <v>139</v>
      </c>
      <c r="K56" s="14"/>
      <c r="L56" s="14"/>
      <c r="M56" s="14"/>
      <c r="N56" s="14"/>
      <c r="O56" s="15"/>
      <c r="T56" s="91" t="s">
        <v>101</v>
      </c>
    </row>
    <row r="57" spans="1:20" ht="69" hidden="1" customHeight="1" x14ac:dyDescent="0.25">
      <c r="A57" s="1" t="str">
        <f>D$8</f>
        <v>County Civil</v>
      </c>
      <c r="B57" s="1">
        <f>IF(E57="YES",MAX(B56)+1,0)</f>
        <v>0</v>
      </c>
      <c r="C57" s="1" t="str">
        <f>A$11</f>
        <v>CGE CQ1-16</v>
      </c>
      <c r="D57" s="42" t="str">
        <f>"After 3rd Q, Collections went up by more than set percentage of: "&amp;TEXT(J57,"#0%")</f>
        <v>After 3rd Q, Collections went up by more than set percentage of: 500%</v>
      </c>
      <c r="E57" s="1" t="str">
        <f>IF(MAX(F57:G57)&gt;V$10,"YES","NO")</f>
        <v>NO</v>
      </c>
      <c r="F57" s="43">
        <f>IFERROR(IF(NOT(ISBLANK(G12)),(G12-F12)/F12,0),0)</f>
        <v>1.1575750950218669E-5</v>
      </c>
      <c r="G57" s="43">
        <f>IFERROR(IF(NOT(ISBLANK(H12)),(H12-G12)/G12,0),0)</f>
        <v>0</v>
      </c>
      <c r="J57" s="41">
        <f>V$10</f>
        <v>5</v>
      </c>
      <c r="K57" s="14"/>
      <c r="L57" s="14"/>
      <c r="M57" s="14"/>
      <c r="N57" s="14"/>
      <c r="O57" s="15"/>
      <c r="T57" s="91" t="s">
        <v>102</v>
      </c>
    </row>
    <row r="58" spans="1:20" ht="72.75" hidden="1" customHeight="1" x14ac:dyDescent="0.25">
      <c r="A58" s="1" t="str">
        <f t="shared" ref="A58:A86" si="0">D$8</f>
        <v>County Civil</v>
      </c>
      <c r="B58" s="1">
        <f>IF(E58="YES",MAX(B$56:B57)+1,0)</f>
        <v>0</v>
      </c>
      <c r="C58" s="1" t="str">
        <f>A$11</f>
        <v>CGE CQ1-16</v>
      </c>
      <c r="D58" s="42" t="str">
        <f>"Assessments dropped by more than set percentage of: "&amp;TEXT(J58,"#0%")</f>
        <v>Assessments dropped by more than set percentage of: 15%</v>
      </c>
      <c r="E58" s="1" t="str">
        <f>IF(MIN(F58:I58)&lt;(-1*V$11),"YES","NO")</f>
        <v>NO</v>
      </c>
      <c r="F58" s="43">
        <f>IFERROR(IF(NOT(ISBLANK(E13)),(E13-D13)/D13,0),0)</f>
        <v>-2.1960824708951458E-4</v>
      </c>
      <c r="G58" s="43">
        <f>IFERROR(IF(NOT(ISBLANK(F13)),(F13-E13)/E13,0),0)</f>
        <v>-1.9653475015311793E-4</v>
      </c>
      <c r="H58" s="43">
        <f>IFERROR(IF(NOT(ISBLANK(G13)),(G13-F13)/F13,0),0)</f>
        <v>0</v>
      </c>
      <c r="I58" s="43">
        <f>IFERROR(IF(NOT(ISBLANK(H13)),(H13-G13)/G13,0),0)</f>
        <v>0</v>
      </c>
      <c r="J58" s="41">
        <f>V$11</f>
        <v>0.15</v>
      </c>
      <c r="K58" s="14"/>
      <c r="L58" s="14"/>
      <c r="M58" s="14"/>
      <c r="N58" s="14"/>
      <c r="O58" s="15"/>
      <c r="P58" s="10"/>
      <c r="T58" s="91" t="s">
        <v>107</v>
      </c>
    </row>
    <row r="59" spans="1:20" ht="52.5" hidden="1" customHeight="1" x14ac:dyDescent="0.25">
      <c r="A59" s="1" t="str">
        <f t="shared" si="0"/>
        <v>County Civil</v>
      </c>
      <c r="B59" s="1">
        <f>IF(E59="YES",MAX(B$56:B58)+1,0)</f>
        <v>0</v>
      </c>
      <c r="C59" s="1" t="str">
        <f>A$11</f>
        <v>CGE CQ1-16</v>
      </c>
      <c r="D59" s="42" t="str">
        <f>"The 5th Quarter Collection Rate did not meet the established performance measure standard of: "&amp;TEXT(J59,"#0%")</f>
        <v>The 5th Quarter Collection Rate did not meet the established performance measure standard of: 90%</v>
      </c>
      <c r="E59" s="1" t="str">
        <f>IF(F59="N/A","NO",IF(F59&lt;H$8,"YES","NO"))</f>
        <v>NO</v>
      </c>
      <c r="F59" s="44">
        <f>H14</f>
        <v>0.99892215344800472</v>
      </c>
      <c r="J59" s="41">
        <f>H$8</f>
        <v>0.9</v>
      </c>
      <c r="K59" s="14"/>
      <c r="L59" s="14"/>
      <c r="M59" s="14"/>
      <c r="N59" s="14"/>
      <c r="O59" s="15"/>
      <c r="P59" s="10"/>
      <c r="T59" s="91" t="s">
        <v>114</v>
      </c>
    </row>
    <row r="60" spans="1:20" ht="45" hidden="1" customHeight="1" x14ac:dyDescent="0.25">
      <c r="A60" s="1" t="str">
        <f t="shared" si="0"/>
        <v>County Civil</v>
      </c>
      <c r="B60" s="1">
        <f>IF(E60="YES",MAX(B$56:B59)+1,0)</f>
        <v>0</v>
      </c>
      <c r="C60" s="1" t="str">
        <f>A$11</f>
        <v>CGE CQ1-16</v>
      </c>
      <c r="D60" s="42" t="s">
        <v>133</v>
      </c>
      <c r="E60" s="1" t="str">
        <f>IF(MIN(F60:I60)&lt;0,"YES","NO")</f>
        <v>NO</v>
      </c>
      <c r="F60" s="43">
        <f t="shared" ref="F60:I61" si="1">IFERROR(IF(NOT(ISBLANK(E12)),(E12-D12)/D12,0),0)</f>
        <v>2.0391630603077533E-2</v>
      </c>
      <c r="G60" s="43">
        <f t="shared" si="1"/>
        <v>0</v>
      </c>
      <c r="H60" s="43">
        <f t="shared" si="1"/>
        <v>1.1575750950218669E-5</v>
      </c>
      <c r="I60" s="43">
        <f t="shared" si="1"/>
        <v>0</v>
      </c>
      <c r="K60" s="14"/>
      <c r="L60" s="14"/>
      <c r="M60" s="14"/>
      <c r="N60" s="14"/>
      <c r="O60" s="15"/>
    </row>
    <row r="61" spans="1:20" ht="41.4" hidden="1" x14ac:dyDescent="0.25">
      <c r="A61" s="1" t="str">
        <f t="shared" si="0"/>
        <v>County Civil</v>
      </c>
      <c r="B61" s="1">
        <f>IF(E61="YES",MAX(B$56:B60)+1,0)</f>
        <v>0</v>
      </c>
      <c r="C61" s="1" t="str">
        <f>A$11</f>
        <v>CGE CQ1-16</v>
      </c>
      <c r="D61" s="42" t="s">
        <v>134</v>
      </c>
      <c r="E61" s="1" t="str">
        <f>IF(MAX(F61:I61)&gt;0,"YES","NO")</f>
        <v>NO</v>
      </c>
      <c r="F61" s="43">
        <f t="shared" si="1"/>
        <v>-2.1960824708951458E-4</v>
      </c>
      <c r="G61" s="43">
        <f t="shared" si="1"/>
        <v>-1.9653475015311793E-4</v>
      </c>
      <c r="H61" s="43">
        <f t="shared" si="1"/>
        <v>0</v>
      </c>
      <c r="I61" s="43">
        <f t="shared" si="1"/>
        <v>0</v>
      </c>
      <c r="K61" s="14"/>
      <c r="L61" s="14"/>
      <c r="M61" s="14"/>
      <c r="N61" s="14"/>
    </row>
    <row r="62" spans="1:20" s="16" customFormat="1" ht="65.25" hidden="1" customHeight="1" x14ac:dyDescent="0.25">
      <c r="A62" s="1" t="str">
        <f t="shared" si="0"/>
        <v>County Civil</v>
      </c>
      <c r="B62" s="1">
        <f>IF(E62="YES",MAX(B$56:B61)+1,0)</f>
        <v>0</v>
      </c>
      <c r="C62" s="1" t="str">
        <f>A$15</f>
        <v>CGE CQ2-16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IFERROR(IF(NOT(ISBLANK(H16)),(H16-G16)/G16,0),0)</f>
        <v>6.7870762795534014E-4</v>
      </c>
      <c r="G62" s="43">
        <f>IFERROR(IF(NOT(ISBLANK(I16)),(I16-H16)/H16,0),0)</f>
        <v>0</v>
      </c>
      <c r="H62" s="43"/>
      <c r="I62" s="1"/>
      <c r="J62" s="41">
        <f>V$10</f>
        <v>5</v>
      </c>
      <c r="K62" s="14"/>
      <c r="L62" s="14"/>
      <c r="M62" s="14"/>
      <c r="N62" s="14"/>
      <c r="O62" s="11"/>
      <c r="P62" s="1"/>
      <c r="T62" s="91" t="s">
        <v>103</v>
      </c>
    </row>
    <row r="63" spans="1:20" ht="60.75" hidden="1" customHeight="1" x14ac:dyDescent="0.25">
      <c r="A63" s="1" t="str">
        <f t="shared" si="0"/>
        <v>County Civil</v>
      </c>
      <c r="B63" s="1">
        <f>IF(E63="YES",MAX(B$56:B62)+1,0)</f>
        <v>0</v>
      </c>
      <c r="C63" s="1" t="str">
        <f>A$15</f>
        <v>CGE CQ2-16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IFERROR(IF(NOT(ISBLANK(F17)),(F17-E17)/E17,0),0)</f>
        <v>-1.5835254446608728E-5</v>
      </c>
      <c r="G63" s="43">
        <f>IFERROR(IF(NOT(ISBLANK(G17)),(G17-F17)/F17,0),0)</f>
        <v>0</v>
      </c>
      <c r="H63" s="43">
        <f>IFERROR(IF(NOT(ISBLANK(H17)),(H17-G17)/G17,0),0)</f>
        <v>0</v>
      </c>
      <c r="I63" s="43">
        <f>IFERROR(IF(NOT(ISBLANK(I17)),(I17-H17)/H17,0),0)</f>
        <v>0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108</v>
      </c>
    </row>
    <row r="64" spans="1:20" ht="52.5" hidden="1" customHeight="1" x14ac:dyDescent="0.25">
      <c r="A64" s="1" t="str">
        <f t="shared" si="0"/>
        <v>County Civil</v>
      </c>
      <c r="B64" s="1">
        <f>IF(E64="YES",MAX(B$56:B63)+1,0)</f>
        <v>7</v>
      </c>
      <c r="C64" s="1" t="str">
        <f>A$15</f>
        <v>CGE CQ2-16</v>
      </c>
      <c r="D64" s="42" t="s">
        <v>133</v>
      </c>
      <c r="E64" s="1" t="str">
        <f>IF(MIN(F64:I64)&lt;0,"YES","NO")</f>
        <v>YES</v>
      </c>
      <c r="F64" s="43">
        <f t="shared" ref="F64:I65" si="2">IFERROR(IF(NOT(ISBLANK(F16)),(F16-E16)/E16,0),0)</f>
        <v>2.4057636235941302E-2</v>
      </c>
      <c r="G64" s="43">
        <f t="shared" si="2"/>
        <v>-9.921641652289878E-5</v>
      </c>
      <c r="H64" s="43">
        <f t="shared" si="2"/>
        <v>6.7870762795534014E-4</v>
      </c>
      <c r="I64" s="43">
        <f t="shared" si="2"/>
        <v>0</v>
      </c>
      <c r="K64" s="14"/>
      <c r="L64" s="14"/>
      <c r="M64" s="14"/>
      <c r="N64" s="14"/>
      <c r="O64" s="15"/>
      <c r="P64" s="10"/>
    </row>
    <row r="65" spans="1:20" s="16" customFormat="1" ht="45" hidden="1" customHeight="1" x14ac:dyDescent="0.25">
      <c r="A65" s="1" t="str">
        <f t="shared" si="0"/>
        <v>County Civil</v>
      </c>
      <c r="B65" s="1">
        <f>IF(E65="YES",MAX(B$56:B64)+1,0)</f>
        <v>0</v>
      </c>
      <c r="C65" s="1" t="str">
        <f>A$15</f>
        <v>CGE CQ2-16</v>
      </c>
      <c r="D65" s="42" t="s">
        <v>134</v>
      </c>
      <c r="E65" s="1" t="str">
        <f>IF(MAX(F65:I65)&gt;0,"YES","NO")</f>
        <v>NO</v>
      </c>
      <c r="F65" s="43">
        <f t="shared" si="2"/>
        <v>-1.5835254446608728E-5</v>
      </c>
      <c r="G65" s="43">
        <f t="shared" si="2"/>
        <v>0</v>
      </c>
      <c r="H65" s="43">
        <f t="shared" si="2"/>
        <v>0</v>
      </c>
      <c r="I65" s="43">
        <f t="shared" si="2"/>
        <v>0</v>
      </c>
      <c r="J65" s="1"/>
      <c r="K65" s="14"/>
      <c r="L65" s="14"/>
      <c r="M65" s="14"/>
      <c r="N65" s="14"/>
      <c r="O65" s="11"/>
      <c r="P65" s="1"/>
    </row>
    <row r="66" spans="1:20" ht="96.6" hidden="1" x14ac:dyDescent="0.25">
      <c r="A66" s="1" t="str">
        <f t="shared" si="0"/>
        <v>County Civil</v>
      </c>
      <c r="B66" s="1">
        <f>IF(E66="YES",MAX(B$56:B65)+1,0)</f>
        <v>0</v>
      </c>
      <c r="C66" s="1" t="str">
        <f>A$15</f>
        <v>CGE CQ2-16</v>
      </c>
      <c r="D66" s="42" t="str">
        <f>"The 5th Quarter Collection Rate did not meet the established performance measure standard of: "&amp;TEXT(J66,"#0%")</f>
        <v>The 5th Quarter Collection Rate did not meet the established performance measure standard of: 90%</v>
      </c>
      <c r="E66" s="1" t="str">
        <f>IF(F66="N/A","NO",IF(F66&lt;H$8,"YES","NO"))</f>
        <v>NO</v>
      </c>
      <c r="F66" s="44">
        <f>I18</f>
        <v>0.99811359544235156</v>
      </c>
      <c r="J66" s="41">
        <f>H$8</f>
        <v>0.9</v>
      </c>
      <c r="K66" s="14"/>
      <c r="L66" s="14"/>
      <c r="M66" s="14"/>
      <c r="N66" s="14"/>
    </row>
    <row r="67" spans="1:20" ht="65.25" hidden="1" customHeight="1" x14ac:dyDescent="0.3">
      <c r="A67" s="1" t="str">
        <f t="shared" si="0"/>
        <v>County Civil</v>
      </c>
      <c r="B67" s="1">
        <f>IF(E67="YES",MAX(B$56:B66)+1,0)</f>
        <v>0</v>
      </c>
      <c r="C67" s="1" t="str">
        <f>A$19</f>
        <v>CGE CQ3-16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IFERROR(IF(NOT(ISBLANK(I20)),(I20-H20)/H20,0),0)</f>
        <v>3.2327652539468891E-4</v>
      </c>
      <c r="G67" s="43">
        <f>IFERROR(IF(NOT(ISBLANK(J20)),(J20-I20)/I20,0),0)</f>
        <v>0</v>
      </c>
      <c r="J67" s="41">
        <f>V$10</f>
        <v>5</v>
      </c>
      <c r="K67" s="14"/>
      <c r="L67" s="14"/>
      <c r="M67" s="14"/>
      <c r="N67" s="14"/>
      <c r="O67" s="11"/>
      <c r="P67" s="18"/>
      <c r="T67" s="91" t="s">
        <v>104</v>
      </c>
    </row>
    <row r="68" spans="1:20" ht="60.75" hidden="1" customHeight="1" x14ac:dyDescent="0.25">
      <c r="A68" s="1" t="str">
        <f t="shared" si="0"/>
        <v>County Civil</v>
      </c>
      <c r="B68" s="1">
        <f>IF(E68="YES",MAX(B$56:B67)+1,0)</f>
        <v>0</v>
      </c>
      <c r="C68" s="1" t="str">
        <f>A$19</f>
        <v>CGE CQ3-16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IFERROR(IF(NOT(ISBLANK(G21)),(G21-F21)/F21,0),0)</f>
        <v>0</v>
      </c>
      <c r="G68" s="43">
        <f>IFERROR(IF(NOT(ISBLANK(H21)),(H21-G21)/G21,0),0)</f>
        <v>0</v>
      </c>
      <c r="H68" s="43">
        <f>IFERROR(IF(NOT(ISBLANK(I21)),(I21-H21)/H21,0),0)</f>
        <v>0</v>
      </c>
      <c r="I68" s="43">
        <f>IFERROR(IF(NOT(ISBLANK(J21)),(J21-I21)/I21,0),0)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109</v>
      </c>
    </row>
    <row r="69" spans="1:20" ht="52.5" hidden="1" customHeight="1" x14ac:dyDescent="0.25">
      <c r="A69" s="1" t="str">
        <f t="shared" si="0"/>
        <v>County Civil</v>
      </c>
      <c r="B69" s="1">
        <f>IF(E69="YES",MAX(B$56:B68)+1,0)</f>
        <v>0</v>
      </c>
      <c r="C69" s="1" t="str">
        <f>A$19</f>
        <v>CGE CQ3-16</v>
      </c>
      <c r="D69" s="42" t="s">
        <v>133</v>
      </c>
      <c r="E69" s="1" t="str">
        <f>IF(MIN(F69:I69)&lt;0,"YES","NO")</f>
        <v>NO</v>
      </c>
      <c r="F69" s="43">
        <f t="shared" ref="F69:I70" si="3">IFERROR(IF(NOT(ISBLANK(G20)),(G20-F20)/F20,0),0)</f>
        <v>4.7118641169860809E-2</v>
      </c>
      <c r="G69" s="43">
        <f t="shared" si="3"/>
        <v>1.0613490836052488E-4</v>
      </c>
      <c r="H69" s="43">
        <f t="shared" si="3"/>
        <v>3.2327652539468891E-4</v>
      </c>
      <c r="I69" s="43">
        <f t="shared" si="3"/>
        <v>0</v>
      </c>
      <c r="K69" s="14"/>
      <c r="L69" s="14"/>
      <c r="M69" s="14"/>
      <c r="N69" s="14"/>
      <c r="O69" s="15"/>
      <c r="P69" s="10"/>
    </row>
    <row r="70" spans="1:20" ht="45" hidden="1" customHeight="1" x14ac:dyDescent="0.25">
      <c r="A70" s="1" t="str">
        <f t="shared" si="0"/>
        <v>County Civil</v>
      </c>
      <c r="B70" s="1">
        <f>IF(E70="YES",MAX(B$56:B69)+1,0)</f>
        <v>0</v>
      </c>
      <c r="C70" s="1" t="str">
        <f>A$19</f>
        <v>CGE CQ3-16</v>
      </c>
      <c r="D70" s="42" t="s">
        <v>134</v>
      </c>
      <c r="E70" s="1" t="str">
        <f>IF(MAX(F70:I70)&gt;0,"YES","NO")</f>
        <v>NO</v>
      </c>
      <c r="F70" s="43">
        <f t="shared" si="3"/>
        <v>0</v>
      </c>
      <c r="G70" s="43">
        <f t="shared" si="3"/>
        <v>0</v>
      </c>
      <c r="H70" s="43">
        <f t="shared" si="3"/>
        <v>0</v>
      </c>
      <c r="I70" s="43">
        <f t="shared" si="3"/>
        <v>0</v>
      </c>
      <c r="K70" s="14"/>
      <c r="L70" s="14"/>
      <c r="M70" s="14"/>
      <c r="N70" s="14"/>
      <c r="O70" s="11"/>
    </row>
    <row r="71" spans="1:20" ht="96.6" hidden="1" x14ac:dyDescent="0.25">
      <c r="A71" s="1" t="str">
        <f t="shared" si="0"/>
        <v>County Civil</v>
      </c>
      <c r="B71" s="1">
        <f>IF(E71="YES",MAX(B$56:B70)+1,0)</f>
        <v>0</v>
      </c>
      <c r="C71" s="1" t="str">
        <f>A$19</f>
        <v>CGE CQ3-16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90%</v>
      </c>
      <c r="E71" s="1" t="str">
        <f>IF(F71="N/A","NO",IF(F71&lt;H$8,"YES","NO"))</f>
        <v>NO</v>
      </c>
      <c r="F71" s="44" t="str">
        <f>J22</f>
        <v>N/A</v>
      </c>
      <c r="J71" s="41">
        <f>H$8</f>
        <v>0.9</v>
      </c>
      <c r="K71" s="14"/>
      <c r="L71" s="14"/>
      <c r="M71" s="14"/>
      <c r="N71" s="14"/>
    </row>
    <row r="72" spans="1:20" ht="65.25" hidden="1" customHeight="1" x14ac:dyDescent="0.25">
      <c r="A72" s="1" t="str">
        <f t="shared" si="0"/>
        <v>County Civil</v>
      </c>
      <c r="B72" s="1">
        <f>IF(E72="YES",MAX(B$56:B71)+1,0)</f>
        <v>0</v>
      </c>
      <c r="C72" s="1" t="str">
        <f>A$23</f>
        <v>CGE CQ4-16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IF(MAX(F72:G72)&gt;V$10,"YES","NO")</f>
        <v>NO</v>
      </c>
      <c r="F72" s="43">
        <f>IFERROR(IF(NOT(ISBLANK(J24)),(J24-I24)/I24,0),0)</f>
        <v>0</v>
      </c>
      <c r="G72" s="43">
        <f>IFERROR(IF(NOT(ISBLANK(K24)),(K24-J24)/J24,0),0)</f>
        <v>0</v>
      </c>
      <c r="J72" s="41">
        <f>V$10</f>
        <v>5</v>
      </c>
      <c r="K72" s="14"/>
      <c r="L72" s="14"/>
      <c r="M72" s="14"/>
      <c r="N72" s="14"/>
      <c r="O72" s="15"/>
      <c r="P72" s="10"/>
      <c r="T72" s="91" t="s">
        <v>105</v>
      </c>
    </row>
    <row r="73" spans="1:20" ht="60.75" hidden="1" customHeight="1" x14ac:dyDescent="0.25">
      <c r="A73" s="1" t="str">
        <f t="shared" si="0"/>
        <v>County Civil</v>
      </c>
      <c r="B73" s="1">
        <f>IF(E73="YES",MAX(B$56:B72)+1,0)</f>
        <v>0</v>
      </c>
      <c r="C73" s="1" t="str">
        <f>A$23</f>
        <v>CGE CQ4-16</v>
      </c>
      <c r="D73" s="42" t="str">
        <f>"Assessments dropped by more than set percentage of: "&amp;TEXT(J73,"#0%")</f>
        <v>Assessments dropped by more than set percentage of: 15%</v>
      </c>
      <c r="E73" s="1" t="str">
        <f>IF(MIN(F73:I73)&lt;(-1*V$11),"YES","NO")</f>
        <v>NO</v>
      </c>
      <c r="F73" s="43">
        <f>IFERROR(IF(NOT(ISBLANK(H25)),(H25-G25)/G25,0),0)</f>
        <v>0</v>
      </c>
      <c r="G73" s="43">
        <f>IFERROR(IF(NOT(ISBLANK(I25)),(I25-H25)/H25,0),0)</f>
        <v>0</v>
      </c>
      <c r="H73" s="43">
        <f>IFERROR(IF(NOT(ISBLANK(J25)),(J25-I25)/I25,0),0)</f>
        <v>0</v>
      </c>
      <c r="I73" s="43">
        <f>IFERROR(IF(NOT(ISBLANK(K25)),(K25-J25)/J25,0),0)</f>
        <v>0</v>
      </c>
      <c r="J73" s="41">
        <f>V$11</f>
        <v>0.15</v>
      </c>
      <c r="K73" s="14"/>
      <c r="L73" s="14"/>
      <c r="M73" s="14"/>
      <c r="N73" s="14"/>
      <c r="O73" s="15"/>
      <c r="P73" s="10"/>
      <c r="T73" s="91" t="s">
        <v>110</v>
      </c>
    </row>
    <row r="74" spans="1:20" ht="52.5" hidden="1" customHeight="1" x14ac:dyDescent="0.25">
      <c r="A74" s="1" t="str">
        <f t="shared" si="0"/>
        <v>County Civil</v>
      </c>
      <c r="B74" s="1">
        <f>IF(E74="YES",MAX(B$56:B73)+1,0)</f>
        <v>0</v>
      </c>
      <c r="C74" s="1" t="str">
        <f>A$23</f>
        <v>CGE CQ4-16</v>
      </c>
      <c r="D74" s="42" t="s">
        <v>133</v>
      </c>
      <c r="E74" s="1" t="str">
        <f>IF(MIN(F74:I74)&lt;0,"YES","NO")</f>
        <v>NO</v>
      </c>
      <c r="F74" s="43">
        <f t="shared" ref="F74:I75" si="4">IFERROR(IF(NOT(ISBLANK(H24)),(H24-G24)/G24,0),0)</f>
        <v>4.2063010771705461E-2</v>
      </c>
      <c r="G74" s="43">
        <f t="shared" si="4"/>
        <v>1.3062109968875989E-4</v>
      </c>
      <c r="H74" s="43">
        <f t="shared" si="4"/>
        <v>0</v>
      </c>
      <c r="I74" s="43">
        <f t="shared" si="4"/>
        <v>0</v>
      </c>
      <c r="K74" s="14"/>
      <c r="L74" s="14"/>
      <c r="M74" s="14"/>
      <c r="N74" s="14"/>
      <c r="O74" s="15"/>
      <c r="P74" s="10"/>
    </row>
    <row r="75" spans="1:20" ht="45" hidden="1" customHeight="1" x14ac:dyDescent="0.25">
      <c r="A75" s="1" t="str">
        <f t="shared" si="0"/>
        <v>County Civil</v>
      </c>
      <c r="B75" s="1">
        <f>IF(E75="YES",MAX(B$56:B74)+1,0)</f>
        <v>0</v>
      </c>
      <c r="C75" s="1" t="str">
        <f>A$23</f>
        <v>CGE CQ4-16</v>
      </c>
      <c r="D75" s="42" t="s">
        <v>134</v>
      </c>
      <c r="E75" s="1" t="str">
        <f>IF(MAX(F75:I75)&gt;0,"YES","NO")</f>
        <v>NO</v>
      </c>
      <c r="F75" s="43">
        <f t="shared" si="4"/>
        <v>0</v>
      </c>
      <c r="G75" s="43">
        <f t="shared" si="4"/>
        <v>0</v>
      </c>
      <c r="H75" s="43">
        <f t="shared" si="4"/>
        <v>0</v>
      </c>
      <c r="I75" s="43">
        <f t="shared" si="4"/>
        <v>0</v>
      </c>
      <c r="K75" s="14"/>
      <c r="L75" s="14"/>
      <c r="M75" s="14"/>
      <c r="N75" s="14"/>
    </row>
    <row r="76" spans="1:20" ht="96.6" hidden="1" x14ac:dyDescent="0.25">
      <c r="A76" s="1" t="str">
        <f t="shared" si="0"/>
        <v>County Civil</v>
      </c>
      <c r="B76" s="1">
        <f>IF(E76="YES",MAX(B$56:B75)+1,0)</f>
        <v>0</v>
      </c>
      <c r="C76" s="1" t="str">
        <f>A$23</f>
        <v>CGE CQ4-16</v>
      </c>
      <c r="D76" s="42" t="str">
        <f>"The 5th Quarter Collection Rate did not meet the established performance measure standard of: "&amp;TEXT(J76,"#0%")</f>
        <v>The 5th Quarter Collection Rate did not meet the established performance measure standard of: 90%</v>
      </c>
      <c r="E76" s="1" t="str">
        <f>IF(F76="N/A","NO",IF(F76&lt;H$8,"YES","NO"))</f>
        <v>NO</v>
      </c>
      <c r="F76" s="44" t="str">
        <f>K26</f>
        <v>N/A</v>
      </c>
      <c r="J76" s="41">
        <f>H$8</f>
        <v>0.9</v>
      </c>
      <c r="K76" s="14"/>
      <c r="L76" s="14"/>
      <c r="M76" s="14"/>
      <c r="N76" s="14"/>
    </row>
    <row r="77" spans="1:20" s="18" customFormat="1" ht="65.25" hidden="1" customHeight="1" x14ac:dyDescent="0.3">
      <c r="A77" s="1" t="str">
        <f t="shared" si="0"/>
        <v>County Civil</v>
      </c>
      <c r="B77" s="1">
        <f>IF(E77="YES",MAX(B$56:B76)+1,0)</f>
        <v>0</v>
      </c>
      <c r="C77" s="1" t="str">
        <f>A$27</f>
        <v>CGE CQ1-17</v>
      </c>
      <c r="D77" s="42" t="str">
        <f>"After 3rd Q, Collections went up by more than set percentage of: "&amp;TEXT(J77,"#0%")</f>
        <v>After 3rd Q, Collections went up by more than set percentage of: 500%</v>
      </c>
      <c r="E77" s="1" t="str">
        <f>IF(MAX(F77)&gt;V$10,"YES","NO")</f>
        <v>NO</v>
      </c>
      <c r="F77" s="43">
        <f>IFERROR(IF(NOT(ISBLANK(K28)),(K28-J28)/J28,0),0)</f>
        <v>0</v>
      </c>
      <c r="G77" s="43"/>
      <c r="H77" s="1"/>
      <c r="I77" s="1"/>
      <c r="J77" s="41">
        <f>V$10</f>
        <v>5</v>
      </c>
      <c r="K77" s="14"/>
      <c r="L77" s="14"/>
      <c r="M77" s="14"/>
      <c r="N77" s="14"/>
      <c r="O77" s="17"/>
      <c r="P77" s="10"/>
      <c r="T77" s="91" t="s">
        <v>106</v>
      </c>
    </row>
    <row r="78" spans="1:20" ht="60.75" hidden="1" customHeight="1" x14ac:dyDescent="0.25">
      <c r="A78" s="1" t="str">
        <f t="shared" si="0"/>
        <v>County Civil</v>
      </c>
      <c r="B78" s="1">
        <f>IF(E78="YES",MAX(B$56:B77)+1,0)</f>
        <v>0</v>
      </c>
      <c r="C78" s="1" t="str">
        <f>A$27</f>
        <v>CGE CQ1-17</v>
      </c>
      <c r="D78" s="42" t="str">
        <f>"Assessments dropped by more than set percentage of: "&amp;TEXT(J78,"#0%")</f>
        <v>Assessments dropped by more than set percentage of: 15%</v>
      </c>
      <c r="E78" s="1" t="str">
        <f>IF(MIN(F78:H78)&lt;(-1*V$11),"YES","NO")</f>
        <v>NO</v>
      </c>
      <c r="F78" s="43">
        <f>IFERROR(IF(NOT(ISBLANK(I29)),(I29-H29)/H29,0),0)</f>
        <v>0</v>
      </c>
      <c r="G78" s="43">
        <f>IFERROR(IF(NOT(ISBLANK(J29)),(J29-I29)/I29,0),0)</f>
        <v>0</v>
      </c>
      <c r="H78" s="43">
        <f>IFERROR(IF(NOT(ISBLANK(K29)),(K29-J29)/J29,0),0)</f>
        <v>0</v>
      </c>
      <c r="J78" s="41">
        <f>V$11</f>
        <v>0.15</v>
      </c>
      <c r="K78" s="14"/>
      <c r="L78" s="14"/>
      <c r="M78" s="14"/>
      <c r="N78" s="14"/>
      <c r="O78" s="15"/>
      <c r="P78" s="10"/>
      <c r="T78" s="91" t="s">
        <v>111</v>
      </c>
    </row>
    <row r="79" spans="1:20" ht="52.5" hidden="1" customHeight="1" x14ac:dyDescent="0.25">
      <c r="A79" s="1" t="str">
        <f t="shared" si="0"/>
        <v>County Civil</v>
      </c>
      <c r="B79" s="1">
        <f>IF(E79="YES",MAX(B$56:B78)+1,0)</f>
        <v>0</v>
      </c>
      <c r="C79" s="1" t="str">
        <f>A$27</f>
        <v>CGE CQ1-17</v>
      </c>
      <c r="D79" s="42" t="s">
        <v>133</v>
      </c>
      <c r="E79" s="1" t="str">
        <f>IF(MIN(F79:H79)&lt;0,"YES","NO")</f>
        <v>NO</v>
      </c>
      <c r="F79" s="43">
        <f t="shared" ref="F79:H80" si="5">IFERROR(IF(NOT(ISBLANK(I28)),(I28-H28)/H28,0),0)</f>
        <v>1.7406026832578286E-2</v>
      </c>
      <c r="G79" s="43">
        <f t="shared" si="5"/>
        <v>0</v>
      </c>
      <c r="H79" s="43">
        <f t="shared" si="5"/>
        <v>0</v>
      </c>
      <c r="K79" s="14"/>
      <c r="L79" s="14"/>
      <c r="M79" s="14"/>
      <c r="N79" s="14"/>
      <c r="O79" s="15"/>
      <c r="P79" s="10"/>
    </row>
    <row r="80" spans="1:20" ht="45" hidden="1" customHeight="1" x14ac:dyDescent="0.25">
      <c r="A80" s="1" t="str">
        <f t="shared" si="0"/>
        <v>County Civil</v>
      </c>
      <c r="B80" s="1">
        <f>IF(E80="YES",MAX(B$56:B79)+1,0)</f>
        <v>0</v>
      </c>
      <c r="C80" s="1" t="str">
        <f>A$27</f>
        <v>CGE CQ1-17</v>
      </c>
      <c r="D80" s="42" t="s">
        <v>134</v>
      </c>
      <c r="E80" s="1" t="str">
        <f>IF(MAX(F80:H80)&gt;0,"YES","NO")</f>
        <v>NO</v>
      </c>
      <c r="F80" s="43">
        <f t="shared" si="5"/>
        <v>0</v>
      </c>
      <c r="G80" s="43">
        <f t="shared" si="5"/>
        <v>0</v>
      </c>
      <c r="H80" s="43">
        <f t="shared" si="5"/>
        <v>0</v>
      </c>
      <c r="K80" s="14"/>
      <c r="L80" s="14"/>
      <c r="M80" s="14"/>
      <c r="N80" s="14"/>
    </row>
    <row r="81" spans="1:20" ht="60.75" hidden="1" customHeight="1" x14ac:dyDescent="0.25">
      <c r="A81" s="1" t="str">
        <f t="shared" si="0"/>
        <v>County Civil</v>
      </c>
      <c r="B81" s="1">
        <f>IF(E81="YES",MAX(B$56:B80)+1,0)</f>
        <v>0</v>
      </c>
      <c r="C81" s="1" t="str">
        <f>A$31</f>
        <v>CGE CQ2-17</v>
      </c>
      <c r="D81" s="42" t="str">
        <f>"Assessments dropped by more than set percentage of: "&amp;TEXT(J81,"#0%")</f>
        <v>Assessments dropped by more than set percentage of: 15%</v>
      </c>
      <c r="E81" s="1" t="str">
        <f>IF(MIN(F81:G81)&lt;(-1*V$11),"YES","NO")</f>
        <v>NO</v>
      </c>
      <c r="F81" s="43">
        <f>IFERROR(IF(NOT(ISBLANK(J33)),(J33-I33)/I33,0),0)</f>
        <v>0</v>
      </c>
      <c r="G81" s="43">
        <f>IFERROR(IF(NOT(ISBLANK(K33)),(K33-J33)/J33,0),0)</f>
        <v>0</v>
      </c>
      <c r="J81" s="41">
        <f>V$11</f>
        <v>0.15</v>
      </c>
      <c r="K81" s="14"/>
      <c r="L81" s="14"/>
      <c r="M81" s="14"/>
      <c r="N81" s="14"/>
      <c r="O81" s="15"/>
      <c r="P81" s="10"/>
      <c r="T81" s="91" t="s">
        <v>112</v>
      </c>
    </row>
    <row r="82" spans="1:20" ht="52.5" hidden="1" customHeight="1" x14ac:dyDescent="0.25">
      <c r="A82" s="1" t="str">
        <f t="shared" si="0"/>
        <v>County Civil</v>
      </c>
      <c r="B82" s="1">
        <f>IF(E82="YES",MAX(B$56:B81)+1,0)</f>
        <v>0</v>
      </c>
      <c r="C82" s="1" t="str">
        <f>A$31</f>
        <v>CGE CQ2-17</v>
      </c>
      <c r="D82" s="42" t="s">
        <v>133</v>
      </c>
      <c r="E82" s="1" t="str">
        <f>IF(MIN(F82:G82)&lt;0,"YES","NO")</f>
        <v>NO</v>
      </c>
      <c r="F82" s="43">
        <f>IFERROR(IF(NOT(ISBLANK(J32)),(J32-I32)/I32,0),0)</f>
        <v>0</v>
      </c>
      <c r="G82" s="43">
        <f>IFERROR(IF(NOT(ISBLANK(K32)),(K32-J32)/J32,0),0)</f>
        <v>0</v>
      </c>
      <c r="K82" s="14"/>
      <c r="L82" s="14"/>
      <c r="M82" s="14"/>
      <c r="N82" s="14"/>
      <c r="O82" s="15"/>
      <c r="P82" s="10"/>
    </row>
    <row r="83" spans="1:20" ht="45" hidden="1" customHeight="1" x14ac:dyDescent="0.25">
      <c r="A83" s="1" t="str">
        <f t="shared" si="0"/>
        <v>County Civil</v>
      </c>
      <c r="B83" s="1">
        <f>IF(E83="YES",MAX(B$56:B82)+1,0)</f>
        <v>0</v>
      </c>
      <c r="C83" s="1" t="str">
        <f>A$31</f>
        <v>CGE CQ2-17</v>
      </c>
      <c r="D83" s="42" t="s">
        <v>134</v>
      </c>
      <c r="E83" s="1" t="str">
        <f>IF(MAX(F83:G83)&gt;0,"YES","NO")</f>
        <v>NO</v>
      </c>
      <c r="F83" s="43">
        <f>IFERROR(IF(NOT(ISBLANK(J33)),(J33-I33)/I33,0),0)</f>
        <v>0</v>
      </c>
      <c r="G83" s="43">
        <f>IFERROR(IF(NOT(ISBLANK(K33)),(K33-J33)/J33,0),0)</f>
        <v>0</v>
      </c>
      <c r="K83" s="14"/>
      <c r="L83" s="14"/>
      <c r="M83" s="14"/>
      <c r="N83" s="14"/>
    </row>
    <row r="84" spans="1:20" ht="60.75" hidden="1" customHeight="1" x14ac:dyDescent="0.25">
      <c r="A84" s="1" t="str">
        <f t="shared" si="0"/>
        <v>County Civil</v>
      </c>
      <c r="B84" s="1">
        <f>IF(E84="YES",MAX(B$56:B83)+1,0)</f>
        <v>0</v>
      </c>
      <c r="C84" s="1" t="str">
        <f>A$35</f>
        <v>CGE CQ3-17</v>
      </c>
      <c r="D84" s="42" t="str">
        <f>"Assessments dropped by more than set percentage of: "&amp;TEXT(J84,"#0%")</f>
        <v>Assessments dropped by more than set percentage of: 15%</v>
      </c>
      <c r="E84" s="1" t="str">
        <f>IF(MIN(F84)&lt;(-1*V$11),"YES","NO")</f>
        <v>NO</v>
      </c>
      <c r="F84" s="43">
        <f>IFERROR(IF(NOT(ISBLANK(K37)),(K37-J37)/J37,0),0)</f>
        <v>0</v>
      </c>
      <c r="J84" s="41">
        <f>V$11</f>
        <v>0.15</v>
      </c>
      <c r="K84" s="14"/>
      <c r="L84" s="14"/>
      <c r="M84" s="14"/>
      <c r="N84" s="14"/>
      <c r="O84" s="15"/>
      <c r="P84" s="10"/>
      <c r="T84" s="91" t="s">
        <v>113</v>
      </c>
    </row>
    <row r="85" spans="1:20" ht="52.5" hidden="1" customHeight="1" x14ac:dyDescent="0.25">
      <c r="A85" s="1" t="str">
        <f t="shared" si="0"/>
        <v>County Civil</v>
      </c>
      <c r="B85" s="1">
        <f>IF(E85="YES",MAX(B$56:B84)+1,0)</f>
        <v>0</v>
      </c>
      <c r="C85" s="1" t="str">
        <f>A$35</f>
        <v>CGE CQ3-17</v>
      </c>
      <c r="D85" s="42" t="s">
        <v>133</v>
      </c>
      <c r="E85" s="1" t="str">
        <f>IF(MIN(F85)&lt;0,"YES","NO")</f>
        <v>NO</v>
      </c>
      <c r="F85" s="43">
        <f>IFERROR(IF(NOT(ISBLANK(K36)),(K36-J36)/J36,0),0)</f>
        <v>0</v>
      </c>
      <c r="K85" s="14"/>
      <c r="L85" s="14"/>
      <c r="M85" s="14"/>
      <c r="N85" s="14"/>
      <c r="O85" s="15"/>
    </row>
    <row r="86" spans="1:20" ht="45" hidden="1" customHeight="1" x14ac:dyDescent="0.25">
      <c r="A86" s="1" t="str">
        <f t="shared" si="0"/>
        <v>County Civil</v>
      </c>
      <c r="B86" s="1">
        <f>IF(E86="YES",MAX(B$56:B85)+1,0)</f>
        <v>0</v>
      </c>
      <c r="C86" s="1" t="str">
        <f>A$35</f>
        <v>CGE CQ3-17</v>
      </c>
      <c r="D86" s="42" t="s">
        <v>134</v>
      </c>
      <c r="E86" s="1" t="str">
        <f>IF(MAX(F86)&gt;0,"YES","NO")</f>
        <v>NO</v>
      </c>
      <c r="F86" s="43">
        <f>IFERROR(IF(NOT(ISBLANK(K37)),(K37-J37)/J37,0),0)</f>
        <v>0</v>
      </c>
      <c r="K86" s="14"/>
      <c r="L86" s="14"/>
      <c r="M86" s="14"/>
      <c r="N86" s="14"/>
    </row>
  </sheetData>
  <sheetProtection algorithmName="SHA-512" hashValue="l6S70c6lqJt5nieuBcYUaJxWqisZit/SxfwmQa+vpyUzm76ebH1sIxdGARwodbeMJ2osxUZzgBMcKgxwmxqzRQ==" saltValue="/dngQB4RxUubPgDwKdtx4g==" spinCount="100000" sheet="1" objects="1" scenarios="1" selectLockedCells="1"/>
  <mergeCells count="36">
    <mergeCell ref="L9:M9"/>
    <mergeCell ref="L11:L14"/>
    <mergeCell ref="M11:M14"/>
    <mergeCell ref="L15:L18"/>
    <mergeCell ref="M15:M18"/>
    <mergeCell ref="M19:M22"/>
    <mergeCell ref="A31:A34"/>
    <mergeCell ref="B15:B18"/>
    <mergeCell ref="A35:A38"/>
    <mergeCell ref="L31:M31"/>
    <mergeCell ref="L32:M42"/>
    <mergeCell ref="E25:E26"/>
    <mergeCell ref="F25:F26"/>
    <mergeCell ref="L23:L26"/>
    <mergeCell ref="M23:M26"/>
    <mergeCell ref="A15:A18"/>
    <mergeCell ref="A19:A22"/>
    <mergeCell ref="A23:A26"/>
    <mergeCell ref="D25:D26"/>
    <mergeCell ref="L19:L22"/>
    <mergeCell ref="H43:K43"/>
    <mergeCell ref="A53:B53"/>
    <mergeCell ref="B35:B38"/>
    <mergeCell ref="B39:B42"/>
    <mergeCell ref="D6:E6"/>
    <mergeCell ref="D8:E8"/>
    <mergeCell ref="B27:B30"/>
    <mergeCell ref="B31:B34"/>
    <mergeCell ref="B11:B14"/>
    <mergeCell ref="A39:A42"/>
    <mergeCell ref="A27:A30"/>
    <mergeCell ref="D43:G43"/>
    <mergeCell ref="I11:I14"/>
    <mergeCell ref="B19:B22"/>
    <mergeCell ref="B23:B26"/>
    <mergeCell ref="A11:A14"/>
  </mergeCells>
  <phoneticPr fontId="0" type="noConversion"/>
  <conditionalFormatting sqref="L11:M14">
    <cfRule type="expression" dxfId="178" priority="244" stopIfTrue="1">
      <formula>$H$14&lt;$H$8</formula>
    </cfRule>
  </conditionalFormatting>
  <conditionalFormatting sqref="M15:M18">
    <cfRule type="expression" dxfId="177" priority="242" stopIfTrue="1">
      <formula>$I$18&lt;$H$8</formula>
    </cfRule>
  </conditionalFormatting>
  <conditionalFormatting sqref="M19:M22">
    <cfRule type="expression" dxfId="176" priority="241" stopIfTrue="1">
      <formula>$J$22&lt;$H$8</formula>
    </cfRule>
  </conditionalFormatting>
  <conditionalFormatting sqref="M23:M26">
    <cfRule type="expression" dxfId="175" priority="240" stopIfTrue="1">
      <formula>$K$26&lt;$H$8</formula>
    </cfRule>
  </conditionalFormatting>
  <conditionalFormatting sqref="I39:I42">
    <cfRule type="cellIs" dxfId="174" priority="42" stopIfTrue="1" operator="lessThan">
      <formula>$H$8</formula>
    </cfRule>
  </conditionalFormatting>
  <conditionalFormatting sqref="H12">
    <cfRule type="expression" dxfId="173" priority="41">
      <formula>(H12&lt;G12)</formula>
    </cfRule>
  </conditionalFormatting>
  <conditionalFormatting sqref="I16">
    <cfRule type="expression" dxfId="172" priority="40">
      <formula>(I16&lt;H16)</formula>
    </cfRule>
  </conditionalFormatting>
  <conditionalFormatting sqref="J20">
    <cfRule type="expression" dxfId="171" priority="39">
      <formula>(J20&lt;I20)</formula>
    </cfRule>
  </conditionalFormatting>
  <conditionalFormatting sqref="K24">
    <cfRule type="expression" dxfId="170" priority="38">
      <formula>(K24&lt;J24)</formula>
    </cfRule>
  </conditionalFormatting>
  <conditionalFormatting sqref="H16">
    <cfRule type="expression" dxfId="169" priority="37">
      <formula>(H16&lt;G16)</formula>
    </cfRule>
  </conditionalFormatting>
  <conditionalFormatting sqref="I20">
    <cfRule type="expression" dxfId="168" priority="36">
      <formula>(I20&lt;H20)</formula>
    </cfRule>
  </conditionalFormatting>
  <conditionalFormatting sqref="J24">
    <cfRule type="expression" dxfId="167" priority="35">
      <formula>(J24&lt;I24)</formula>
    </cfRule>
  </conditionalFormatting>
  <conditionalFormatting sqref="K28">
    <cfRule type="expression" dxfId="166" priority="34">
      <formula>(K28&lt;J28)</formula>
    </cfRule>
  </conditionalFormatting>
  <conditionalFormatting sqref="H20">
    <cfRule type="expression" dxfId="165" priority="33">
      <formula>(H20&lt;G20)</formula>
    </cfRule>
  </conditionalFormatting>
  <conditionalFormatting sqref="I24">
    <cfRule type="expression" dxfId="164" priority="32">
      <formula>(I24&lt;H24)</formula>
    </cfRule>
  </conditionalFormatting>
  <conditionalFormatting sqref="J28">
    <cfRule type="expression" dxfId="163" priority="31">
      <formula>(J28&lt;I28)</formula>
    </cfRule>
  </conditionalFormatting>
  <conditionalFormatting sqref="K32">
    <cfRule type="expression" dxfId="162" priority="30">
      <formula>(K32&lt;J32)</formula>
    </cfRule>
  </conditionalFormatting>
  <conditionalFormatting sqref="H24">
    <cfRule type="expression" dxfId="161" priority="29">
      <formula>(H24&lt;G24)</formula>
    </cfRule>
  </conditionalFormatting>
  <conditionalFormatting sqref="I28">
    <cfRule type="expression" dxfId="160" priority="28">
      <formula>(I28&lt;H28)</formula>
    </cfRule>
  </conditionalFormatting>
  <conditionalFormatting sqref="J32">
    <cfRule type="expression" dxfId="159" priority="27">
      <formula>(J32&lt;I32)</formula>
    </cfRule>
  </conditionalFormatting>
  <conditionalFormatting sqref="K36">
    <cfRule type="expression" dxfId="158" priority="26">
      <formula>(K36&lt;J36)</formula>
    </cfRule>
  </conditionalFormatting>
  <conditionalFormatting sqref="H13">
    <cfRule type="expression" dxfId="157" priority="25">
      <formula>(H13&gt;G13)</formula>
    </cfRule>
  </conditionalFormatting>
  <conditionalFormatting sqref="H17">
    <cfRule type="expression" dxfId="156" priority="24">
      <formula>(H17&gt;G17)</formula>
    </cfRule>
  </conditionalFormatting>
  <conditionalFormatting sqref="H21">
    <cfRule type="expression" dxfId="155" priority="23">
      <formula>(H21&gt;G21)</formula>
    </cfRule>
  </conditionalFormatting>
  <conditionalFormatting sqref="H25">
    <cfRule type="expression" dxfId="154" priority="22">
      <formula>(H25&gt;G25)</formula>
    </cfRule>
  </conditionalFormatting>
  <conditionalFormatting sqref="I29">
    <cfRule type="expression" dxfId="153" priority="21">
      <formula>(I29&gt;H29)</formula>
    </cfRule>
  </conditionalFormatting>
  <conditionalFormatting sqref="H14">
    <cfRule type="expression" dxfId="152" priority="20">
      <formula>H14&lt;$H$8</formula>
    </cfRule>
  </conditionalFormatting>
  <conditionalFormatting sqref="I18">
    <cfRule type="expression" dxfId="151" priority="19">
      <formula>I18&lt;$H$8</formula>
    </cfRule>
  </conditionalFormatting>
  <conditionalFormatting sqref="J22">
    <cfRule type="expression" dxfId="150" priority="18">
      <formula>J22&lt;$H$8</formula>
    </cfRule>
  </conditionalFormatting>
  <conditionalFormatting sqref="K26">
    <cfRule type="expression" dxfId="149" priority="17">
      <formula>K26&lt;$H$8</formula>
    </cfRule>
  </conditionalFormatting>
  <conditionalFormatting sqref="I17">
    <cfRule type="expression" dxfId="148" priority="16">
      <formula>(I17&gt;H17)</formula>
    </cfRule>
  </conditionalFormatting>
  <conditionalFormatting sqref="J21">
    <cfRule type="expression" dxfId="147" priority="15">
      <formula>(J21&gt;I21)</formula>
    </cfRule>
  </conditionalFormatting>
  <conditionalFormatting sqref="K25">
    <cfRule type="expression" dxfId="146" priority="14">
      <formula>(K25&gt;J25)</formula>
    </cfRule>
  </conditionalFormatting>
  <conditionalFormatting sqref="I21">
    <cfRule type="expression" dxfId="145" priority="13">
      <formula>(I21&gt;H21)</formula>
    </cfRule>
  </conditionalFormatting>
  <conditionalFormatting sqref="J25">
    <cfRule type="expression" dxfId="144" priority="12">
      <formula>(J25&gt;I25)</formula>
    </cfRule>
  </conditionalFormatting>
  <conditionalFormatting sqref="K29">
    <cfRule type="expression" dxfId="143" priority="11">
      <formula>(K29&gt;J29)</formula>
    </cfRule>
  </conditionalFormatting>
  <conditionalFormatting sqref="I25">
    <cfRule type="expression" dxfId="142" priority="10">
      <formula>(I25&gt;H25)</formula>
    </cfRule>
  </conditionalFormatting>
  <conditionalFormatting sqref="J29">
    <cfRule type="expression" dxfId="141" priority="9">
      <formula>(J29&gt;I29)</formula>
    </cfRule>
  </conditionalFormatting>
  <conditionalFormatting sqref="K33">
    <cfRule type="expression" dxfId="140" priority="8">
      <formula>(K33&gt;J33)</formula>
    </cfRule>
  </conditionalFormatting>
  <conditionalFormatting sqref="J33">
    <cfRule type="expression" dxfId="139" priority="7">
      <formula>(J33&gt;I33)</formula>
    </cfRule>
  </conditionalFormatting>
  <conditionalFormatting sqref="K37">
    <cfRule type="expression" dxfId="138" priority="6">
      <formula>(K37&gt;J37)</formula>
    </cfRule>
  </conditionalFormatting>
  <conditionalFormatting sqref="L32:M42">
    <cfRule type="expression" dxfId="137" priority="5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L15:L18">
    <cfRule type="expression" dxfId="136" priority="3" stopIfTrue="1">
      <formula>$I$18&lt;$H$8</formula>
    </cfRule>
  </conditionalFormatting>
  <conditionalFormatting sqref="L19:L22">
    <cfRule type="expression" dxfId="135" priority="2" stopIfTrue="1">
      <formula>$J$22&lt;$H$8</formula>
    </cfRule>
  </conditionalFormatting>
  <conditionalFormatting sqref="L23:L26">
    <cfRule type="expression" dxfId="134" priority="1" stopIfTrue="1">
      <formula>$K$26&lt;$H$8</formula>
    </cfRule>
  </conditionalFormatting>
  <dataValidations count="2">
    <dataValidation type="textLength" allowBlank="1" showInputMessage="1" showErrorMessage="1" sqref="M31 L31:L32 L27:M30 M10:M26 L10 N10:N42">
      <formula1>0</formula1>
      <formula2>500</formula2>
    </dataValidation>
    <dataValidation type="decimal" allowBlank="1" showInputMessage="1" showErrorMessage="1" sqref="G19:I19 H15:K16 J35:J37 J39:J42 H21:I21 G15 D12:H13 G25:I25 J18:K19 G28:I29 I31:I32 J12:K13 G39:H42">
      <formula1>0</formula1>
      <formula2>999999999999999</formula2>
    </dataValidation>
  </dataValidations>
  <printOptions horizontalCentered="1" verticalCentered="1"/>
  <pageMargins left="0.21" right="0.23" top="0.3" bottom="0.36" header="0.2" footer="0.17"/>
  <pageSetup scale="57" orientation="landscape" horizontalDpi="4294967293" r:id="rId1"/>
  <headerFooter alignWithMargins="0">
    <oddFooter>&amp;L&amp;F</oddFooter>
  </headerFooter>
  <ignoredErrors>
    <ignoredError sqref="D14:G15 D18:G19 D16 D17 D22:G23 D20:E20 D21:E21 D26:G26 D24:F24 D25:F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'Circuit Criminal'!$N$11:$N$12</xm:f>
          </x14:formula1>
          <xm:sqref>L11:L26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86"/>
  <sheetViews>
    <sheetView showGridLines="0" topLeftCell="B2" zoomScale="75" zoomScaleNormal="75" zoomScaleSheetLayoutView="70" workbookViewId="0">
      <selection activeCell="J20" sqref="J20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2" width="18.6640625" style="1" customWidth="1"/>
    <col min="13" max="13" width="33.109375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2.44140625" style="1" hidden="1" customWidth="1"/>
    <col min="22" max="22" width="11.5546875" style="1" hidden="1" customWidth="1"/>
    <col min="23" max="23" width="13.33203125" style="1" hidden="1" customWidth="1"/>
    <col min="24" max="26" width="9.109375" style="1" hidden="1" customWidth="1"/>
    <col min="27" max="16384" width="9.109375" style="1"/>
  </cols>
  <sheetData>
    <row r="1" spans="1:22" ht="33" hidden="1" customHeight="1" x14ac:dyDescent="0.25"/>
    <row r="2" spans="1:22" ht="22.8" x14ac:dyDescent="0.4">
      <c r="K2" s="2"/>
      <c r="L2" s="2"/>
      <c r="M2" s="2" t="s">
        <v>241</v>
      </c>
      <c r="N2" s="2"/>
      <c r="T2" s="91" t="s">
        <v>48</v>
      </c>
    </row>
    <row r="3" spans="1:22" ht="22.8" x14ac:dyDescent="0.4">
      <c r="K3" s="2"/>
      <c r="L3" s="2"/>
      <c r="M3" s="2" t="s">
        <v>16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39" t="str">
        <f>'Circuit Criminal'!D4</f>
        <v>March 2016</v>
      </c>
      <c r="I4" s="223" t="s">
        <v>248</v>
      </c>
      <c r="J4" s="224"/>
      <c r="K4" s="224"/>
      <c r="L4" s="224"/>
      <c r="M4" s="225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37">
        <f>'Circuit Criminal'!$D$5</f>
        <v>1</v>
      </c>
      <c r="I5" s="226"/>
      <c r="J5" s="227" t="s">
        <v>249</v>
      </c>
      <c r="K5" s="227"/>
      <c r="L5" s="227"/>
      <c r="M5" s="228"/>
      <c r="T5" s="91" t="s">
        <v>50</v>
      </c>
    </row>
    <row r="6" spans="1:22" ht="20.25" customHeight="1" x14ac:dyDescent="0.25">
      <c r="A6" s="3"/>
      <c r="C6" s="6" t="s">
        <v>9</v>
      </c>
      <c r="D6" s="300" t="str">
        <f>'Circuit Criminal'!D6</f>
        <v>Brevard</v>
      </c>
      <c r="E6" s="300"/>
      <c r="F6" s="91"/>
      <c r="G6" s="91"/>
      <c r="H6" s="91"/>
      <c r="I6" s="229"/>
      <c r="J6" s="230" t="s">
        <v>250</v>
      </c>
      <c r="K6" s="230"/>
      <c r="L6" s="230"/>
      <c r="M6" s="231"/>
      <c r="N6" s="91"/>
      <c r="T6" s="91" t="s">
        <v>51</v>
      </c>
    </row>
    <row r="7" spans="1:22" ht="11.25" customHeight="1" x14ac:dyDescent="0.25">
      <c r="A7" s="3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44</v>
      </c>
      <c r="E8" s="284"/>
      <c r="G8" s="6" t="s">
        <v>33</v>
      </c>
      <c r="H8" s="27">
        <v>0.9</v>
      </c>
      <c r="T8" s="91" t="s">
        <v>53</v>
      </c>
    </row>
    <row r="9" spans="1:22" ht="15.6" x14ac:dyDescent="0.3">
      <c r="A9" s="7"/>
      <c r="B9" s="3"/>
      <c r="J9" s="8"/>
      <c r="K9" s="9"/>
      <c r="L9" s="291" t="s">
        <v>187</v>
      </c>
      <c r="M9" s="292"/>
      <c r="N9" s="90">
        <v>1</v>
      </c>
      <c r="O9" s="10" t="s">
        <v>2</v>
      </c>
      <c r="P9" s="1" t="s">
        <v>29</v>
      </c>
      <c r="Q9" s="1">
        <v>1</v>
      </c>
      <c r="T9" s="91" t="s">
        <v>54</v>
      </c>
    </row>
    <row r="10" spans="1:22" s="11" customFormat="1" ht="26.25" customHeight="1" thickBot="1" x14ac:dyDescent="0.3">
      <c r="B10" s="19"/>
      <c r="C10" s="20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118" t="s">
        <v>190</v>
      </c>
      <c r="N10" s="87"/>
      <c r="O10" s="10" t="s">
        <v>3</v>
      </c>
      <c r="P10" s="11" t="s">
        <v>30</v>
      </c>
      <c r="Q10" s="1"/>
      <c r="T10" s="91" t="s">
        <v>55</v>
      </c>
      <c r="V10" s="40"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21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 t="s">
        <v>243</v>
      </c>
      <c r="M11" s="303" t="s">
        <v>278</v>
      </c>
      <c r="N11" s="117" t="s">
        <v>188</v>
      </c>
      <c r="O11" s="10" t="s">
        <v>4</v>
      </c>
      <c r="P11" s="1" t="s">
        <v>31</v>
      </c>
      <c r="Q11" s="1">
        <v>3</v>
      </c>
      <c r="T11" s="91" t="s">
        <v>56</v>
      </c>
      <c r="U11" s="1" t="str">
        <f>D6&amp;" "&amp;D8</f>
        <v>Brevard Civil Traffic</v>
      </c>
      <c r="V11" s="41">
        <v>0.15</v>
      </c>
    </row>
    <row r="12" spans="1:22" ht="15.75" customHeight="1" x14ac:dyDescent="0.25">
      <c r="A12" s="277"/>
      <c r="B12" s="264"/>
      <c r="C12" s="22" t="s">
        <v>23</v>
      </c>
      <c r="D12" s="158">
        <f>LOOKUP($U$11,Lookup!$C$3:$C$672,Lookup!I$3:I$672)</f>
        <v>809749.26</v>
      </c>
      <c r="E12" s="137">
        <f>LOOKUP($U$11,Lookup!$C$3:$C$672,Lookup!J$3:J$672)</f>
        <v>1230519.72</v>
      </c>
      <c r="F12" s="137">
        <f>LOOKUP($U$11,Lookup!$C$3:$C$672,Lookup!K$3:K$672)</f>
        <v>1314145.3799999999</v>
      </c>
      <c r="G12" s="143">
        <f>LOOKUP($U$11,Lookup!$C$3:$C$672,Lookup!L$3:L$672)</f>
        <v>1345937.69</v>
      </c>
      <c r="H12" s="144">
        <v>1360245.99</v>
      </c>
      <c r="I12" s="281"/>
      <c r="J12" s="96"/>
      <c r="K12" s="159"/>
      <c r="L12" s="271"/>
      <c r="M12" s="301"/>
      <c r="N12" s="26" t="s">
        <v>189</v>
      </c>
      <c r="O12" s="10" t="s">
        <v>5</v>
      </c>
      <c r="P12" s="1" t="s">
        <v>32</v>
      </c>
      <c r="Q12" s="1">
        <v>4</v>
      </c>
      <c r="T12" s="91" t="s">
        <v>57</v>
      </c>
      <c r="U12" s="1" t="str">
        <f>IF(P13=TRUE,A11,"")</f>
        <v>CGE CQ1-16</v>
      </c>
    </row>
    <row r="13" spans="1:22" ht="15.75" customHeight="1" thickBot="1" x14ac:dyDescent="0.3">
      <c r="A13" s="277"/>
      <c r="B13" s="264"/>
      <c r="C13" s="22" t="s">
        <v>24</v>
      </c>
      <c r="D13" s="160">
        <f>LOOKUP($U$11,Lookup!$C$3:$C$672,Lookup!D$3:D$672)</f>
        <v>1624356.45</v>
      </c>
      <c r="E13" s="138">
        <f>LOOKUP($U$11,Lookup!$C$3:$C$672,Lookup!E$3:E$672)</f>
        <v>1528661.3</v>
      </c>
      <c r="F13" s="138">
        <f>LOOKUP($U$11,Lookup!$C$3:$C$672,Lookup!F$3:F$672)</f>
        <v>1519829.3</v>
      </c>
      <c r="G13" s="138">
        <f>LOOKUP($U$11,Lookup!$C$3:$C$672,Lookup!G$3:G$672)</f>
        <v>1519034.03</v>
      </c>
      <c r="H13" s="54">
        <v>1518582.03</v>
      </c>
      <c r="I13" s="282"/>
      <c r="J13" s="96"/>
      <c r="K13" s="159"/>
      <c r="L13" s="271"/>
      <c r="M13" s="301"/>
      <c r="N13" s="26" t="s">
        <v>191</v>
      </c>
      <c r="O13" s="10" t="s">
        <v>6</v>
      </c>
      <c r="P13" s="1" t="b">
        <f>OR(AND(E12&lt;D12,E12&gt;0),AND(F12&lt;E12,F12&gt;0),AND(G12&lt;F12,G12&gt;0),AND(H12&lt;G12,H12&gt;0),AND(F13&gt;E13,E13&gt;0),AND(G13&gt;F13,F13&gt;0),AND(H13&lt;G13,G13&gt;0))</f>
        <v>1</v>
      </c>
      <c r="Q13" s="1">
        <v>5</v>
      </c>
      <c r="T13" s="91" t="s">
        <v>58</v>
      </c>
      <c r="U13" s="1" t="str">
        <f>IF(P14=TRUE,A15,"")</f>
        <v>CGE CQ2-16</v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0.49850466010708427</v>
      </c>
      <c r="E14" s="145">
        <f>IF(ISBLANK(E12),"N/A",IF(OR(E12=0,E12="N/A"),0,E12/E13))</f>
        <v>0.80496557347268483</v>
      </c>
      <c r="F14" s="145">
        <f>IF(ISBLANK(F12),"N/A",IF(OR(F12=0,F12="N/A"),0,F12/F13))</f>
        <v>0.86466643326326176</v>
      </c>
      <c r="G14" s="145">
        <f>IF(ISBLANK(G12),"N/A",IF(OR(G12=0,G12="N/A"),0,G12/G13))</f>
        <v>0.88604841196348971</v>
      </c>
      <c r="H14" s="145">
        <f>IF(ISBLANK(H12),"N/A",IF(AND(H12=0,H13=0,NOT(ISBLANK(H12)),NOT(ISBLANK(H13))),1,H12/H13))</f>
        <v>0.89573428575340108</v>
      </c>
      <c r="I14" s="283"/>
      <c r="J14" s="96"/>
      <c r="K14" s="159"/>
      <c r="L14" s="271"/>
      <c r="M14" s="301"/>
      <c r="N14" s="117" t="s">
        <v>200</v>
      </c>
      <c r="O14" s="10" t="s">
        <v>7</v>
      </c>
      <c r="P14" s="1" t="b">
        <f>OR(AND(F16&lt;E16,F16&gt;0),AND(G16&lt;F16,G16&gt;0),AND(H16&lt;G16,H16&gt;0),AND(I16&lt;H16,I16&gt;0),AND(G17&gt;F17, F17&gt;0),AND(H17&gt;G17, G17&gt;0),AND(I17&lt;H17,I17&gt;0))</f>
        <v>1</v>
      </c>
      <c r="Q14" s="1">
        <v>6</v>
      </c>
      <c r="T14" s="91" t="s">
        <v>59</v>
      </c>
      <c r="U14" s="1" t="str">
        <f>IF(P15=TRUE,A19,"")</f>
        <v/>
      </c>
    </row>
    <row r="15" spans="1:22" ht="15.75" customHeight="1" x14ac:dyDescent="0.25">
      <c r="A15" s="276" t="str">
        <f>LEFT(B15,3)&amp;" "&amp;RIGHT(B15,6)</f>
        <v>CGE CQ2-16</v>
      </c>
      <c r="B15" s="304" t="s">
        <v>208</v>
      </c>
      <c r="C15" s="119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301"/>
      <c r="N15" s="117" t="s">
        <v>222</v>
      </c>
      <c r="O15" s="10" t="s">
        <v>8</v>
      </c>
      <c r="P15" s="1" t="b">
        <f>OR(AND(G20&lt;F20,D10&gt;0),AND(H20&lt;G20,H20&gt;0),AND(I20&lt;H20,I20&gt;0),AND(J20&lt;I20,J20&gt;0),AND(H21&gt;G21, G21&gt;0),AND(I21&gt;H21, H21&gt;0),AND(J21&lt;I21, J21&gt;0))</f>
        <v>0</v>
      </c>
      <c r="Q15" s="1">
        <v>7</v>
      </c>
      <c r="T15" s="91" t="s">
        <v>60</v>
      </c>
      <c r="U15" s="1" t="str">
        <f>IF(P16=TRUE,A23,"")</f>
        <v/>
      </c>
    </row>
    <row r="16" spans="1:22" ht="15.75" customHeight="1" x14ac:dyDescent="0.25">
      <c r="A16" s="277"/>
      <c r="B16" s="305"/>
      <c r="C16" s="22" t="s">
        <v>23</v>
      </c>
      <c r="D16" s="161"/>
      <c r="E16" s="137">
        <f>LOOKUP($U$11,Lookup!$C$3:$C$672,Lookup!S$3:S$672)</f>
        <v>840928.05</v>
      </c>
      <c r="F16" s="137">
        <f>LOOKUP($U$11,Lookup!$C$3:$C$672,Lookup!T$3:T$672)</f>
        <v>1212667.9099999999</v>
      </c>
      <c r="G16" s="137">
        <f>LOOKUP($U$11,Lookup!$C$3:$C$672,Lookup!U$3:U$672)</f>
        <v>1295296.43</v>
      </c>
      <c r="H16" s="144">
        <v>1323210.8899999999</v>
      </c>
      <c r="I16" s="144">
        <v>1347720.84</v>
      </c>
      <c r="J16" s="98"/>
      <c r="K16" s="159"/>
      <c r="L16" s="271"/>
      <c r="M16" s="301"/>
      <c r="N16" s="26" t="s">
        <v>193</v>
      </c>
      <c r="O16" s="10" t="s">
        <v>11</v>
      </c>
      <c r="P16" s="1" t="b">
        <f>OR(AND(H24&lt;G24, H24&gt;0),AND(I24&lt;H24, I24&gt;0),AND(J24&lt;I24, J24&gt;0),AND(K24&lt;J24, K24&gt;0),AND(I25&gt;H25, H25&gt;0),AND(J25&gt;I25, I25&gt;0),AND(K25&lt;J25, J25&gt;0))</f>
        <v>0</v>
      </c>
      <c r="Q16" s="1">
        <v>8</v>
      </c>
      <c r="T16" s="91" t="s">
        <v>61</v>
      </c>
      <c r="U16" s="1" t="str">
        <f>IF(P17=TRUE,A27,"")</f>
        <v/>
      </c>
    </row>
    <row r="17" spans="1:21" ht="15.75" customHeight="1" thickBot="1" x14ac:dyDescent="0.3">
      <c r="A17" s="277"/>
      <c r="B17" s="305"/>
      <c r="C17" s="22" t="s">
        <v>24</v>
      </c>
      <c r="D17" s="161"/>
      <c r="E17" s="138">
        <f>LOOKUP($U$11,Lookup!$C$3:$C$672,Lookup!N$3:N$672)</f>
        <v>1583874.7</v>
      </c>
      <c r="F17" s="138">
        <f>LOOKUP($U$11,Lookup!$C$3:$C$672,Lookup!O$3:O$672)</f>
        <v>1503688.54</v>
      </c>
      <c r="G17" s="138">
        <f>LOOKUP($U$11,Lookup!$C$3:$C$672,Lookup!P$3:P$672)</f>
        <v>1500816.54</v>
      </c>
      <c r="H17" s="54">
        <v>1499468.82</v>
      </c>
      <c r="I17" s="54">
        <v>1498997.98</v>
      </c>
      <c r="J17" s="98"/>
      <c r="K17" s="159"/>
      <c r="L17" s="271"/>
      <c r="M17" s="301"/>
      <c r="N17" s="117" t="s">
        <v>201</v>
      </c>
      <c r="O17" s="10" t="s">
        <v>12</v>
      </c>
      <c r="P17" s="1" t="b">
        <f>OR(AND(I28&lt;H28, I28&gt;0),AND(J28&lt;I28, J28&gt;0),AND(K28&lt;J28, K28&gt;0),AND(J29&gt;I29, I29&gt;0),AND(K29&gt;J29, J29&gt;0))</f>
        <v>0</v>
      </c>
      <c r="Q17" s="1">
        <v>9</v>
      </c>
      <c r="T17" s="91" t="s">
        <v>62</v>
      </c>
      <c r="U17" s="1" t="str">
        <f>IF(P18=TRUE,A31,"")</f>
        <v/>
      </c>
    </row>
    <row r="18" spans="1:21" ht="15.75" customHeight="1" thickBot="1" x14ac:dyDescent="0.3">
      <c r="A18" s="278"/>
      <c r="B18" s="306"/>
      <c r="C18" s="24" t="s">
        <v>26</v>
      </c>
      <c r="D18" s="162"/>
      <c r="E18" s="145">
        <f>IF(ISBLANK(E16),"N/A",IF(OR(E16=0,E16="N/A"),0,E16/E17))</f>
        <v>0.5309309189672643</v>
      </c>
      <c r="F18" s="145">
        <f>IF(ISBLANK(F16),"N/A",IF(OR(F16=0,F16="N/A"),0,F16/F17))</f>
        <v>0.80646216137285975</v>
      </c>
      <c r="G18" s="145">
        <f>IF(ISBLANK(G16),"N/A",IF(OR(G16=0,G16="N/A"),0,G16/G17))</f>
        <v>0.86306113737259316</v>
      </c>
      <c r="H18" s="145">
        <f>IF(ISBLANK(H16),"N/A",IF(AND(H16=0,H17=0,NOT(ISBLANK(H16)),NOT(ISBLANK(H17))),1,H16/H17))</f>
        <v>0.8824530876207215</v>
      </c>
      <c r="I18" s="145">
        <f>IF(ISBLANK(I16),"N/A",IF(AND(I16=0,I17=0,NOT(ISBLANK(I16)),NOT(ISBLANK(I17))),1,I16/I17))</f>
        <v>0.89908115820142742</v>
      </c>
      <c r="J18" s="99"/>
      <c r="K18" s="159"/>
      <c r="L18" s="271"/>
      <c r="M18" s="301"/>
      <c r="N18" s="117" t="s">
        <v>202</v>
      </c>
      <c r="O18" s="10" t="s">
        <v>13</v>
      </c>
      <c r="P18" s="1" t="b">
        <f>OR(AND(J32&lt;I32, J32&gt;0),AND(K32&lt;J32, K32&gt;0),AND(K33&gt;J33, J33&gt;0))</f>
        <v>0</v>
      </c>
      <c r="Q18" s="1">
        <v>10</v>
      </c>
      <c r="T18" s="91" t="s">
        <v>63</v>
      </c>
      <c r="U18" s="1" t="str">
        <f>IF(P19=TRUE,A35,"")</f>
        <v/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119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301"/>
      <c r="N19" s="26" t="s">
        <v>194</v>
      </c>
      <c r="O19" s="10" t="s">
        <v>14</v>
      </c>
      <c r="P19" s="1" t="b">
        <f>OR(K36&lt;J36)</f>
        <v>0</v>
      </c>
      <c r="Q19" s="1">
        <v>11</v>
      </c>
      <c r="T19" s="91" t="s">
        <v>64</v>
      </c>
      <c r="U19" s="1" t="str">
        <f>U12&amp;" "&amp;U13&amp;" "&amp;U14&amp;" "&amp;U15&amp;" "&amp;U16&amp;" "&amp;U17&amp;" "&amp;U18</f>
        <v xml:space="preserve">CGE CQ1-16 CGE CQ2-16     </v>
      </c>
    </row>
    <row r="20" spans="1:21" ht="15.75" customHeight="1" x14ac:dyDescent="0.25">
      <c r="A20" s="277"/>
      <c r="B20" s="264"/>
      <c r="C20" s="22" t="s">
        <v>23</v>
      </c>
      <c r="D20" s="163"/>
      <c r="E20" s="29"/>
      <c r="F20" s="137">
        <f>LOOKUP($U$11,Lookup!$C$3:$C$672,Lookup!AC$3:AC$672)</f>
        <v>799282.8</v>
      </c>
      <c r="G20" s="137">
        <f>LOOKUP($U$11,Lookup!$C$3:$C$672,Lookup!AD$3:AD$672)</f>
        <v>1167318.78</v>
      </c>
      <c r="H20" s="144">
        <v>1260471.48</v>
      </c>
      <c r="I20" s="144">
        <v>1310192.57</v>
      </c>
      <c r="J20" s="144"/>
      <c r="K20" s="165"/>
      <c r="L20" s="271"/>
      <c r="M20" s="301"/>
      <c r="N20" s="187" t="s">
        <v>192</v>
      </c>
      <c r="O20" s="10" t="s">
        <v>15</v>
      </c>
      <c r="P20" s="1">
        <f>COUNTIF(P13:P19,"TRUE")</f>
        <v>2</v>
      </c>
      <c r="Q20" s="1">
        <v>12</v>
      </c>
      <c r="T20" s="91" t="s">
        <v>65</v>
      </c>
    </row>
    <row r="21" spans="1:21" s="16" customFormat="1" ht="15.75" customHeight="1" thickBot="1" x14ac:dyDescent="0.3">
      <c r="A21" s="277"/>
      <c r="B21" s="264"/>
      <c r="C21" s="22" t="s">
        <v>24</v>
      </c>
      <c r="D21" s="163"/>
      <c r="E21" s="29"/>
      <c r="F21" s="138">
        <f>LOOKUP($U$11,Lookup!$C$3:$C$672,Lookup!X$3:X$672)</f>
        <v>1554541.1</v>
      </c>
      <c r="G21" s="138">
        <f>LOOKUP($U$11,Lookup!$C$3:$C$672,Lookup!Y$3:Y$672)</f>
        <v>1483449.63</v>
      </c>
      <c r="H21" s="54">
        <v>1476708.13</v>
      </c>
      <c r="I21" s="54">
        <v>1474795.04</v>
      </c>
      <c r="J21" s="54"/>
      <c r="K21" s="165"/>
      <c r="L21" s="271"/>
      <c r="M21" s="301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4" t="s">
        <v>26</v>
      </c>
      <c r="D22" s="163"/>
      <c r="E22" s="33"/>
      <c r="F22" s="152">
        <f>IF(ISBLANK(F20),"N/A",IF(OR(F20=0,F20="N/A"),0,F20/F21))</f>
        <v>0.51415996656505258</v>
      </c>
      <c r="G22" s="145">
        <f>IF(ISBLANK(G20),"N/A",IF(OR(G20=0,G20="N/A"),0,G20/G21))</f>
        <v>0.78689478657930578</v>
      </c>
      <c r="H22" s="145">
        <f>IF(ISBLANK(H20),"N/A",IF(AND(H20=0,H21=0,NOT(ISBLANK(H20)),NOT(ISBLANK(H21))),1,H20/H21))</f>
        <v>0.85356845702474737</v>
      </c>
      <c r="I22" s="145">
        <f>IF(ISBLANK(I20),"N/A",IF(AND(I20=0,I21=0,NOT(ISBLANK(I20)),NOT(ISBLANK(I21))),1,I20/I21))</f>
        <v>0.88838959615703617</v>
      </c>
      <c r="J22" s="145" t="str">
        <f>IF(ISBLANK(J20),"N/A",IF(AND(J20=0,J21=0,NOT(ISBLANK(J20)),NOT(ISBLANK(J21))),1,J20/J21))</f>
        <v>N/A</v>
      </c>
      <c r="K22" s="166"/>
      <c r="L22" s="271"/>
      <c r="M22" s="301"/>
      <c r="N22" s="83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304" t="s">
        <v>210</v>
      </c>
      <c r="C23" s="21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303"/>
      <c r="N23" s="94"/>
      <c r="O23" s="101" t="b">
        <v>0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IF(AND('Circuit Criminal'!D4=1,S36=1),A11,IF(AND('Circuit Criminal'!D4=2,S36=1),A15,IF(AND('Circuit Criminal'!D4=3,S36=1),A19,IF(AND('Circuit Criminal'!D4=4,S36=1),A23,""))))</f>
        <v/>
      </c>
      <c r="T23" s="91" t="s">
        <v>68</v>
      </c>
    </row>
    <row r="24" spans="1:21" s="18" customFormat="1" ht="15.75" customHeight="1" x14ac:dyDescent="0.3">
      <c r="A24" s="277"/>
      <c r="B24" s="305"/>
      <c r="C24" s="22" t="s">
        <v>23</v>
      </c>
      <c r="D24" s="163"/>
      <c r="E24" s="33"/>
      <c r="F24" s="29"/>
      <c r="G24" s="139">
        <f>LOOKUP($U$11,Lookup!$C$3:$C$672,Lookup!AM$3:AM$672)</f>
        <v>726811.93</v>
      </c>
      <c r="H24" s="144">
        <v>1046404.86</v>
      </c>
      <c r="I24" s="144">
        <v>1160248.8600000001</v>
      </c>
      <c r="J24" s="144"/>
      <c r="K24" s="169"/>
      <c r="L24" s="271"/>
      <c r="M24" s="301"/>
      <c r="N24" s="103"/>
      <c r="O24" s="120" t="b">
        <v>0</v>
      </c>
      <c r="P24" s="120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IF(AND('Circuit Criminal'!D4=1,S37=1),A15,IF(AND('Circuit Criminal'!D4=2,S37=1),A19,IF(AND('Circuit Criminal'!D4=3,S37=1),A23,IF(AND('Circuit Criminal'!D4=4,S37=1),A27,""))))</f>
        <v/>
      </c>
      <c r="T24" s="91" t="s">
        <v>69</v>
      </c>
    </row>
    <row r="25" spans="1:21" ht="15.75" customHeight="1" thickBot="1" x14ac:dyDescent="0.3">
      <c r="A25" s="277"/>
      <c r="B25" s="305"/>
      <c r="C25" s="22" t="s">
        <v>24</v>
      </c>
      <c r="D25" s="287"/>
      <c r="E25" s="289"/>
      <c r="F25" s="269"/>
      <c r="G25" s="140">
        <f>LOOKUP($U$11,Lookup!$C$3:$C$672,Lookup!AH$3:AH$672)</f>
        <v>1387136.4</v>
      </c>
      <c r="H25" s="54">
        <v>1327502.68</v>
      </c>
      <c r="I25" s="54">
        <v>1323582</v>
      </c>
      <c r="J25" s="54"/>
      <c r="K25" s="54"/>
      <c r="L25" s="271"/>
      <c r="M25" s="301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IF(AND('Circuit Criminal'!D4=1,S38=1),A19,IF(AND('Circuit Criminal'!D4=2,S38=1),A23,IF(AND('Circuit Criminal'!D4=3,S38=1),A27,IF(AND('Circuit Criminal'!D4=4,S38=1),A31,""))))</f>
        <v/>
      </c>
      <c r="T25" s="91" t="s">
        <v>70</v>
      </c>
    </row>
    <row r="26" spans="1:21" ht="15.75" customHeight="1" thickBot="1" x14ac:dyDescent="0.3">
      <c r="A26" s="278"/>
      <c r="B26" s="306"/>
      <c r="C26" s="24" t="s">
        <v>26</v>
      </c>
      <c r="D26" s="288"/>
      <c r="E26" s="290"/>
      <c r="F26" s="270"/>
      <c r="G26" s="153">
        <f>IF(ISBLANK(G24),"N/A",IF(OR(G24=0,G24="N/A"),0,G24/G25))</f>
        <v>0.52396572536053421</v>
      </c>
      <c r="H26" s="145">
        <f>IF(ISBLANK(H24),"N/A",IF(AND(H24=0,H25=0,NOT(ISBLANK(H24)),NOT(ISBLANK(H25))),1,H24/H25))</f>
        <v>0.78825065724161103</v>
      </c>
      <c r="I26" s="145">
        <f>IF(ISBLANK(I24),"N/A",IF(AND(I24=0,I25=0,NOT(ISBLANK(I24)),NOT(ISBLANK(I25))),1,I24/I25))</f>
        <v>0.87659764185369704</v>
      </c>
      <c r="J26" s="145" t="str">
        <f>IF(ISBLANK(J24),"N/A",IF(AND(J24=0,J25=0,NOT(ISBLANK(J24)),NOT(ISBLANK(J25))),1,J24/J25))</f>
        <v>N/A</v>
      </c>
      <c r="K26" s="171" t="str">
        <f>IF(ISBLANK(K24),"N/A",IF(AND(K24=0,K25=0,NOT(ISBLANK(K24)),NOT(ISBLANK(K25))),1,K24/K25))</f>
        <v>N/A</v>
      </c>
      <c r="L26" s="271"/>
      <c r="M26" s="302"/>
      <c r="N26" s="84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IF(AND('Circuit Criminal'!D4=1,S39=1),A23,IF(AND('Circuit Criminal'!D4=2,S39=1),A27,IF(AND('Circuit Criminal'!D4=3,S39=1),A31,IF(AND('Circuit Criminal'!D4=4,S39=1),A35,""))))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21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94"/>
      <c r="M27" s="94"/>
      <c r="N27" s="9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IF(AND('Circuit Criminal'!D4=1,S40=1),A27,IF(AND('Circuit Criminal'!D4=2,S40=1),A31,IF(AND('Circuit Criminal'!D4=3,S40=1),A35,IF(AND('Circuit Criminal'!D4=4,S40=1),A39,""))))</f>
        <v/>
      </c>
      <c r="T27" s="91" t="s">
        <v>72</v>
      </c>
    </row>
    <row r="28" spans="1:21" ht="15.75" customHeight="1" x14ac:dyDescent="0.25">
      <c r="A28" s="277"/>
      <c r="B28" s="264"/>
      <c r="C28" s="22" t="s">
        <v>23</v>
      </c>
      <c r="D28" s="173"/>
      <c r="E28" s="33"/>
      <c r="F28" s="33"/>
      <c r="G28" s="29"/>
      <c r="H28" s="144">
        <v>753746.82</v>
      </c>
      <c r="I28" s="144">
        <v>1096736.53</v>
      </c>
      <c r="J28" s="144"/>
      <c r="K28" s="169"/>
      <c r="L28" s="103"/>
      <c r="M28" s="103"/>
      <c r="N28" s="103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22" t="s">
        <v>24</v>
      </c>
      <c r="D29" s="173"/>
      <c r="E29" s="33"/>
      <c r="F29" s="33"/>
      <c r="G29" s="29"/>
      <c r="H29" s="54">
        <v>1367103.7</v>
      </c>
      <c r="I29" s="54">
        <v>1306025.75</v>
      </c>
      <c r="J29" s="54"/>
      <c r="K29" s="54"/>
      <c r="L29" s="103"/>
      <c r="M29" s="103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4" t="s">
        <v>26</v>
      </c>
      <c r="D30" s="174"/>
      <c r="E30" s="30"/>
      <c r="F30" s="30"/>
      <c r="G30" s="30"/>
      <c r="H30" s="145">
        <f>IF(ISBLANK(H28),"N/A",IF(AND(H28=0,H29=0,NOT(ISBLANK(H28)),NOT(ISBLANK(H29))),1,H28/H29))</f>
        <v>0.55134575380053463</v>
      </c>
      <c r="I30" s="145">
        <f>IF(ISBLANK(I28),"N/A",IF(AND(I28=0,I29=0,NOT(ISBLANK(I28)),NOT(ISBLANK(I29))),1,I28/I29))</f>
        <v>0.8397510768834382</v>
      </c>
      <c r="J30" s="145" t="str">
        <f>IF(ISBLANK(J28),"N/A",IF(AND(J28=0,J29=0,NOT(ISBLANK(J28)),NOT(ISBLANK(J29))),1,J28/J29))</f>
        <v>N/A</v>
      </c>
      <c r="K30" s="171" t="str">
        <f>IF(ISBLANK(K28),"N/A",IF(AND(K28=0,K29=0,NOT(ISBLANK(K28)),NOT(ISBLANK(K29))),1,K28/K29))</f>
        <v>N/A</v>
      </c>
      <c r="L30" s="84"/>
      <c r="M30" s="84"/>
      <c r="N30" s="84"/>
      <c r="O30" s="101" t="b">
        <v>0</v>
      </c>
      <c r="P30" s="101" t="b">
        <v>0</v>
      </c>
      <c r="Q30" s="1" t="str">
        <f>IF(AND(OR(ISBLANK(J20),ISBLANK(J21)),O30=FALSE),"Red","Gray")</f>
        <v>Red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304" t="s">
        <v>258</v>
      </c>
      <c r="C31" s="119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94"/>
      <c r="O31" s="101" t="b">
        <v>0</v>
      </c>
      <c r="P31" s="101" t="b">
        <v>0</v>
      </c>
      <c r="Q31" s="1" t="str">
        <f>IF(AND(OR(ISBLANK(J24),ISBLANK(J25)),O31=FALSE),"Red","Gray")</f>
        <v>Red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305"/>
      <c r="C32" s="22" t="s">
        <v>23</v>
      </c>
      <c r="D32" s="175"/>
      <c r="E32" s="74"/>
      <c r="F32" s="74"/>
      <c r="G32" s="74"/>
      <c r="H32" s="74"/>
      <c r="I32" s="144">
        <v>843113.9</v>
      </c>
      <c r="J32" s="144"/>
      <c r="K32" s="169"/>
      <c r="L32" s="307"/>
      <c r="M32" s="258"/>
      <c r="N32" s="103"/>
      <c r="O32" s="101" t="b">
        <v>0</v>
      </c>
      <c r="P32" s="101" t="b">
        <v>0</v>
      </c>
      <c r="Q32" s="1" t="str">
        <f>IF(AND(OR(ISBLANK(J28),ISBLANK(J29)),O32=FALSE),"Red","Gray")</f>
        <v>Red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305"/>
      <c r="C33" s="22" t="s">
        <v>24</v>
      </c>
      <c r="D33" s="175"/>
      <c r="E33" s="74"/>
      <c r="F33" s="74"/>
      <c r="G33" s="74"/>
      <c r="H33" s="74"/>
      <c r="I33" s="54">
        <v>1557605.4</v>
      </c>
      <c r="J33" s="54"/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Red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306"/>
      <c r="C34" s="24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0.54128850606193335</v>
      </c>
      <c r="J34" s="145" t="str">
        <f>IF(ISBLANK(J32),"N/A",IF(AND(J32=0,J33=0,NOT(ISBLANK(J32)),NOT(ISBLANK(J33))),1,J32/J33))</f>
        <v>N/A</v>
      </c>
      <c r="K34" s="171" t="str">
        <f>IF(ISBLANK(K32),"N/A",IF(AND(K32=0,K33=0,NOT(ISBLANK(K32)),NOT(ISBLANK(K33))),1,K32/K33))</f>
        <v>N/A</v>
      </c>
      <c r="L34" s="259"/>
      <c r="M34" s="260"/>
      <c r="N34" s="84"/>
      <c r="O34" s="121" t="b">
        <v>0</v>
      </c>
      <c r="P34" s="105" t="b">
        <v>0</v>
      </c>
      <c r="Q34" s="1" t="str">
        <f>IF(AND(OR(ISBLANK(J36),ISBLANK(J37)),O34=FALSE),"Red","Gray")</f>
        <v>Red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119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9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22" t="s">
        <v>23</v>
      </c>
      <c r="D36" s="177"/>
      <c r="E36" s="107"/>
      <c r="F36" s="107"/>
      <c r="G36" s="107"/>
      <c r="H36" s="107"/>
      <c r="I36" s="108"/>
      <c r="J36" s="144"/>
      <c r="K36" s="169"/>
      <c r="L36" s="259"/>
      <c r="M36" s="260"/>
      <c r="N36" s="103"/>
      <c r="O36" s="14" t="str">
        <f>IF(AND('Circuit Criminal'!$D$4=1,Q23="Red"),"Red","Gray")</f>
        <v>Gray</v>
      </c>
      <c r="P36" s="14" t="str">
        <f>IF(AND('Circuit Criminal'!$D$4=2,R23="Red"),"Red","Gray")</f>
        <v>Gray</v>
      </c>
      <c r="Q36" s="14" t="str">
        <f>IF(AND('Circuit Criminal'!$D$4=3,Q30="Red"),"Red","Gray")</f>
        <v>Gray</v>
      </c>
      <c r="R36" s="14" t="str">
        <f>IF(AND('Circuit Criminal'!$D$4=4,R30="Red"),"Red","Gray")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22" t="s">
        <v>24</v>
      </c>
      <c r="D37" s="177"/>
      <c r="E37" s="107"/>
      <c r="F37" s="107"/>
      <c r="G37" s="107"/>
      <c r="H37" s="107"/>
      <c r="I37" s="107"/>
      <c r="J37" s="54"/>
      <c r="K37" s="54"/>
      <c r="L37" s="259"/>
      <c r="M37" s="260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23" t="s">
        <v>26</v>
      </c>
      <c r="D38" s="178"/>
      <c r="E38" s="112"/>
      <c r="F38" s="112"/>
      <c r="G38" s="112"/>
      <c r="H38" s="112"/>
      <c r="I38" s="112"/>
      <c r="J38" s="145" t="str">
        <f>IF(ISBLANK(J36),"N/A",IF(AND(J36=0,J37=0,NOT(ISBLANK(J36)),NOT(ISBLANK(J37))),1,J36/J37))</f>
        <v>N/A</v>
      </c>
      <c r="K38" s="171" t="str">
        <f>IF(ISBLANK(K36),"N/A",IF(AND(K36=0,K37=0,NOT(ISBLANK(K36)),NOT(ISBLANK(K37))),1,K36/K37))</f>
        <v>N/A</v>
      </c>
      <c r="L38" s="259"/>
      <c r="M38" s="260"/>
      <c r="N38" s="84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304" t="s">
        <v>260</v>
      </c>
      <c r="C39" s="21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9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305"/>
      <c r="C40" s="122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103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305"/>
      <c r="C41" s="122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306"/>
      <c r="C42" s="123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84"/>
      <c r="O42" s="35">
        <f>SUM(O41:R41)</f>
        <v>0</v>
      </c>
      <c r="P42" s="15"/>
      <c r="T42" s="91" t="s">
        <v>87</v>
      </c>
    </row>
    <row r="43" spans="1:20" ht="61.2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90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92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93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94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95</v>
      </c>
    </row>
    <row r="49" spans="1:20" s="11" customFormat="1" ht="20.2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9"/>
      <c r="Q49" s="10"/>
      <c r="T49" s="91" t="s">
        <v>92</v>
      </c>
    </row>
    <row r="50" spans="1:20" ht="15.75" hidden="1" customHeight="1" x14ac:dyDescent="0.25">
      <c r="O50" s="13"/>
      <c r="P50" s="13"/>
      <c r="Q50" s="10"/>
      <c r="T50" s="91" t="s">
        <v>93</v>
      </c>
    </row>
    <row r="51" spans="1:20" ht="15.75" hidden="1" customHeight="1" x14ac:dyDescent="0.25">
      <c r="O51" s="14"/>
      <c r="P51" s="15"/>
      <c r="Q51" s="10"/>
      <c r="T51" s="91" t="s">
        <v>94</v>
      </c>
    </row>
    <row r="52" spans="1:20" ht="15.75" hidden="1" customHeight="1" x14ac:dyDescent="0.25">
      <c r="O52" s="14"/>
      <c r="P52" s="15"/>
      <c r="Q52" s="10"/>
      <c r="T52" s="91" t="s">
        <v>95</v>
      </c>
    </row>
    <row r="53" spans="1:20" ht="15.75" hidden="1" customHeight="1" x14ac:dyDescent="0.25">
      <c r="A53" s="275"/>
      <c r="B53" s="275"/>
      <c r="K53" s="14"/>
      <c r="L53" s="14"/>
      <c r="M53" s="14"/>
      <c r="N53" s="14"/>
      <c r="O53" s="15"/>
      <c r="P53" s="10"/>
      <c r="T53" s="91" t="s">
        <v>98</v>
      </c>
    </row>
    <row r="54" spans="1:20" ht="15.75" customHeight="1" x14ac:dyDescent="0.25">
      <c r="K54" s="14"/>
      <c r="L54" s="14"/>
      <c r="M54" s="14"/>
      <c r="N54" s="14"/>
      <c r="O54" s="15"/>
      <c r="P54" s="10"/>
      <c r="T54" s="91" t="s">
        <v>99</v>
      </c>
    </row>
    <row r="55" spans="1:20" ht="15.75" customHeight="1" x14ac:dyDescent="0.25">
      <c r="K55" s="14"/>
      <c r="L55" s="14"/>
      <c r="M55" s="14"/>
      <c r="N55" s="14"/>
      <c r="O55" s="15"/>
      <c r="P55" s="10"/>
      <c r="T55" s="91" t="s">
        <v>100</v>
      </c>
    </row>
    <row r="56" spans="1:20" ht="15.75" hidden="1" customHeight="1" x14ac:dyDescent="0.25">
      <c r="B56" s="1">
        <f>MAX('County Civil'!B56:B99)</f>
        <v>7</v>
      </c>
      <c r="D56" s="1" t="s">
        <v>128</v>
      </c>
      <c r="F56" s="1" t="s">
        <v>129</v>
      </c>
      <c r="G56" s="1" t="s">
        <v>130</v>
      </c>
      <c r="H56" s="1" t="s">
        <v>131</v>
      </c>
      <c r="I56" s="1" t="s">
        <v>132</v>
      </c>
      <c r="J56" s="1" t="s">
        <v>139</v>
      </c>
      <c r="K56" s="14"/>
      <c r="L56" s="14"/>
      <c r="M56" s="14"/>
      <c r="N56" s="14"/>
      <c r="O56" s="15"/>
      <c r="T56" s="91" t="s">
        <v>101</v>
      </c>
    </row>
    <row r="57" spans="1:20" ht="69" hidden="1" customHeight="1" x14ac:dyDescent="0.25">
      <c r="A57" s="1" t="str">
        <f>D$8</f>
        <v>Civil Traffic</v>
      </c>
      <c r="B57" s="1">
        <f>IF(E57="YES",MAX(B56)+1,0)</f>
        <v>0</v>
      </c>
      <c r="C57" s="1" t="str">
        <f>A$11</f>
        <v>CGE CQ1-16</v>
      </c>
      <c r="D57" s="42" t="str">
        <f>"After 3rd Q, Collections went up by more than set percentage of: "&amp;TEXT(J57,"#0%")</f>
        <v>After 3rd Q, Collections went up by more than set percentage of: 500%</v>
      </c>
      <c r="E57" s="1" t="str">
        <f>IF(MAX(F57:G57)&gt;V$10,"YES","NO")</f>
        <v>NO</v>
      </c>
      <c r="F57" s="43">
        <f>IFERROR(IF(NOT(ISBLANK(G12)),(G12-F12)/F12,0),0)</f>
        <v>2.4192384255081474E-2</v>
      </c>
      <c r="G57" s="43">
        <f>IFERROR(IF(NOT(ISBLANK(H12)),(H12-G12)/G12,0),0)</f>
        <v>1.0630729866848477E-2</v>
      </c>
      <c r="J57" s="41">
        <f>V$10</f>
        <v>5</v>
      </c>
      <c r="K57" s="14"/>
      <c r="L57" s="14"/>
      <c r="M57" s="14"/>
      <c r="N57" s="14"/>
      <c r="O57" s="15"/>
      <c r="T57" s="91" t="s">
        <v>102</v>
      </c>
    </row>
    <row r="58" spans="1:20" ht="72.75" hidden="1" customHeight="1" x14ac:dyDescent="0.25">
      <c r="A58" s="1" t="str">
        <f t="shared" ref="A58:A86" si="0">D$8</f>
        <v>Civil Traffic</v>
      </c>
      <c r="B58" s="1">
        <f>IF(E58="YES",MAX(B$56:B57)+1,0)</f>
        <v>0</v>
      </c>
      <c r="C58" s="1" t="str">
        <f>A$11</f>
        <v>CGE CQ1-16</v>
      </c>
      <c r="D58" s="42" t="str">
        <f>"Assessments dropped by more than set percentage of: "&amp;TEXT(J58,"#0%")</f>
        <v>Assessments dropped by more than set percentage of: 15%</v>
      </c>
      <c r="E58" s="1" t="str">
        <f>IF(MIN(F58:I58)&lt;(-1*V$11),"YES","NO")</f>
        <v>NO</v>
      </c>
      <c r="F58" s="43">
        <f>IFERROR(IF(NOT(ISBLANK(E13)),(E13-D13)/D13,0),0)</f>
        <v>-5.8912654300723163E-2</v>
      </c>
      <c r="G58" s="43">
        <f>IFERROR(IF(NOT(ISBLANK(F13)),(F13-E13)/E13,0),0)</f>
        <v>-5.777604234502437E-3</v>
      </c>
      <c r="H58" s="43">
        <f>IFERROR(IF(NOT(ISBLANK(G13)),(G13-F13)/F13,0),0)</f>
        <v>-5.2326271114790232E-4</v>
      </c>
      <c r="I58" s="43">
        <f>IFERROR(IF(NOT(ISBLANK(H13)),(H13-G13)/G13,0),0)</f>
        <v>-2.9755752081472462E-4</v>
      </c>
      <c r="J58" s="41">
        <f>V$11</f>
        <v>0.15</v>
      </c>
      <c r="K58" s="14"/>
      <c r="L58" s="14"/>
      <c r="M58" s="14"/>
      <c r="N58" s="14"/>
      <c r="O58" s="15"/>
      <c r="P58" s="10"/>
      <c r="T58" s="91" t="s">
        <v>107</v>
      </c>
    </row>
    <row r="59" spans="1:20" ht="52.5" hidden="1" customHeight="1" x14ac:dyDescent="0.25">
      <c r="A59" s="1" t="str">
        <f t="shared" si="0"/>
        <v>Civil Traffic</v>
      </c>
      <c r="B59" s="1">
        <f>IF(E59="YES",MAX(B$56:B58)+1,0)</f>
        <v>8</v>
      </c>
      <c r="C59" s="1" t="str">
        <f>A$11</f>
        <v>CGE CQ1-16</v>
      </c>
      <c r="D59" s="42" t="str">
        <f>"The 5th Quarter Collection Rate did not meet the established performance measure standard of: "&amp;TEXT(J59,"#0%")</f>
        <v>The 5th Quarter Collection Rate did not meet the established performance measure standard of: 90%</v>
      </c>
      <c r="E59" s="1" t="str">
        <f>IF(F59="N/A","NO",IF(F59&lt;H$8,"YES","NO"))</f>
        <v>YES</v>
      </c>
      <c r="F59" s="44">
        <f>H14</f>
        <v>0.89573428575340108</v>
      </c>
      <c r="J59" s="41">
        <f>H$8</f>
        <v>0.9</v>
      </c>
      <c r="K59" s="14"/>
      <c r="L59" s="14"/>
      <c r="M59" s="14"/>
      <c r="N59" s="14"/>
      <c r="O59" s="15"/>
      <c r="P59" s="10"/>
      <c r="T59" s="91" t="s">
        <v>114</v>
      </c>
    </row>
    <row r="60" spans="1:20" ht="45" hidden="1" customHeight="1" x14ac:dyDescent="0.25">
      <c r="A60" s="1" t="str">
        <f t="shared" si="0"/>
        <v>Civil Traffic</v>
      </c>
      <c r="B60" s="1">
        <f>IF(E60="YES",MAX(B$56:B59)+1,0)</f>
        <v>0</v>
      </c>
      <c r="C60" s="1" t="str">
        <f>A$11</f>
        <v>CGE CQ1-16</v>
      </c>
      <c r="D60" s="42" t="s">
        <v>133</v>
      </c>
      <c r="E60" s="1" t="str">
        <f>IF(MIN(F60:I60)&lt;0,"YES","NO")</f>
        <v>NO</v>
      </c>
      <c r="F60" s="43">
        <f t="shared" ref="F60:I61" si="1">IFERROR(IF(NOT(ISBLANK(E12)),(E12-D12)/D12,0),0)</f>
        <v>0.51963055822984017</v>
      </c>
      <c r="G60" s="43">
        <f t="shared" si="1"/>
        <v>6.7959626035086956E-2</v>
      </c>
      <c r="H60" s="43">
        <f t="shared" si="1"/>
        <v>2.4192384255081474E-2</v>
      </c>
      <c r="I60" s="43">
        <f t="shared" si="1"/>
        <v>1.0630729866848477E-2</v>
      </c>
      <c r="K60" s="14"/>
      <c r="L60" s="14"/>
      <c r="M60" s="14"/>
      <c r="N60" s="14"/>
      <c r="O60" s="15"/>
    </row>
    <row r="61" spans="1:20" ht="41.4" hidden="1" x14ac:dyDescent="0.25">
      <c r="A61" s="1" t="str">
        <f t="shared" si="0"/>
        <v>Civil Traffic</v>
      </c>
      <c r="B61" s="1">
        <f>IF(E61="YES",MAX(B$56:B60)+1,0)</f>
        <v>0</v>
      </c>
      <c r="C61" s="1" t="str">
        <f>A$11</f>
        <v>CGE CQ1-16</v>
      </c>
      <c r="D61" s="42" t="s">
        <v>134</v>
      </c>
      <c r="E61" s="1" t="str">
        <f>IF(MAX(F61:I61)&gt;0,"YES","NO")</f>
        <v>NO</v>
      </c>
      <c r="F61" s="43">
        <f t="shared" si="1"/>
        <v>-5.8912654300723163E-2</v>
      </c>
      <c r="G61" s="43">
        <f t="shared" si="1"/>
        <v>-5.777604234502437E-3</v>
      </c>
      <c r="H61" s="43">
        <f t="shared" si="1"/>
        <v>-5.2326271114790232E-4</v>
      </c>
      <c r="I61" s="43">
        <f t="shared" si="1"/>
        <v>-2.9755752081472462E-4</v>
      </c>
      <c r="K61" s="14"/>
      <c r="L61" s="14"/>
      <c r="M61" s="14"/>
      <c r="N61" s="14"/>
    </row>
    <row r="62" spans="1:20" s="16" customFormat="1" ht="65.25" hidden="1" customHeight="1" x14ac:dyDescent="0.25">
      <c r="A62" s="1" t="str">
        <f t="shared" si="0"/>
        <v>Civil Traffic</v>
      </c>
      <c r="B62" s="1">
        <f>IF(E62="YES",MAX(B$56:B61)+1,0)</f>
        <v>0</v>
      </c>
      <c r="C62" s="1" t="str">
        <f>A$15</f>
        <v>CGE CQ2-16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IFERROR(IF(NOT(ISBLANK(H16)),(H16-G16)/G16,0),0)</f>
        <v>2.1550634552432113E-2</v>
      </c>
      <c r="G62" s="43">
        <f>IFERROR(IF(NOT(ISBLANK(I16)),(I16-H16)/H16,0),0)</f>
        <v>1.8523086671392335E-2</v>
      </c>
      <c r="H62" s="43"/>
      <c r="I62" s="1"/>
      <c r="J62" s="41">
        <f>V$10</f>
        <v>5</v>
      </c>
      <c r="K62" s="14"/>
      <c r="L62" s="14"/>
      <c r="M62" s="14"/>
      <c r="N62" s="14"/>
      <c r="O62" s="11"/>
      <c r="P62" s="1"/>
      <c r="T62" s="91" t="s">
        <v>103</v>
      </c>
    </row>
    <row r="63" spans="1:20" ht="60.75" hidden="1" customHeight="1" x14ac:dyDescent="0.25">
      <c r="A63" s="1" t="str">
        <f t="shared" si="0"/>
        <v>Civil Traffic</v>
      </c>
      <c r="B63" s="1">
        <f>IF(E63="YES",MAX(B$56:B62)+1,0)</f>
        <v>0</v>
      </c>
      <c r="C63" s="1" t="str">
        <f>A$15</f>
        <v>CGE CQ2-16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IFERROR(IF(NOT(ISBLANK(F17)),(F17-E17)/E17,0),0)</f>
        <v>-5.0626580499076042E-2</v>
      </c>
      <c r="G63" s="43">
        <f>IFERROR(IF(NOT(ISBLANK(G17)),(G17-F17)/F17,0),0)</f>
        <v>-1.9099699995053497E-3</v>
      </c>
      <c r="H63" s="43">
        <f>IFERROR(IF(NOT(ISBLANK(H17)),(H17-G17)/G17,0),0)</f>
        <v>-8.9799116952693763E-4</v>
      </c>
      <c r="I63" s="43">
        <f>IFERROR(IF(NOT(ISBLANK(I17)),(I17-H17)/H17,0),0)</f>
        <v>-3.140045286170631E-4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108</v>
      </c>
    </row>
    <row r="64" spans="1:20" ht="52.5" hidden="1" customHeight="1" x14ac:dyDescent="0.25">
      <c r="A64" s="1" t="str">
        <f t="shared" si="0"/>
        <v>Civil Traffic</v>
      </c>
      <c r="B64" s="1">
        <f>IF(E64="YES",MAX(B$56:B63)+1,0)</f>
        <v>0</v>
      </c>
      <c r="C64" s="1" t="str">
        <f>A$15</f>
        <v>CGE CQ2-16</v>
      </c>
      <c r="D64" s="42" t="s">
        <v>133</v>
      </c>
      <c r="E64" s="1" t="str">
        <f>IF(MIN(F64:I64)&lt;0,"YES","NO")</f>
        <v>NO</v>
      </c>
      <c r="F64" s="43">
        <f t="shared" ref="F64:I65" si="2">IFERROR(IF(NOT(ISBLANK(F16)),(F16-E16)/E16,0),0)</f>
        <v>0.44205905606311963</v>
      </c>
      <c r="G64" s="43">
        <f t="shared" si="2"/>
        <v>6.8137797098960118E-2</v>
      </c>
      <c r="H64" s="43">
        <f t="shared" si="2"/>
        <v>2.1550634552432113E-2</v>
      </c>
      <c r="I64" s="43">
        <f t="shared" si="2"/>
        <v>1.8523086671392335E-2</v>
      </c>
      <c r="K64" s="14"/>
      <c r="L64" s="14"/>
      <c r="M64" s="14"/>
      <c r="N64" s="14"/>
      <c r="O64" s="15"/>
      <c r="P64" s="10"/>
    </row>
    <row r="65" spans="1:20" s="16" customFormat="1" ht="45" hidden="1" customHeight="1" x14ac:dyDescent="0.25">
      <c r="A65" s="1" t="str">
        <f t="shared" si="0"/>
        <v>Civil Traffic</v>
      </c>
      <c r="B65" s="1">
        <f>IF(E65="YES",MAX(B$56:B64)+1,0)</f>
        <v>0</v>
      </c>
      <c r="C65" s="1" t="str">
        <f>A$15</f>
        <v>CGE CQ2-16</v>
      </c>
      <c r="D65" s="42" t="s">
        <v>134</v>
      </c>
      <c r="E65" s="1" t="str">
        <f>IF(MAX(F65:I65)&gt;0,"YES","NO")</f>
        <v>NO</v>
      </c>
      <c r="F65" s="43">
        <f t="shared" si="2"/>
        <v>-5.0626580499076042E-2</v>
      </c>
      <c r="G65" s="43">
        <f t="shared" si="2"/>
        <v>-1.9099699995053497E-3</v>
      </c>
      <c r="H65" s="43">
        <f t="shared" si="2"/>
        <v>-8.9799116952693763E-4</v>
      </c>
      <c r="I65" s="43">
        <f t="shared" si="2"/>
        <v>-3.140045286170631E-4</v>
      </c>
      <c r="J65" s="1"/>
      <c r="K65" s="14"/>
      <c r="L65" s="14"/>
      <c r="M65" s="14"/>
      <c r="N65" s="14"/>
      <c r="O65" s="11"/>
      <c r="P65" s="1"/>
    </row>
    <row r="66" spans="1:20" ht="96.6" hidden="1" x14ac:dyDescent="0.25">
      <c r="A66" s="1" t="str">
        <f t="shared" si="0"/>
        <v>Civil Traffic</v>
      </c>
      <c r="B66" s="1">
        <f>IF(E66="YES",MAX(B$56:B65)+1,0)</f>
        <v>9</v>
      </c>
      <c r="C66" s="1" t="str">
        <f>A$15</f>
        <v>CGE CQ2-16</v>
      </c>
      <c r="D66" s="42" t="str">
        <f>"The 5th Quarter Collection Rate did not meet the established performance measure standard of: "&amp;TEXT(J66,"#0%")</f>
        <v>The 5th Quarter Collection Rate did not meet the established performance measure standard of: 90%</v>
      </c>
      <c r="E66" s="1" t="str">
        <f>IF(F66="N/A","NO",IF(F66&lt;H$8,"YES","NO"))</f>
        <v>YES</v>
      </c>
      <c r="F66" s="44">
        <f>I18</f>
        <v>0.89908115820142742</v>
      </c>
      <c r="J66" s="41">
        <f>H$8</f>
        <v>0.9</v>
      </c>
      <c r="K66" s="14"/>
      <c r="L66" s="14"/>
      <c r="M66" s="14"/>
      <c r="N66" s="14"/>
    </row>
    <row r="67" spans="1:20" ht="65.25" hidden="1" customHeight="1" x14ac:dyDescent="0.3">
      <c r="A67" s="1" t="str">
        <f t="shared" si="0"/>
        <v>Civil Traffic</v>
      </c>
      <c r="B67" s="1">
        <f>IF(E67="YES",MAX(B$56:B66)+1,0)</f>
        <v>0</v>
      </c>
      <c r="C67" s="1" t="str">
        <f>A$19</f>
        <v>CGE CQ3-16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IFERROR(IF(NOT(ISBLANK(I20)),(I20-H20)/H20,0),0)</f>
        <v>3.9446422064226383E-2</v>
      </c>
      <c r="G67" s="43">
        <f>IFERROR(IF(NOT(ISBLANK(J20)),(J20-I20)/I20,0),0)</f>
        <v>0</v>
      </c>
      <c r="J67" s="41">
        <f>V$10</f>
        <v>5</v>
      </c>
      <c r="K67" s="14"/>
      <c r="L67" s="14"/>
      <c r="M67" s="14"/>
      <c r="N67" s="14"/>
      <c r="O67" s="11"/>
      <c r="P67" s="18"/>
      <c r="T67" s="91" t="s">
        <v>104</v>
      </c>
    </row>
    <row r="68" spans="1:20" ht="60.75" hidden="1" customHeight="1" x14ac:dyDescent="0.25">
      <c r="A68" s="1" t="str">
        <f t="shared" si="0"/>
        <v>Civil Traffic</v>
      </c>
      <c r="B68" s="1">
        <f>IF(E68="YES",MAX(B$56:B67)+1,0)</f>
        <v>0</v>
      </c>
      <c r="C68" s="1" t="str">
        <f>A$19</f>
        <v>CGE CQ3-16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IFERROR(IF(NOT(ISBLANK(G21)),(G21-F21)/F21,0),0)</f>
        <v>-4.5731483072400082E-2</v>
      </c>
      <c r="G68" s="43">
        <f>IFERROR(IF(NOT(ISBLANK(H21)),(H21-G21)/G21,0),0)</f>
        <v>-4.5444751636090266E-3</v>
      </c>
      <c r="H68" s="43">
        <f>IFERROR(IF(NOT(ISBLANK(I21)),(I21-H21)/H21,0),0)</f>
        <v>-1.2955098987637124E-3</v>
      </c>
      <c r="I68" s="43">
        <f>IFERROR(IF(NOT(ISBLANK(J21)),(J21-I21)/I21,0),0)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109</v>
      </c>
    </row>
    <row r="69" spans="1:20" ht="52.5" hidden="1" customHeight="1" x14ac:dyDescent="0.25">
      <c r="A69" s="1" t="str">
        <f t="shared" si="0"/>
        <v>Civil Traffic</v>
      </c>
      <c r="B69" s="1">
        <f>IF(E69="YES",MAX(B$56:B68)+1,0)</f>
        <v>0</v>
      </c>
      <c r="C69" s="1" t="str">
        <f>A$19</f>
        <v>CGE CQ3-16</v>
      </c>
      <c r="D69" s="42" t="s">
        <v>133</v>
      </c>
      <c r="E69" s="1" t="str">
        <f>IF(MIN(F69:I69)&lt;0,"YES","NO")</f>
        <v>NO</v>
      </c>
      <c r="F69" s="43">
        <f t="shared" ref="F69:I70" si="3">IFERROR(IF(NOT(ISBLANK(G20)),(G20-F20)/F20,0),0)</f>
        <v>0.46045777539564214</v>
      </c>
      <c r="G69" s="43">
        <f t="shared" si="3"/>
        <v>7.9800566559890304E-2</v>
      </c>
      <c r="H69" s="43">
        <f t="shared" si="3"/>
        <v>3.9446422064226383E-2</v>
      </c>
      <c r="I69" s="43">
        <f t="shared" si="3"/>
        <v>0</v>
      </c>
      <c r="K69" s="14"/>
      <c r="L69" s="14"/>
      <c r="M69" s="14"/>
      <c r="N69" s="14"/>
      <c r="O69" s="15"/>
      <c r="P69" s="10"/>
    </row>
    <row r="70" spans="1:20" ht="45" hidden="1" customHeight="1" x14ac:dyDescent="0.25">
      <c r="A70" s="1" t="str">
        <f t="shared" si="0"/>
        <v>Civil Traffic</v>
      </c>
      <c r="B70" s="1">
        <f>IF(E70="YES",MAX(B$56:B69)+1,0)</f>
        <v>0</v>
      </c>
      <c r="C70" s="1" t="str">
        <f>A$19</f>
        <v>CGE CQ3-16</v>
      </c>
      <c r="D70" s="42" t="s">
        <v>134</v>
      </c>
      <c r="E70" s="1" t="str">
        <f>IF(MAX(F70:I70)&gt;0,"YES","NO")</f>
        <v>NO</v>
      </c>
      <c r="F70" s="43">
        <f t="shared" si="3"/>
        <v>-4.5731483072400082E-2</v>
      </c>
      <c r="G70" s="43">
        <f t="shared" si="3"/>
        <v>-4.5444751636090266E-3</v>
      </c>
      <c r="H70" s="43">
        <f t="shared" si="3"/>
        <v>-1.2955098987637124E-3</v>
      </c>
      <c r="I70" s="43">
        <f t="shared" si="3"/>
        <v>0</v>
      </c>
      <c r="K70" s="14"/>
      <c r="L70" s="14"/>
      <c r="M70" s="14"/>
      <c r="N70" s="14"/>
      <c r="O70" s="11"/>
    </row>
    <row r="71" spans="1:20" ht="96.6" hidden="1" x14ac:dyDescent="0.25">
      <c r="A71" s="1" t="str">
        <f t="shared" si="0"/>
        <v>Civil Traffic</v>
      </c>
      <c r="B71" s="1">
        <f>IF(E71="YES",MAX(B$56:B70)+1,0)</f>
        <v>0</v>
      </c>
      <c r="C71" s="1" t="str">
        <f>A$19</f>
        <v>CGE CQ3-16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90%</v>
      </c>
      <c r="E71" s="1" t="str">
        <f>IF(F71="N/A","NO",IF(F71&lt;H$8,"YES","NO"))</f>
        <v>NO</v>
      </c>
      <c r="F71" s="44" t="str">
        <f>J22</f>
        <v>N/A</v>
      </c>
      <c r="J71" s="41">
        <f>H$8</f>
        <v>0.9</v>
      </c>
      <c r="K71" s="14"/>
      <c r="L71" s="14"/>
      <c r="M71" s="14"/>
      <c r="N71" s="14"/>
    </row>
    <row r="72" spans="1:20" ht="65.25" hidden="1" customHeight="1" x14ac:dyDescent="0.25">
      <c r="A72" s="1" t="str">
        <f t="shared" si="0"/>
        <v>Civil Traffic</v>
      </c>
      <c r="B72" s="1">
        <f>IF(E72="YES",MAX(B$56:B71)+1,0)</f>
        <v>0</v>
      </c>
      <c r="C72" s="1" t="str">
        <f>A$23</f>
        <v>CGE CQ4-16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IF(MAX(F72:G72)&gt;V$10,"YES","NO")</f>
        <v>NO</v>
      </c>
      <c r="F72" s="43">
        <f>IFERROR(IF(NOT(ISBLANK(J24)),(J24-I24)/I24,0),0)</f>
        <v>0</v>
      </c>
      <c r="G72" s="43">
        <f>IFERROR(IF(NOT(ISBLANK(K24)),(K24-J24)/J24,0),0)</f>
        <v>0</v>
      </c>
      <c r="J72" s="41">
        <f>V$10</f>
        <v>5</v>
      </c>
      <c r="K72" s="14"/>
      <c r="L72" s="14"/>
      <c r="M72" s="14"/>
      <c r="N72" s="14"/>
      <c r="O72" s="15"/>
      <c r="P72" s="10"/>
      <c r="T72" s="91" t="s">
        <v>105</v>
      </c>
    </row>
    <row r="73" spans="1:20" ht="60.75" hidden="1" customHeight="1" x14ac:dyDescent="0.25">
      <c r="A73" s="1" t="str">
        <f t="shared" si="0"/>
        <v>Civil Traffic</v>
      </c>
      <c r="B73" s="1">
        <f>IF(E73="YES",MAX(B$56:B72)+1,0)</f>
        <v>0</v>
      </c>
      <c r="C73" s="1" t="str">
        <f>A$23</f>
        <v>CGE CQ4-16</v>
      </c>
      <c r="D73" s="42" t="str">
        <f>"Assessments dropped by more than set percentage of: "&amp;TEXT(J73,"#0%")</f>
        <v>Assessments dropped by more than set percentage of: 15%</v>
      </c>
      <c r="E73" s="1" t="str">
        <f>IF(MIN(F73:I73)&lt;(-1*V$11),"YES","NO")</f>
        <v>NO</v>
      </c>
      <c r="F73" s="43">
        <f>IFERROR(IF(NOT(ISBLANK(H25)),(H25-G25)/G25,0),0)</f>
        <v>-4.2990523498626358E-2</v>
      </c>
      <c r="G73" s="43">
        <f>IFERROR(IF(NOT(ISBLANK(I25)),(I25-H25)/H25,0),0)</f>
        <v>-2.9534252992995352E-3</v>
      </c>
      <c r="H73" s="43">
        <f>IFERROR(IF(NOT(ISBLANK(J25)),(J25-I25)/I25,0),0)</f>
        <v>0</v>
      </c>
      <c r="I73" s="43">
        <f>IFERROR(IF(NOT(ISBLANK(K25)),(K25-J25)/J25,0),0)</f>
        <v>0</v>
      </c>
      <c r="J73" s="41">
        <f>V$11</f>
        <v>0.15</v>
      </c>
      <c r="K73" s="14"/>
      <c r="L73" s="14"/>
      <c r="M73" s="14"/>
      <c r="N73" s="14"/>
      <c r="O73" s="15"/>
      <c r="P73" s="10"/>
      <c r="T73" s="91" t="s">
        <v>110</v>
      </c>
    </row>
    <row r="74" spans="1:20" ht="52.5" hidden="1" customHeight="1" x14ac:dyDescent="0.25">
      <c r="A74" s="1" t="str">
        <f t="shared" si="0"/>
        <v>Civil Traffic</v>
      </c>
      <c r="B74" s="1">
        <f>IF(E74="YES",MAX(B$56:B73)+1,0)</f>
        <v>0</v>
      </c>
      <c r="C74" s="1" t="str">
        <f>A$23</f>
        <v>CGE CQ4-16</v>
      </c>
      <c r="D74" s="42" t="s">
        <v>133</v>
      </c>
      <c r="E74" s="1" t="str">
        <f>IF(MIN(F74:I74)&lt;0,"YES","NO")</f>
        <v>NO</v>
      </c>
      <c r="F74" s="43">
        <f t="shared" ref="F74:I75" si="4">IFERROR(IF(NOT(ISBLANK(H24)),(H24-G24)/G24,0),0)</f>
        <v>0.43971888298531359</v>
      </c>
      <c r="G74" s="43">
        <f t="shared" si="4"/>
        <v>0.10879536626005361</v>
      </c>
      <c r="H74" s="43">
        <f t="shared" si="4"/>
        <v>0</v>
      </c>
      <c r="I74" s="43">
        <f t="shared" si="4"/>
        <v>0</v>
      </c>
      <c r="K74" s="14"/>
      <c r="L74" s="14"/>
      <c r="M74" s="14"/>
      <c r="N74" s="14"/>
      <c r="O74" s="15"/>
      <c r="P74" s="10"/>
    </row>
    <row r="75" spans="1:20" ht="45" hidden="1" customHeight="1" x14ac:dyDescent="0.25">
      <c r="A75" s="1" t="str">
        <f t="shared" si="0"/>
        <v>Civil Traffic</v>
      </c>
      <c r="B75" s="1">
        <f>IF(E75="YES",MAX(B$56:B74)+1,0)</f>
        <v>0</v>
      </c>
      <c r="C75" s="1" t="str">
        <f>A$23</f>
        <v>CGE CQ4-16</v>
      </c>
      <c r="D75" s="42" t="s">
        <v>134</v>
      </c>
      <c r="E75" s="1" t="str">
        <f>IF(MAX(F75:I75)&gt;0,"YES","NO")</f>
        <v>NO</v>
      </c>
      <c r="F75" s="43">
        <f t="shared" si="4"/>
        <v>-4.2990523498626358E-2</v>
      </c>
      <c r="G75" s="43">
        <f t="shared" si="4"/>
        <v>-2.9534252992995352E-3</v>
      </c>
      <c r="H75" s="43">
        <f t="shared" si="4"/>
        <v>0</v>
      </c>
      <c r="I75" s="43">
        <f t="shared" si="4"/>
        <v>0</v>
      </c>
      <c r="K75" s="14"/>
      <c r="L75" s="14"/>
      <c r="M75" s="14"/>
      <c r="N75" s="14"/>
    </row>
    <row r="76" spans="1:20" ht="96.6" hidden="1" x14ac:dyDescent="0.25">
      <c r="A76" s="1" t="str">
        <f t="shared" si="0"/>
        <v>Civil Traffic</v>
      </c>
      <c r="B76" s="1">
        <f>IF(E76="YES",MAX(B$56:B75)+1,0)</f>
        <v>0</v>
      </c>
      <c r="C76" s="1" t="str">
        <f>A$23</f>
        <v>CGE CQ4-16</v>
      </c>
      <c r="D76" s="42" t="str">
        <f>"The 5th Quarter Collection Rate did not meet the established performance measure standard of: "&amp;TEXT(J76,"#0%")</f>
        <v>The 5th Quarter Collection Rate did not meet the established performance measure standard of: 90%</v>
      </c>
      <c r="E76" s="1" t="str">
        <f>IF(F76="N/A","NO",IF(F76&lt;H$8,"YES","NO"))</f>
        <v>NO</v>
      </c>
      <c r="F76" s="44" t="str">
        <f>K26</f>
        <v>N/A</v>
      </c>
      <c r="J76" s="41">
        <f>H$8</f>
        <v>0.9</v>
      </c>
      <c r="K76" s="14"/>
      <c r="L76" s="14"/>
      <c r="M76" s="14"/>
      <c r="N76" s="14"/>
    </row>
    <row r="77" spans="1:20" s="18" customFormat="1" ht="65.25" hidden="1" customHeight="1" x14ac:dyDescent="0.3">
      <c r="A77" s="1" t="str">
        <f t="shared" si="0"/>
        <v>Civil Traffic</v>
      </c>
      <c r="B77" s="1">
        <f>IF(E77="YES",MAX(B$56:B76)+1,0)</f>
        <v>0</v>
      </c>
      <c r="C77" s="1" t="str">
        <f>A$27</f>
        <v>CGE CQ1-17</v>
      </c>
      <c r="D77" s="42" t="str">
        <f>"After 3rd Q, Collections went up by more than set percentage of: "&amp;TEXT(J77,"#0%")</f>
        <v>After 3rd Q, Collections went up by more than set percentage of: 500%</v>
      </c>
      <c r="E77" s="1" t="str">
        <f>IF(MAX(F77)&gt;V$10,"YES","NO")</f>
        <v>NO</v>
      </c>
      <c r="F77" s="43">
        <f>IFERROR(IF(NOT(ISBLANK(K28)),(K28-J28)/J28,0),0)</f>
        <v>0</v>
      </c>
      <c r="G77" s="43"/>
      <c r="H77" s="1"/>
      <c r="I77" s="1"/>
      <c r="J77" s="41">
        <f>V$10</f>
        <v>5</v>
      </c>
      <c r="K77" s="14"/>
      <c r="L77" s="14"/>
      <c r="M77" s="14"/>
      <c r="N77" s="14"/>
      <c r="O77" s="17"/>
      <c r="P77" s="10"/>
      <c r="T77" s="91" t="s">
        <v>106</v>
      </c>
    </row>
    <row r="78" spans="1:20" ht="60.75" hidden="1" customHeight="1" x14ac:dyDescent="0.25">
      <c r="A78" s="1" t="str">
        <f t="shared" si="0"/>
        <v>Civil Traffic</v>
      </c>
      <c r="B78" s="1">
        <f>IF(E78="YES",MAX(B$56:B77)+1,0)</f>
        <v>0</v>
      </c>
      <c r="C78" s="1" t="str">
        <f>A$27</f>
        <v>CGE CQ1-17</v>
      </c>
      <c r="D78" s="42" t="str">
        <f>"Assessments dropped by more than set percentage of: "&amp;TEXT(J78,"#0%")</f>
        <v>Assessments dropped by more than set percentage of: 15%</v>
      </c>
      <c r="E78" s="1" t="str">
        <f>IF(MIN(F78:H78)&lt;(-1*V$11),"YES","NO")</f>
        <v>NO</v>
      </c>
      <c r="F78" s="43">
        <f>IFERROR(IF(NOT(ISBLANK(I29)),(I29-H29)/H29,0),0)</f>
        <v>-4.4676896127192077E-2</v>
      </c>
      <c r="G78" s="43">
        <f>IFERROR(IF(NOT(ISBLANK(J29)),(J29-I29)/I29,0),0)</f>
        <v>0</v>
      </c>
      <c r="H78" s="43">
        <f>IFERROR(IF(NOT(ISBLANK(K29)),(K29-J29)/J29,0),0)</f>
        <v>0</v>
      </c>
      <c r="J78" s="41">
        <f>V$11</f>
        <v>0.15</v>
      </c>
      <c r="K78" s="14"/>
      <c r="L78" s="14"/>
      <c r="M78" s="14"/>
      <c r="N78" s="14"/>
      <c r="O78" s="15"/>
      <c r="P78" s="10"/>
      <c r="T78" s="91" t="s">
        <v>111</v>
      </c>
    </row>
    <row r="79" spans="1:20" ht="52.5" hidden="1" customHeight="1" x14ac:dyDescent="0.25">
      <c r="A79" s="1" t="str">
        <f t="shared" si="0"/>
        <v>Civil Traffic</v>
      </c>
      <c r="B79" s="1">
        <f>IF(E79="YES",MAX(B$56:B78)+1,0)</f>
        <v>0</v>
      </c>
      <c r="C79" s="1" t="str">
        <f>A$27</f>
        <v>CGE CQ1-17</v>
      </c>
      <c r="D79" s="42" t="s">
        <v>133</v>
      </c>
      <c r="E79" s="1" t="str">
        <f>IF(MIN(F79:H79)&lt;0,"YES","NO")</f>
        <v>NO</v>
      </c>
      <c r="F79" s="43">
        <f t="shared" ref="F79:H80" si="5">IFERROR(IF(NOT(ISBLANK(I28)),(I28-H28)/H28,0),0)</f>
        <v>0.45504631117382371</v>
      </c>
      <c r="G79" s="43">
        <f t="shared" si="5"/>
        <v>0</v>
      </c>
      <c r="H79" s="43">
        <f t="shared" si="5"/>
        <v>0</v>
      </c>
      <c r="K79" s="14"/>
      <c r="L79" s="14"/>
      <c r="M79" s="14"/>
      <c r="N79" s="14"/>
      <c r="O79" s="15"/>
      <c r="P79" s="10"/>
    </row>
    <row r="80" spans="1:20" ht="45" hidden="1" customHeight="1" x14ac:dyDescent="0.25">
      <c r="A80" s="1" t="str">
        <f t="shared" si="0"/>
        <v>Civil Traffic</v>
      </c>
      <c r="B80" s="1">
        <f>IF(E80="YES",MAX(B$56:B79)+1,0)</f>
        <v>0</v>
      </c>
      <c r="C80" s="1" t="str">
        <f>A$27</f>
        <v>CGE CQ1-17</v>
      </c>
      <c r="D80" s="42" t="s">
        <v>134</v>
      </c>
      <c r="E80" s="1" t="str">
        <f>IF(MAX(F80:H80)&gt;0,"YES","NO")</f>
        <v>NO</v>
      </c>
      <c r="F80" s="43">
        <f t="shared" si="5"/>
        <v>-4.4676896127192077E-2</v>
      </c>
      <c r="G80" s="43">
        <f t="shared" si="5"/>
        <v>0</v>
      </c>
      <c r="H80" s="43">
        <f t="shared" si="5"/>
        <v>0</v>
      </c>
      <c r="K80" s="14"/>
      <c r="L80" s="14"/>
      <c r="M80" s="14"/>
      <c r="N80" s="14"/>
    </row>
    <row r="81" spans="1:20" ht="60.75" hidden="1" customHeight="1" x14ac:dyDescent="0.25">
      <c r="A81" s="1" t="str">
        <f t="shared" si="0"/>
        <v>Civil Traffic</v>
      </c>
      <c r="B81" s="1">
        <f>IF(E81="YES",MAX(B$56:B80)+1,0)</f>
        <v>0</v>
      </c>
      <c r="C81" s="1" t="str">
        <f>A$31</f>
        <v>CGE CQ2-17</v>
      </c>
      <c r="D81" s="42" t="str">
        <f>"Assessments dropped by more than set percentage of: "&amp;TEXT(J81,"#0%")</f>
        <v>Assessments dropped by more than set percentage of: 15%</v>
      </c>
      <c r="E81" s="1" t="str">
        <f>IF(MIN(F81:G81)&lt;(-1*V$11),"YES","NO")</f>
        <v>NO</v>
      </c>
      <c r="F81" s="43">
        <f>IFERROR(IF(NOT(ISBLANK(J33)),(J33-I33)/I33,0),0)</f>
        <v>0</v>
      </c>
      <c r="G81" s="43">
        <f>IFERROR(IF(NOT(ISBLANK(K33)),(K33-J33)/J33,0),0)</f>
        <v>0</v>
      </c>
      <c r="J81" s="41">
        <f>V$11</f>
        <v>0.15</v>
      </c>
      <c r="K81" s="14"/>
      <c r="L81" s="14"/>
      <c r="M81" s="14"/>
      <c r="N81" s="14"/>
      <c r="O81" s="15"/>
      <c r="P81" s="10"/>
      <c r="T81" s="91" t="s">
        <v>112</v>
      </c>
    </row>
    <row r="82" spans="1:20" ht="52.5" hidden="1" customHeight="1" x14ac:dyDescent="0.25">
      <c r="A82" s="1" t="str">
        <f t="shared" si="0"/>
        <v>Civil Traffic</v>
      </c>
      <c r="B82" s="1">
        <f>IF(E82="YES",MAX(B$56:B81)+1,0)</f>
        <v>0</v>
      </c>
      <c r="C82" s="1" t="str">
        <f>A$31</f>
        <v>CGE CQ2-17</v>
      </c>
      <c r="D82" s="42" t="s">
        <v>133</v>
      </c>
      <c r="E82" s="1" t="str">
        <f>IF(MIN(F82:G82)&lt;0,"YES","NO")</f>
        <v>NO</v>
      </c>
      <c r="F82" s="43">
        <f>IFERROR(IF(NOT(ISBLANK(J32)),(J32-I32)/I32,0),0)</f>
        <v>0</v>
      </c>
      <c r="G82" s="43">
        <f>IFERROR(IF(NOT(ISBLANK(K32)),(K32-J32)/J32,0),0)</f>
        <v>0</v>
      </c>
      <c r="K82" s="14"/>
      <c r="L82" s="14"/>
      <c r="M82" s="14"/>
      <c r="N82" s="14"/>
      <c r="O82" s="15"/>
      <c r="P82" s="10"/>
    </row>
    <row r="83" spans="1:20" ht="45" hidden="1" customHeight="1" x14ac:dyDescent="0.25">
      <c r="A83" s="1" t="str">
        <f t="shared" si="0"/>
        <v>Civil Traffic</v>
      </c>
      <c r="B83" s="1">
        <f>IF(E83="YES",MAX(B$56:B82)+1,0)</f>
        <v>0</v>
      </c>
      <c r="C83" s="1" t="str">
        <f>A$31</f>
        <v>CGE CQ2-17</v>
      </c>
      <c r="D83" s="42" t="s">
        <v>134</v>
      </c>
      <c r="E83" s="1" t="str">
        <f>IF(MAX(F83:G83)&gt;0,"YES","NO")</f>
        <v>NO</v>
      </c>
      <c r="F83" s="43">
        <f>IFERROR(IF(NOT(ISBLANK(J33)),(J33-I33)/I33,0),0)</f>
        <v>0</v>
      </c>
      <c r="G83" s="43">
        <f>IFERROR(IF(NOT(ISBLANK(K33)),(K33-J33)/J33,0),0)</f>
        <v>0</v>
      </c>
      <c r="K83" s="14"/>
      <c r="L83" s="14"/>
      <c r="M83" s="14"/>
      <c r="N83" s="14"/>
    </row>
    <row r="84" spans="1:20" ht="60.75" hidden="1" customHeight="1" x14ac:dyDescent="0.25">
      <c r="A84" s="1" t="str">
        <f t="shared" si="0"/>
        <v>Civil Traffic</v>
      </c>
      <c r="B84" s="1">
        <f>IF(E84="YES",MAX(B$56:B83)+1,0)</f>
        <v>0</v>
      </c>
      <c r="C84" s="1" t="str">
        <f>A$35</f>
        <v>CGE CQ3-17</v>
      </c>
      <c r="D84" s="42" t="str">
        <f>"Assessments dropped by more than set percentage of: "&amp;TEXT(J84,"#0%")</f>
        <v>Assessments dropped by more than set percentage of: 15%</v>
      </c>
      <c r="E84" s="1" t="str">
        <f>IF(MIN(F84)&lt;(-1*V$11),"YES","NO")</f>
        <v>NO</v>
      </c>
      <c r="F84" s="43">
        <f>IFERROR(IF(NOT(ISBLANK(K37)),(K37-J37)/J37,0),0)</f>
        <v>0</v>
      </c>
      <c r="J84" s="41">
        <f>V$11</f>
        <v>0.15</v>
      </c>
      <c r="K84" s="14"/>
      <c r="L84" s="14"/>
      <c r="M84" s="14"/>
      <c r="N84" s="14"/>
      <c r="O84" s="15"/>
      <c r="P84" s="10"/>
      <c r="T84" s="91" t="s">
        <v>113</v>
      </c>
    </row>
    <row r="85" spans="1:20" ht="52.5" hidden="1" customHeight="1" x14ac:dyDescent="0.25">
      <c r="A85" s="1" t="str">
        <f t="shared" si="0"/>
        <v>Civil Traffic</v>
      </c>
      <c r="B85" s="1">
        <f>IF(E85="YES",MAX(B$56:B84)+1,0)</f>
        <v>0</v>
      </c>
      <c r="C85" s="1" t="str">
        <f>A$35</f>
        <v>CGE CQ3-17</v>
      </c>
      <c r="D85" s="42" t="s">
        <v>133</v>
      </c>
      <c r="E85" s="1" t="str">
        <f>IF(MIN(F85)&lt;0,"YES","NO")</f>
        <v>NO</v>
      </c>
      <c r="F85" s="43">
        <f>IFERROR(IF(NOT(ISBLANK(K36)),(K36-J36)/J36,0),0)</f>
        <v>0</v>
      </c>
      <c r="K85" s="14"/>
      <c r="L85" s="14"/>
      <c r="M85" s="14"/>
      <c r="N85" s="14"/>
      <c r="O85" s="15"/>
    </row>
    <row r="86" spans="1:20" ht="45" hidden="1" customHeight="1" x14ac:dyDescent="0.25">
      <c r="A86" s="1" t="str">
        <f t="shared" si="0"/>
        <v>Civil Traffic</v>
      </c>
      <c r="B86" s="1">
        <f>IF(E86="YES",MAX(B$56:B85)+1,0)</f>
        <v>0</v>
      </c>
      <c r="C86" s="1" t="str">
        <f>A$35</f>
        <v>CGE CQ3-17</v>
      </c>
      <c r="D86" s="42" t="s">
        <v>134</v>
      </c>
      <c r="E86" s="1" t="str">
        <f>IF(MAX(F86)&gt;0,"YES","NO")</f>
        <v>NO</v>
      </c>
      <c r="F86" s="43">
        <f>IFERROR(IF(NOT(ISBLANK(K37)),(K37-J37)/J37,0),0)</f>
        <v>0</v>
      </c>
      <c r="K86" s="14"/>
      <c r="L86" s="14"/>
      <c r="M86" s="14"/>
      <c r="N86" s="14"/>
    </row>
  </sheetData>
  <sheetProtection algorithmName="SHA-512" hashValue="CbUB0hk+YCgw7e0dpPvGgKnLcgqHjNVHHPiS04KGOAhs5flHJBXMkDiZt4xKdDRddCleU31wMu/6VuX8Nb05tQ==" saltValue="cb8YGhUqN7Ap1NgpQkp4Ow==" spinCount="100000" sheet="1" objects="1" scenarios="1" selectLockedCells="1"/>
  <mergeCells count="36">
    <mergeCell ref="A53:B53"/>
    <mergeCell ref="B35:B38"/>
    <mergeCell ref="B39:B42"/>
    <mergeCell ref="A11:A14"/>
    <mergeCell ref="A15:A18"/>
    <mergeCell ref="B19:B22"/>
    <mergeCell ref="B23:B26"/>
    <mergeCell ref="B11:B14"/>
    <mergeCell ref="B15:B18"/>
    <mergeCell ref="A19:A22"/>
    <mergeCell ref="A23:A26"/>
    <mergeCell ref="A39:A42"/>
    <mergeCell ref="A31:A34"/>
    <mergeCell ref="A27:A30"/>
    <mergeCell ref="B27:B30"/>
    <mergeCell ref="B31:B34"/>
    <mergeCell ref="A35:A38"/>
    <mergeCell ref="D43:G43"/>
    <mergeCell ref="H43:K43"/>
    <mergeCell ref="L31:M31"/>
    <mergeCell ref="L32:M42"/>
    <mergeCell ref="D6:E6"/>
    <mergeCell ref="M23:M26"/>
    <mergeCell ref="L9:M9"/>
    <mergeCell ref="L11:L14"/>
    <mergeCell ref="M11:M14"/>
    <mergeCell ref="L15:L18"/>
    <mergeCell ref="M15:M18"/>
    <mergeCell ref="L19:L22"/>
    <mergeCell ref="M19:M22"/>
    <mergeCell ref="L23:L26"/>
    <mergeCell ref="D8:E8"/>
    <mergeCell ref="I11:I14"/>
    <mergeCell ref="D25:D26"/>
    <mergeCell ref="E25:E26"/>
    <mergeCell ref="F25:F26"/>
  </mergeCells>
  <phoneticPr fontId="0" type="noConversion"/>
  <conditionalFormatting sqref="M15:M18">
    <cfRule type="expression" dxfId="133" priority="246" stopIfTrue="1">
      <formula>$I$18&lt;$H$8</formula>
    </cfRule>
  </conditionalFormatting>
  <conditionalFormatting sqref="M19:M22">
    <cfRule type="expression" dxfId="132" priority="245" stopIfTrue="1">
      <formula>$J$22&lt;$H$8</formula>
    </cfRule>
  </conditionalFormatting>
  <conditionalFormatting sqref="M23:M26">
    <cfRule type="expression" dxfId="131" priority="244" stopIfTrue="1">
      <formula>$K$26&lt;$H$8</formula>
    </cfRule>
  </conditionalFormatting>
  <conditionalFormatting sqref="M11:M14">
    <cfRule type="expression" dxfId="130" priority="243" stopIfTrue="1">
      <formula>$H$14&lt;$H$8</formula>
    </cfRule>
  </conditionalFormatting>
  <conditionalFormatting sqref="I39:I42">
    <cfRule type="cellIs" dxfId="129" priority="43" stopIfTrue="1" operator="lessThan">
      <formula>$H$8</formula>
    </cfRule>
  </conditionalFormatting>
  <conditionalFormatting sqref="H12">
    <cfRule type="expression" dxfId="128" priority="42">
      <formula>(H12&lt;G12)</formula>
    </cfRule>
  </conditionalFormatting>
  <conditionalFormatting sqref="I16">
    <cfRule type="expression" dxfId="127" priority="41">
      <formula>(I16&lt;H16)</formula>
    </cfRule>
  </conditionalFormatting>
  <conditionalFormatting sqref="J20">
    <cfRule type="expression" dxfId="126" priority="40">
      <formula>(J20&lt;I20)</formula>
    </cfRule>
  </conditionalFormatting>
  <conditionalFormatting sqref="K24">
    <cfRule type="expression" dxfId="125" priority="39">
      <formula>(K24&lt;J24)</formula>
    </cfRule>
  </conditionalFormatting>
  <conditionalFormatting sqref="H16">
    <cfRule type="expression" dxfId="124" priority="38">
      <formula>(H16&lt;G16)</formula>
    </cfRule>
  </conditionalFormatting>
  <conditionalFormatting sqref="I20">
    <cfRule type="expression" dxfId="123" priority="37">
      <formula>(I20&lt;H20)</formula>
    </cfRule>
  </conditionalFormatting>
  <conditionalFormatting sqref="J24">
    <cfRule type="expression" dxfId="122" priority="36">
      <formula>(J24&lt;I24)</formula>
    </cfRule>
  </conditionalFormatting>
  <conditionalFormatting sqref="K28">
    <cfRule type="expression" dxfId="121" priority="35">
      <formula>(K28&lt;J28)</formula>
    </cfRule>
  </conditionalFormatting>
  <conditionalFormatting sqref="H20">
    <cfRule type="expression" dxfId="120" priority="34">
      <formula>(H20&lt;G20)</formula>
    </cfRule>
  </conditionalFormatting>
  <conditionalFormatting sqref="I24">
    <cfRule type="expression" dxfId="119" priority="33">
      <formula>(I24&lt;H24)</formula>
    </cfRule>
  </conditionalFormatting>
  <conditionalFormatting sqref="J28">
    <cfRule type="expression" dxfId="118" priority="32">
      <formula>(J28&lt;I28)</formula>
    </cfRule>
  </conditionalFormatting>
  <conditionalFormatting sqref="K32">
    <cfRule type="expression" dxfId="117" priority="31">
      <formula>(K32&lt;J32)</formula>
    </cfRule>
  </conditionalFormatting>
  <conditionalFormatting sqref="H24">
    <cfRule type="expression" dxfId="116" priority="30">
      <formula>(H24&lt;G24)</formula>
    </cfRule>
  </conditionalFormatting>
  <conditionalFormatting sqref="I28">
    <cfRule type="expression" dxfId="115" priority="29">
      <formula>(I28&lt;H28)</formula>
    </cfRule>
  </conditionalFormatting>
  <conditionalFormatting sqref="J32">
    <cfRule type="expression" dxfId="114" priority="28">
      <formula>(J32&lt;I32)</formula>
    </cfRule>
  </conditionalFormatting>
  <conditionalFormatting sqref="K36">
    <cfRule type="expression" dxfId="113" priority="27">
      <formula>(K36&lt;J36)</formula>
    </cfRule>
  </conditionalFormatting>
  <conditionalFormatting sqref="H13">
    <cfRule type="expression" dxfId="112" priority="26">
      <formula>(H13&gt;G13)</formula>
    </cfRule>
  </conditionalFormatting>
  <conditionalFormatting sqref="H17">
    <cfRule type="expression" dxfId="111" priority="25">
      <formula>(H17&gt;G17)</formula>
    </cfRule>
  </conditionalFormatting>
  <conditionalFormatting sqref="H21">
    <cfRule type="expression" dxfId="110" priority="24">
      <formula>(H21&gt;G21)</formula>
    </cfRule>
  </conditionalFormatting>
  <conditionalFormatting sqref="H25">
    <cfRule type="expression" dxfId="109" priority="23">
      <formula>(H25&gt;G25)</formula>
    </cfRule>
  </conditionalFormatting>
  <conditionalFormatting sqref="I29">
    <cfRule type="expression" dxfId="108" priority="22">
      <formula>(I29&gt;H29)</formula>
    </cfRule>
  </conditionalFormatting>
  <conditionalFormatting sqref="H14">
    <cfRule type="expression" dxfId="107" priority="21">
      <formula>H14&lt;$H$8</formula>
    </cfRule>
  </conditionalFormatting>
  <conditionalFormatting sqref="I18">
    <cfRule type="expression" dxfId="106" priority="20">
      <formula>I18&lt;$H$8</formula>
    </cfRule>
  </conditionalFormatting>
  <conditionalFormatting sqref="J22">
    <cfRule type="expression" dxfId="105" priority="19">
      <formula>J22&lt;$H$8</formula>
    </cfRule>
  </conditionalFormatting>
  <conditionalFormatting sqref="K26">
    <cfRule type="expression" dxfId="104" priority="18">
      <formula>K26&lt;$H$8</formula>
    </cfRule>
  </conditionalFormatting>
  <conditionalFormatting sqref="I17">
    <cfRule type="expression" dxfId="103" priority="17">
      <formula>(I17&gt;H17)</formula>
    </cfRule>
  </conditionalFormatting>
  <conditionalFormatting sqref="J21">
    <cfRule type="expression" dxfId="102" priority="16">
      <formula>(J21&gt;I21)</formula>
    </cfRule>
  </conditionalFormatting>
  <conditionalFormatting sqref="K25">
    <cfRule type="expression" dxfId="101" priority="15">
      <formula>(K25&gt;J25)</formula>
    </cfRule>
  </conditionalFormatting>
  <conditionalFormatting sqref="I21">
    <cfRule type="expression" dxfId="100" priority="14">
      <formula>(I21&gt;H21)</formula>
    </cfRule>
  </conditionalFormatting>
  <conditionalFormatting sqref="J25">
    <cfRule type="expression" dxfId="99" priority="13">
      <formula>(J25&gt;I25)</formula>
    </cfRule>
  </conditionalFormatting>
  <conditionalFormatting sqref="K29">
    <cfRule type="expression" dxfId="98" priority="12">
      <formula>(K29&gt;J29)</formula>
    </cfRule>
  </conditionalFormatting>
  <conditionalFormatting sqref="I25">
    <cfRule type="expression" dxfId="97" priority="11">
      <formula>(I25&gt;H25)</formula>
    </cfRule>
  </conditionalFormatting>
  <conditionalFormatting sqref="J29">
    <cfRule type="expression" dxfId="96" priority="10">
      <formula>(J29&gt;I29)</formula>
    </cfRule>
  </conditionalFormatting>
  <conditionalFormatting sqref="K33">
    <cfRule type="expression" dxfId="95" priority="9">
      <formula>(K33&gt;J33)</formula>
    </cfRule>
  </conditionalFormatting>
  <conditionalFormatting sqref="J33">
    <cfRule type="expression" dxfId="94" priority="8">
      <formula>(J33&gt;I33)</formula>
    </cfRule>
  </conditionalFormatting>
  <conditionalFormatting sqref="K37">
    <cfRule type="expression" dxfId="93" priority="7">
      <formula>(K37&gt;J37)</formula>
    </cfRule>
  </conditionalFormatting>
  <conditionalFormatting sqref="L32:M42">
    <cfRule type="expression" dxfId="92" priority="6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L11:L14">
    <cfRule type="expression" dxfId="91" priority="4" stopIfTrue="1">
      <formula>$H$14&lt;$H$8</formula>
    </cfRule>
  </conditionalFormatting>
  <conditionalFormatting sqref="L15:L18">
    <cfRule type="expression" dxfId="90" priority="3" stopIfTrue="1">
      <formula>$I$18&lt;$H$8</formula>
    </cfRule>
  </conditionalFormatting>
  <conditionalFormatting sqref="L19:L22">
    <cfRule type="expression" dxfId="89" priority="2" stopIfTrue="1">
      <formula>$J$22&lt;$H$8</formula>
    </cfRule>
  </conditionalFormatting>
  <conditionalFormatting sqref="L23:L26">
    <cfRule type="expression" dxfId="88" priority="1" stopIfTrue="1">
      <formula>$K$26&lt;$H$8</formula>
    </cfRule>
  </conditionalFormatting>
  <dataValidations count="2">
    <dataValidation type="textLength" allowBlank="1" showInputMessage="1" showErrorMessage="1" sqref="M31 L31:L32 L27:M30 M10:M26 L10 N10:N42">
      <formula1>0</formula1>
      <formula2>500</formula2>
    </dataValidation>
    <dataValidation type="decimal" allowBlank="1" showInputMessage="1" showErrorMessage="1" sqref="G19:I19 H15:K16 J35:J37 J39:J42 H21:I21 G15 D12:H13 G25:I25 J18:K19 G28:I29 I31:I32 J12:K13 G39:H42">
      <formula1>0</formula1>
      <formula2>999999999999999</formula2>
    </dataValidation>
  </dataValidations>
  <printOptions horizontalCentered="1" verticalCentered="1"/>
  <pageMargins left="0.21" right="0.23" top="0.3" bottom="0.36" header="0.2" footer="0.17"/>
  <pageSetup scale="57" orientation="landscape" horizontalDpi="4294967293" r:id="rId1"/>
  <headerFooter alignWithMargins="0">
    <oddFooter>&amp;L&amp;F</oddFooter>
  </headerFooter>
  <ignoredErrors>
    <ignoredError sqref="D14:G15 D18:G19 D16 D17 D22:G23 D20:E20 D21:E21 D26:G26 D24:F24 D25:F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'Circuit Criminal'!$N$11:$N$12</xm:f>
          </x14:formula1>
          <xm:sqref>L11:L26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91"/>
  <sheetViews>
    <sheetView showGridLines="0" topLeftCell="B2" zoomScale="75" zoomScaleNormal="75" zoomScaleSheetLayoutView="70" workbookViewId="0">
      <selection activeCell="K24" sqref="K24"/>
    </sheetView>
  </sheetViews>
  <sheetFormatPr defaultColWidth="9.109375" defaultRowHeight="13.8" x14ac:dyDescent="0.25"/>
  <cols>
    <col min="1" max="1" width="10.6640625" style="1" hidden="1" customWidth="1"/>
    <col min="2" max="2" width="9.5546875" style="1" customWidth="1"/>
    <col min="3" max="3" width="29.88671875" style="1" customWidth="1"/>
    <col min="4" max="12" width="18.6640625" style="1" customWidth="1"/>
    <col min="13" max="13" width="33.33203125" style="1" customWidth="1"/>
    <col min="14" max="14" width="18.6640625" style="1" hidden="1" customWidth="1"/>
    <col min="15" max="18" width="16.6640625" style="1" hidden="1" customWidth="1"/>
    <col min="19" max="19" width="20.109375" style="1" hidden="1" customWidth="1"/>
    <col min="20" max="20" width="21.33203125" style="1" hidden="1" customWidth="1"/>
    <col min="21" max="21" width="2.44140625" style="1" hidden="1" customWidth="1"/>
    <col min="22" max="22" width="11.5546875" style="1" hidden="1" customWidth="1"/>
    <col min="23" max="23" width="13.33203125" style="1" hidden="1" customWidth="1"/>
    <col min="24" max="25" width="9.109375" style="1" hidden="1" customWidth="1"/>
    <col min="26" max="26" width="4.109375" style="1" customWidth="1"/>
    <col min="27" max="16384" width="9.109375" style="1"/>
  </cols>
  <sheetData>
    <row r="1" spans="1:22" ht="33" hidden="1" customHeight="1" x14ac:dyDescent="0.25"/>
    <row r="2" spans="1:22" ht="22.8" x14ac:dyDescent="0.4">
      <c r="K2" s="2"/>
      <c r="L2" s="2"/>
      <c r="M2" s="2" t="s">
        <v>241</v>
      </c>
      <c r="N2" s="2"/>
      <c r="T2" s="91" t="s">
        <v>48</v>
      </c>
    </row>
    <row r="3" spans="1:22" ht="22.8" x14ac:dyDescent="0.4">
      <c r="K3" s="2"/>
      <c r="L3" s="2"/>
      <c r="M3" s="2" t="s">
        <v>16</v>
      </c>
      <c r="N3" s="2"/>
      <c r="T3" s="91" t="s">
        <v>47</v>
      </c>
    </row>
    <row r="4" spans="1:22" ht="25.5" customHeight="1" x14ac:dyDescent="0.25">
      <c r="A4" s="3"/>
      <c r="C4" s="4" t="s">
        <v>28</v>
      </c>
      <c r="D4" s="39" t="str">
        <f>'Circuit Criminal'!D4</f>
        <v>March 2016</v>
      </c>
      <c r="I4" s="223" t="s">
        <v>248</v>
      </c>
      <c r="J4" s="224"/>
      <c r="K4" s="224"/>
      <c r="L4" s="224"/>
      <c r="M4" s="225"/>
      <c r="O4" s="5"/>
      <c r="P4" s="5"/>
      <c r="T4" s="91" t="s">
        <v>49</v>
      </c>
    </row>
    <row r="5" spans="1:22" ht="18" customHeight="1" x14ac:dyDescent="0.25">
      <c r="A5" s="3"/>
      <c r="C5" s="4" t="s">
        <v>10</v>
      </c>
      <c r="D5" s="37">
        <f>'Circuit Criminal'!$D$5</f>
        <v>1</v>
      </c>
      <c r="I5" s="226"/>
      <c r="J5" s="227" t="s">
        <v>249</v>
      </c>
      <c r="K5" s="227"/>
      <c r="L5" s="227"/>
      <c r="M5" s="228"/>
      <c r="T5" s="91" t="s">
        <v>50</v>
      </c>
    </row>
    <row r="6" spans="1:22" ht="20.25" customHeight="1" x14ac:dyDescent="0.25">
      <c r="A6" s="3"/>
      <c r="C6" s="6" t="s">
        <v>9</v>
      </c>
      <c r="D6" s="300" t="str">
        <f>'Circuit Criminal'!D6</f>
        <v>Brevard</v>
      </c>
      <c r="E6" s="300"/>
      <c r="F6" s="91"/>
      <c r="G6" s="91"/>
      <c r="H6" s="91"/>
      <c r="I6" s="232"/>
      <c r="J6" s="230" t="s">
        <v>250</v>
      </c>
      <c r="K6" s="230"/>
      <c r="L6" s="230"/>
      <c r="M6" s="231"/>
      <c r="N6" s="91"/>
      <c r="T6" s="91" t="s">
        <v>51</v>
      </c>
    </row>
    <row r="7" spans="1:22" ht="11.25" customHeight="1" x14ac:dyDescent="0.25">
      <c r="A7" s="3"/>
      <c r="T7" s="91" t="s">
        <v>52</v>
      </c>
    </row>
    <row r="8" spans="1:22" ht="16.5" customHeight="1" thickBot="1" x14ac:dyDescent="0.3">
      <c r="A8" s="3"/>
      <c r="C8" s="6" t="s">
        <v>27</v>
      </c>
      <c r="D8" s="284" t="s">
        <v>45</v>
      </c>
      <c r="E8" s="284"/>
      <c r="G8" s="6" t="s">
        <v>33</v>
      </c>
      <c r="H8" s="27">
        <v>0.9</v>
      </c>
      <c r="T8" s="91" t="s">
        <v>53</v>
      </c>
    </row>
    <row r="9" spans="1:22" ht="15.6" x14ac:dyDescent="0.3">
      <c r="A9" s="7"/>
      <c r="B9" s="3"/>
      <c r="J9" s="8"/>
      <c r="K9" s="9"/>
      <c r="L9" s="291" t="s">
        <v>187</v>
      </c>
      <c r="M9" s="292"/>
      <c r="N9" s="90">
        <v>1</v>
      </c>
      <c r="O9" s="10" t="s">
        <v>2</v>
      </c>
      <c r="P9" s="1" t="s">
        <v>29</v>
      </c>
      <c r="Q9" s="1">
        <v>1</v>
      </c>
      <c r="T9" s="91" t="s">
        <v>54</v>
      </c>
    </row>
    <row r="10" spans="1:22" s="11" customFormat="1" ht="26.25" customHeight="1" thickBot="1" x14ac:dyDescent="0.3">
      <c r="B10" s="19"/>
      <c r="C10" s="20" t="s">
        <v>17</v>
      </c>
      <c r="D10" s="100" t="s">
        <v>203</v>
      </c>
      <c r="E10" s="34" t="s">
        <v>204</v>
      </c>
      <c r="F10" s="34" t="s">
        <v>205</v>
      </c>
      <c r="G10" s="102" t="s">
        <v>206</v>
      </c>
      <c r="H10" s="100" t="s">
        <v>244</v>
      </c>
      <c r="I10" s="34" t="s">
        <v>245</v>
      </c>
      <c r="J10" s="34" t="s">
        <v>246</v>
      </c>
      <c r="K10" s="102" t="s">
        <v>247</v>
      </c>
      <c r="L10" s="92" t="s">
        <v>185</v>
      </c>
      <c r="M10" s="118" t="s">
        <v>190</v>
      </c>
      <c r="N10" s="87"/>
      <c r="O10" s="10" t="s">
        <v>3</v>
      </c>
      <c r="P10" s="11" t="s">
        <v>30</v>
      </c>
      <c r="Q10" s="1"/>
      <c r="T10" s="91" t="s">
        <v>55</v>
      </c>
      <c r="V10" s="40">
        <v>5</v>
      </c>
    </row>
    <row r="11" spans="1:22" ht="15.75" customHeight="1" x14ac:dyDescent="0.25">
      <c r="A11" s="276" t="str">
        <f>LEFT(B11,3)&amp;" "&amp;RIGHT(B11,6)</f>
        <v>CGE CQ1-16</v>
      </c>
      <c r="B11" s="263" t="s">
        <v>207</v>
      </c>
      <c r="C11" s="21" t="s">
        <v>211</v>
      </c>
      <c r="D11" s="154" t="s">
        <v>18</v>
      </c>
      <c r="E11" s="155" t="s">
        <v>19</v>
      </c>
      <c r="F11" s="155" t="s">
        <v>20</v>
      </c>
      <c r="G11" s="155" t="s">
        <v>21</v>
      </c>
      <c r="H11" s="155" t="s">
        <v>22</v>
      </c>
      <c r="I11" s="280"/>
      <c r="J11" s="156"/>
      <c r="K11" s="157"/>
      <c r="L11" s="271"/>
      <c r="M11" s="285"/>
      <c r="N11" s="117" t="s">
        <v>188</v>
      </c>
      <c r="O11" s="10" t="s">
        <v>4</v>
      </c>
      <c r="P11" s="1" t="s">
        <v>31</v>
      </c>
      <c r="Q11" s="1">
        <v>3</v>
      </c>
      <c r="T11" s="91" t="s">
        <v>56</v>
      </c>
      <c r="U11" s="1" t="str">
        <f>D6&amp;" "&amp;D8</f>
        <v>Brevard Probate</v>
      </c>
      <c r="V11" s="41">
        <v>0.15</v>
      </c>
    </row>
    <row r="12" spans="1:22" ht="15.75" customHeight="1" x14ac:dyDescent="0.25">
      <c r="A12" s="277"/>
      <c r="B12" s="264"/>
      <c r="C12" s="22" t="s">
        <v>23</v>
      </c>
      <c r="D12" s="158">
        <f>LOOKUP($U$11,Lookup!$C$3:$C$672,Lookup!I$3:I$672)</f>
        <v>188761.82</v>
      </c>
      <c r="E12" s="137">
        <f>LOOKUP($U$11,Lookup!$C$3:$C$672,Lookup!J$3:J$672)</f>
        <v>190840.5</v>
      </c>
      <c r="F12" s="137">
        <f>LOOKUP($U$11,Lookup!$C$3:$C$672,Lookup!K$3:K$672)</f>
        <v>190986.5</v>
      </c>
      <c r="G12" s="143">
        <f>LOOKUP($U$11,Lookup!$C$3:$C$672,Lookup!L$3:L$672)</f>
        <v>190965.5</v>
      </c>
      <c r="H12" s="144">
        <v>190986.5</v>
      </c>
      <c r="I12" s="281"/>
      <c r="J12" s="96"/>
      <c r="K12" s="159"/>
      <c r="L12" s="271"/>
      <c r="M12" s="273"/>
      <c r="N12" s="26" t="s">
        <v>189</v>
      </c>
      <c r="O12" s="10" t="s">
        <v>5</v>
      </c>
      <c r="P12" s="1" t="s">
        <v>32</v>
      </c>
      <c r="Q12" s="1">
        <v>4</v>
      </c>
      <c r="T12" s="91" t="s">
        <v>57</v>
      </c>
      <c r="U12" s="1" t="str">
        <f>IF(P13=TRUE,A11,"")</f>
        <v>CGE CQ1-16</v>
      </c>
    </row>
    <row r="13" spans="1:22" ht="15.75" customHeight="1" thickBot="1" x14ac:dyDescent="0.3">
      <c r="A13" s="277"/>
      <c r="B13" s="264"/>
      <c r="C13" s="22" t="s">
        <v>24</v>
      </c>
      <c r="D13" s="160">
        <f>LOOKUP($U$11,Lookup!$C$3:$C$672,Lookup!D$3:D$672)</f>
        <v>192352.5</v>
      </c>
      <c r="E13" s="138">
        <f>LOOKUP($U$11,Lookup!$C$3:$C$672,Lookup!E$3:E$672)</f>
        <v>192352.5</v>
      </c>
      <c r="F13" s="138">
        <f>LOOKUP($U$11,Lookup!$C$3:$C$672,Lookup!F$3:F$672)</f>
        <v>192352.5</v>
      </c>
      <c r="G13" s="138">
        <f>LOOKUP($U$11,Lookup!$C$3:$C$672,Lookup!G$3:G$672)</f>
        <v>192352.5</v>
      </c>
      <c r="H13" s="54">
        <v>192352.5</v>
      </c>
      <c r="I13" s="282"/>
      <c r="J13" s="96"/>
      <c r="K13" s="159"/>
      <c r="L13" s="271"/>
      <c r="M13" s="273"/>
      <c r="N13" s="26" t="s">
        <v>191</v>
      </c>
      <c r="O13" s="10" t="s">
        <v>6</v>
      </c>
      <c r="P13" s="1" t="b">
        <f>OR(AND(E12&lt;D12,E12&gt;0),AND(F12&lt;E12,F12&gt;0),AND(G12&lt;F12,G12&gt;0),AND(H12&lt;G12,H12&gt;0),AND(F13&gt;E13,E13&gt;0),AND(G13&gt;F13,F13&gt;0),AND(H13&lt;G13,G13&gt;0))</f>
        <v>1</v>
      </c>
      <c r="Q13" s="1">
        <v>5</v>
      </c>
      <c r="T13" s="91" t="s">
        <v>58</v>
      </c>
      <c r="U13" s="1" t="str">
        <f>IF(P14=TRUE,A15,"")</f>
        <v>CGE CQ2-16</v>
      </c>
    </row>
    <row r="14" spans="1:22" ht="15.75" customHeight="1" thickBot="1" x14ac:dyDescent="0.3">
      <c r="A14" s="278"/>
      <c r="B14" s="265"/>
      <c r="C14" s="23" t="s">
        <v>25</v>
      </c>
      <c r="D14" s="145">
        <f>IF(ISBLANK(D12),"N/A",IF(OR(D12=0,D12="N/A"),0,D12/D13))</f>
        <v>0.9813328134544651</v>
      </c>
      <c r="E14" s="145">
        <f>IF(ISBLANK(E12),"N/A",IF(OR(E12=0,E12="N/A"),0,E12/E13))</f>
        <v>0.99213943151245765</v>
      </c>
      <c r="F14" s="145">
        <f>IF(ISBLANK(F12),"N/A",IF(OR(F12=0,F12="N/A"),0,F12/F13))</f>
        <v>0.99289845466006421</v>
      </c>
      <c r="G14" s="145">
        <f>IF(ISBLANK(G12),"N/A",IF(OR(G12=0,G12="N/A"),0,G12/G13))</f>
        <v>0.99278928009773726</v>
      </c>
      <c r="H14" s="145">
        <f>IF(ISBLANK(H12),"N/A",IF(AND(H12=0,H13=0,NOT(ISBLANK(H12)),NOT(ISBLANK(H13))),1,H12/H13))</f>
        <v>0.99289845466006421</v>
      </c>
      <c r="I14" s="283"/>
      <c r="J14" s="96"/>
      <c r="K14" s="159"/>
      <c r="L14" s="271"/>
      <c r="M14" s="274"/>
      <c r="N14" s="117" t="s">
        <v>200</v>
      </c>
      <c r="O14" s="10" t="s">
        <v>7</v>
      </c>
      <c r="P14" s="1" t="b">
        <f>OR(AND(F16&lt;E16,F16&gt;0),AND(G16&lt;F16,G16&gt;0),AND(H16&lt;G16,H16&gt;0),AND(I16&lt;H16,I16&gt;0),AND(G17&gt;F17, F17&gt;0),AND(H17&gt;G17, G17&gt;0),AND(I17&lt;H17,I17&gt;0))</f>
        <v>1</v>
      </c>
      <c r="Q14" s="1">
        <v>6</v>
      </c>
      <c r="T14" s="91" t="s">
        <v>59</v>
      </c>
      <c r="U14" s="1" t="str">
        <f>IF(P15=TRUE,A19,"")</f>
        <v>CGE CQ3-16</v>
      </c>
    </row>
    <row r="15" spans="1:22" ht="15.75" customHeight="1" x14ac:dyDescent="0.25">
      <c r="A15" s="276" t="str">
        <f>LEFT(B15,3)&amp;" "&amp;RIGHT(B15,6)</f>
        <v>CGE CQ2-16</v>
      </c>
      <c r="B15" s="304" t="s">
        <v>208</v>
      </c>
      <c r="C15" s="119" t="s">
        <v>212</v>
      </c>
      <c r="D15" s="161"/>
      <c r="E15" s="34" t="s">
        <v>18</v>
      </c>
      <c r="F15" s="34" t="s">
        <v>19</v>
      </c>
      <c r="G15" s="34" t="s">
        <v>20</v>
      </c>
      <c r="H15" s="34" t="s">
        <v>21</v>
      </c>
      <c r="I15" s="34" t="s">
        <v>22</v>
      </c>
      <c r="J15" s="98"/>
      <c r="K15" s="159"/>
      <c r="L15" s="271"/>
      <c r="M15" s="272"/>
      <c r="N15" s="26" t="s">
        <v>192</v>
      </c>
      <c r="O15" s="10" t="s">
        <v>8</v>
      </c>
      <c r="P15" s="1" t="b">
        <f>OR(AND(G20&lt;F20,D10&gt;0),AND(H20&lt;G20,H20&gt;0),AND(I20&lt;H20,I20&gt;0),AND(J20&lt;I20,J20&gt;0),AND(H21&gt;G21, G21&gt;0),AND(I21&gt;H21, H21&gt;0),AND(J21&lt;I21, J21&gt;0))</f>
        <v>1</v>
      </c>
      <c r="Q15" s="1">
        <v>7</v>
      </c>
      <c r="T15" s="91" t="s">
        <v>60</v>
      </c>
      <c r="U15" s="1" t="str">
        <f>IF(P16=TRUE,A23,"")</f>
        <v>CGE CQ4-16</v>
      </c>
    </row>
    <row r="16" spans="1:22" ht="15.75" customHeight="1" x14ac:dyDescent="0.25">
      <c r="A16" s="277"/>
      <c r="B16" s="305"/>
      <c r="C16" s="22" t="s">
        <v>23</v>
      </c>
      <c r="D16" s="161"/>
      <c r="E16" s="137">
        <f>LOOKUP($U$11,Lookup!$C$3:$C$672,Lookup!S$3:S$672)</f>
        <v>217557.25</v>
      </c>
      <c r="F16" s="137">
        <f>LOOKUP($U$11,Lookup!$C$3:$C$672,Lookup!T$3:T$672)</f>
        <v>223046.25</v>
      </c>
      <c r="G16" s="137">
        <f>LOOKUP($U$11,Lookup!$C$3:$C$672,Lookup!U$3:U$672)</f>
        <v>222815.78</v>
      </c>
      <c r="H16" s="144">
        <v>222815.78</v>
      </c>
      <c r="I16" s="144">
        <v>222875.25</v>
      </c>
      <c r="J16" s="98"/>
      <c r="K16" s="159"/>
      <c r="L16" s="271"/>
      <c r="M16" s="273"/>
      <c r="N16" s="26" t="s">
        <v>193</v>
      </c>
      <c r="O16" s="10" t="s">
        <v>11</v>
      </c>
      <c r="P16" s="1" t="b">
        <f>OR(AND(H24&lt;G24, H24&gt;0),AND(I24&lt;H24, I24&gt;0),AND(J24&lt;I24, J24&gt;0),AND(K24&lt;J24, K24&gt;0),AND(I25&gt;H25, H25&gt;0),AND(J25&gt;I25, I25&gt;0),AND(K25&lt;J25, J25&gt;0))</f>
        <v>1</v>
      </c>
      <c r="Q16" s="1">
        <v>8</v>
      </c>
      <c r="T16" s="91" t="s">
        <v>61</v>
      </c>
      <c r="U16" s="1" t="str">
        <f>IF(P17=TRUE,A27,"")</f>
        <v>CGE CQ1-17</v>
      </c>
    </row>
    <row r="17" spans="1:21" ht="15.75" customHeight="1" thickBot="1" x14ac:dyDescent="0.3">
      <c r="A17" s="277"/>
      <c r="B17" s="305"/>
      <c r="C17" s="22" t="s">
        <v>24</v>
      </c>
      <c r="D17" s="161"/>
      <c r="E17" s="138">
        <f>LOOKUP($U$11,Lookup!$C$3:$C$672,Lookup!N$3:N$672)</f>
        <v>223989</v>
      </c>
      <c r="F17" s="138">
        <f>LOOKUP($U$11,Lookup!$C$3:$C$672,Lookup!O$3:O$672)</f>
        <v>223989</v>
      </c>
      <c r="G17" s="138">
        <f>LOOKUP($U$11,Lookup!$C$3:$C$672,Lookup!P$3:P$672)</f>
        <v>223989</v>
      </c>
      <c r="H17" s="54">
        <v>223989</v>
      </c>
      <c r="I17" s="54">
        <v>223989</v>
      </c>
      <c r="J17" s="98"/>
      <c r="K17" s="159"/>
      <c r="L17" s="271"/>
      <c r="M17" s="273"/>
      <c r="N17" s="117" t="s">
        <v>201</v>
      </c>
      <c r="O17" s="10" t="s">
        <v>12</v>
      </c>
      <c r="P17" s="1" t="b">
        <f>OR(AND(I28&lt;H28, I28&gt;0),AND(J28&lt;I28, J28&gt;0),AND(K28&lt;J28, K28&gt;0),AND(J29&gt;I29, I29&gt;0),AND(K29&gt;J29, J29&gt;0))</f>
        <v>1</v>
      </c>
      <c r="Q17" s="1">
        <v>9</v>
      </c>
      <c r="T17" s="91" t="s">
        <v>62</v>
      </c>
      <c r="U17" s="1" t="str">
        <f>IF(P18=TRUE,A31,"")</f>
        <v>CGE CQ2-17</v>
      </c>
    </row>
    <row r="18" spans="1:21" ht="15.75" customHeight="1" thickBot="1" x14ac:dyDescent="0.3">
      <c r="A18" s="278"/>
      <c r="B18" s="306"/>
      <c r="C18" s="24" t="s">
        <v>26</v>
      </c>
      <c r="D18" s="162"/>
      <c r="E18" s="145">
        <f>IF(ISBLANK(E16),"N/A",IF(OR(E16=0,E16="N/A"),0,E16/E17))</f>
        <v>0.97128542026617382</v>
      </c>
      <c r="F18" s="145">
        <f>IF(ISBLANK(F16),"N/A",IF(OR(F16=0,F16="N/A"),0,F16/F17))</f>
        <v>0.9957910879552121</v>
      </c>
      <c r="G18" s="145">
        <f>IF(ISBLANK(G16),"N/A",IF(OR(G16=0,G16="N/A"),0,G16/G17))</f>
        <v>0.9947621534986093</v>
      </c>
      <c r="H18" s="145">
        <f>IF(ISBLANK(H16),"N/A",IF(AND(H16=0,H17=0,NOT(ISBLANK(H16)),NOT(ISBLANK(H17))),1,H16/H17))</f>
        <v>0.9947621534986093</v>
      </c>
      <c r="I18" s="145">
        <f>IF(ISBLANK(I16),"N/A",IF(AND(I16=0,I17=0,NOT(ISBLANK(I16)),NOT(ISBLANK(I17))),1,I16/I17))</f>
        <v>0.99502765760818612</v>
      </c>
      <c r="J18" s="99"/>
      <c r="K18" s="159"/>
      <c r="L18" s="271"/>
      <c r="M18" s="274"/>
      <c r="N18" s="117" t="s">
        <v>202</v>
      </c>
      <c r="O18" s="10" t="s">
        <v>13</v>
      </c>
      <c r="P18" s="1" t="b">
        <f>OR(AND(J32&lt;I32, J32&gt;0),AND(K32&lt;J32, K32&gt;0),AND(K33&gt;J33, J33&gt;0))</f>
        <v>1</v>
      </c>
      <c r="Q18" s="1">
        <v>10</v>
      </c>
      <c r="T18" s="91" t="s">
        <v>63</v>
      </c>
      <c r="U18" s="1" t="str">
        <f>IF(P19=TRUE,A35,"")</f>
        <v>CGE CQ3-17</v>
      </c>
    </row>
    <row r="19" spans="1:21" ht="15.75" customHeight="1" x14ac:dyDescent="0.25">
      <c r="A19" s="276" t="str">
        <f>LEFT(B19,3)&amp;" "&amp;RIGHT(B19,6)</f>
        <v>CGE CQ3-16</v>
      </c>
      <c r="B19" s="263" t="s">
        <v>209</v>
      </c>
      <c r="C19" s="119" t="s">
        <v>213</v>
      </c>
      <c r="D19" s="163"/>
      <c r="E19" s="31"/>
      <c r="F19" s="34" t="s">
        <v>18</v>
      </c>
      <c r="G19" s="34" t="s">
        <v>19</v>
      </c>
      <c r="H19" s="34" t="s">
        <v>20</v>
      </c>
      <c r="I19" s="34" t="s">
        <v>21</v>
      </c>
      <c r="J19" s="100" t="s">
        <v>22</v>
      </c>
      <c r="K19" s="164"/>
      <c r="L19" s="271"/>
      <c r="M19" s="272"/>
      <c r="N19" s="26" t="s">
        <v>194</v>
      </c>
      <c r="O19" s="10" t="s">
        <v>14</v>
      </c>
      <c r="P19" s="1" t="b">
        <f>OR(K36&lt;J36)</f>
        <v>1</v>
      </c>
      <c r="Q19" s="1">
        <v>11</v>
      </c>
      <c r="T19" s="91" t="s">
        <v>64</v>
      </c>
      <c r="U19" s="1" t="str">
        <f>U12&amp;" "&amp;U13&amp;" "&amp;U14&amp;" "&amp;U15&amp;" "&amp;U16&amp;" "&amp;U17&amp;" "&amp;U18</f>
        <v>CGE CQ1-16 CGE CQ2-16 CGE CQ3-16 CGE CQ4-16 CGE CQ1-17 CGE CQ2-17 CGE CQ3-17</v>
      </c>
    </row>
    <row r="20" spans="1:21" ht="15.75" customHeight="1" x14ac:dyDescent="0.25">
      <c r="A20" s="277"/>
      <c r="B20" s="264"/>
      <c r="C20" s="22" t="s">
        <v>23</v>
      </c>
      <c r="D20" s="163"/>
      <c r="E20" s="29"/>
      <c r="F20" s="137">
        <f>LOOKUP($U$11,Lookup!$C$3:$C$672,Lookup!AC$3:AC$672)</f>
        <v>222888.9</v>
      </c>
      <c r="G20" s="137">
        <f>LOOKUP($U$11,Lookup!$C$3:$C$672,Lookup!AD$3:AD$672)</f>
        <v>234835.9</v>
      </c>
      <c r="H20" s="144">
        <v>234883.34</v>
      </c>
      <c r="I20" s="144">
        <v>234883.34</v>
      </c>
      <c r="J20" s="144">
        <v>222875.25</v>
      </c>
      <c r="K20" s="165"/>
      <c r="L20" s="271"/>
      <c r="M20" s="273"/>
      <c r="N20" s="82"/>
      <c r="O20" s="10" t="s">
        <v>15</v>
      </c>
      <c r="P20" s="1">
        <f>COUNTIF(P13:P19,"TRUE")</f>
        <v>7</v>
      </c>
      <c r="Q20" s="1">
        <v>12</v>
      </c>
      <c r="T20" s="91" t="s">
        <v>65</v>
      </c>
    </row>
    <row r="21" spans="1:21" s="16" customFormat="1" ht="15.75" customHeight="1" thickBot="1" x14ac:dyDescent="0.3">
      <c r="A21" s="277"/>
      <c r="B21" s="264"/>
      <c r="C21" s="22" t="s">
        <v>24</v>
      </c>
      <c r="D21" s="163"/>
      <c r="E21" s="29"/>
      <c r="F21" s="138">
        <f>LOOKUP($U$11,Lookup!$C$3:$C$672,Lookup!X$3:X$672)</f>
        <v>237024.9</v>
      </c>
      <c r="G21" s="138">
        <f>LOOKUP($U$11,Lookup!$C$3:$C$672,Lookup!Y$3:Y$672)</f>
        <v>236624.9</v>
      </c>
      <c r="H21" s="54">
        <v>236624.9</v>
      </c>
      <c r="I21" s="54">
        <v>236624.9</v>
      </c>
      <c r="J21" s="54">
        <v>223989</v>
      </c>
      <c r="K21" s="165"/>
      <c r="L21" s="271"/>
      <c r="M21" s="273"/>
      <c r="N21" s="82"/>
      <c r="Q21" s="28"/>
      <c r="T21" s="91" t="s">
        <v>66</v>
      </c>
    </row>
    <row r="22" spans="1:21" ht="15.75" customHeight="1" thickBot="1" x14ac:dyDescent="0.3">
      <c r="A22" s="278"/>
      <c r="B22" s="265"/>
      <c r="C22" s="24" t="s">
        <v>26</v>
      </c>
      <c r="D22" s="163"/>
      <c r="E22" s="33"/>
      <c r="F22" s="152">
        <f>IF(ISBLANK(F20),"N/A",IF(OR(F20=0,F20="N/A"),0,F20/F21))</f>
        <v>0.94036069628127683</v>
      </c>
      <c r="G22" s="145">
        <f>IF(ISBLANK(G20),"N/A",IF(OR(G20=0,G20="N/A"),0,G20/G21))</f>
        <v>0.9924395108038081</v>
      </c>
      <c r="H22" s="145">
        <f>IF(ISBLANK(H20),"N/A",IF(AND(H20=0,H21=0,NOT(ISBLANK(H20)),NOT(ISBLANK(H21))),1,H20/H21))</f>
        <v>0.99263999688959192</v>
      </c>
      <c r="I22" s="145">
        <f>IF(ISBLANK(I20),"N/A",IF(AND(I20=0,I21=0,NOT(ISBLANK(I20)),NOT(ISBLANK(I21))),1,I20/I21))</f>
        <v>0.99263999688959192</v>
      </c>
      <c r="J22" s="145">
        <f>IF(ISBLANK(J20),"N/A",IF(AND(J20=0,J21=0,NOT(ISBLANK(J20)),NOT(ISBLANK(J21))),1,J20/J21))</f>
        <v>0.99502765760818612</v>
      </c>
      <c r="K22" s="166"/>
      <c r="L22" s="271"/>
      <c r="M22" s="274"/>
      <c r="N22" s="83"/>
      <c r="O22" s="101" t="s">
        <v>34</v>
      </c>
      <c r="P22" s="101" t="s">
        <v>35</v>
      </c>
      <c r="Q22" s="11"/>
      <c r="T22" s="91" t="s">
        <v>67</v>
      </c>
    </row>
    <row r="23" spans="1:21" ht="15.75" customHeight="1" x14ac:dyDescent="0.25">
      <c r="A23" s="276" t="str">
        <f>LEFT(B23,3)&amp;" "&amp;RIGHT(B23,6)</f>
        <v>CGE CQ4-16</v>
      </c>
      <c r="B23" s="304" t="s">
        <v>210</v>
      </c>
      <c r="C23" s="21" t="s">
        <v>214</v>
      </c>
      <c r="D23" s="167"/>
      <c r="E23" s="32"/>
      <c r="F23" s="89"/>
      <c r="G23" s="88" t="s">
        <v>18</v>
      </c>
      <c r="H23" s="34" t="s">
        <v>19</v>
      </c>
      <c r="I23" s="34" t="s">
        <v>20</v>
      </c>
      <c r="J23" s="100" t="s">
        <v>21</v>
      </c>
      <c r="K23" s="168" t="s">
        <v>22</v>
      </c>
      <c r="L23" s="271"/>
      <c r="M23" s="285"/>
      <c r="N23" s="94"/>
      <c r="O23" s="101" t="b">
        <v>0</v>
      </c>
      <c r="P23" s="101" t="b">
        <v>0</v>
      </c>
      <c r="Q23" s="1" t="str">
        <f>IF(AND(OR(ISBLANK(H12),ISBLANK(H13)),O23=FALSE),"Red","Gray")</f>
        <v>Gray</v>
      </c>
      <c r="R23" s="1" t="str">
        <f>IF(AND(OR(ISBLANK(I16),ISBLANK(I17)),P23=FALSE),"Red","Gray")</f>
        <v>Gray</v>
      </c>
      <c r="S23" s="1" t="str">
        <f>IF(AND('Circuit Criminal'!D4=1,S36=1),A11,IF(AND('Circuit Criminal'!D4=2,S36=1),A15,IF(AND('Circuit Criminal'!D4=3,S36=1),A19,IF(AND('Circuit Criminal'!D4=4,S36=1),A23,""))))</f>
        <v/>
      </c>
      <c r="T23" s="91" t="s">
        <v>68</v>
      </c>
    </row>
    <row r="24" spans="1:21" s="18" customFormat="1" ht="15.75" customHeight="1" x14ac:dyDescent="0.3">
      <c r="A24" s="277"/>
      <c r="B24" s="305"/>
      <c r="C24" s="22" t="s">
        <v>23</v>
      </c>
      <c r="D24" s="163"/>
      <c r="E24" s="33"/>
      <c r="F24" s="29"/>
      <c r="G24" s="139">
        <f>LOOKUP($U$11,Lookup!$C$3:$C$672,Lookup!AM$3:AM$672)</f>
        <v>218002.14</v>
      </c>
      <c r="H24" s="144">
        <v>222435.14</v>
      </c>
      <c r="I24" s="144">
        <v>222435.17</v>
      </c>
      <c r="J24" s="144">
        <v>234883.34</v>
      </c>
      <c r="K24" s="169"/>
      <c r="L24" s="271"/>
      <c r="M24" s="273"/>
      <c r="N24" s="103"/>
      <c r="O24" s="120" t="b">
        <v>0</v>
      </c>
      <c r="P24" s="120" t="b">
        <v>0</v>
      </c>
      <c r="Q24" s="1" t="str">
        <f>IF(AND(OR(ISBLANK(H16),ISBLANK(H17)),O24=FALSE),"Red","Gray")</f>
        <v>Gray</v>
      </c>
      <c r="R24" s="1" t="str">
        <f>IF(AND(OR(ISBLANK(I20),ISBLANK(I21)),P24=FALSE),"Red","Gray")</f>
        <v>Gray</v>
      </c>
      <c r="S24" s="18" t="str">
        <f>IF(AND('Circuit Criminal'!D4=1,S37=1),A15,IF(AND('Circuit Criminal'!D4=2,S37=1),A19,IF(AND('Circuit Criminal'!D4=3,S37=1),A23,IF(AND('Circuit Criminal'!D4=4,S37=1),A27,""))))</f>
        <v/>
      </c>
      <c r="T24" s="91" t="s">
        <v>69</v>
      </c>
    </row>
    <row r="25" spans="1:21" ht="15.75" customHeight="1" thickBot="1" x14ac:dyDescent="0.3">
      <c r="A25" s="277"/>
      <c r="B25" s="305"/>
      <c r="C25" s="22" t="s">
        <v>24</v>
      </c>
      <c r="D25" s="287"/>
      <c r="E25" s="289"/>
      <c r="F25" s="269"/>
      <c r="G25" s="140">
        <f>LOOKUP($U$11,Lookup!$C$3:$C$672,Lookup!AH$3:AH$672)</f>
        <v>223842.05</v>
      </c>
      <c r="H25" s="54">
        <v>223842.05</v>
      </c>
      <c r="I25" s="54">
        <v>223842.05</v>
      </c>
      <c r="J25" s="54">
        <v>236624.9</v>
      </c>
      <c r="K25" s="54"/>
      <c r="L25" s="271"/>
      <c r="M25" s="273"/>
      <c r="N25" s="103"/>
      <c r="O25" s="101" t="b">
        <v>0</v>
      </c>
      <c r="P25" s="101" t="b">
        <v>0</v>
      </c>
      <c r="Q25" s="1" t="str">
        <f>IF(AND(OR(ISBLANK(H20),ISBLANK(H21)),O25=FALSE),"Red","Gray")</f>
        <v>Gray</v>
      </c>
      <c r="R25" s="1" t="str">
        <f>IF(AND(OR(ISBLANK(I24),ISBLANK(I25)),P25=FALSE),"Red","Gray")</f>
        <v>Gray</v>
      </c>
      <c r="S25" s="1" t="str">
        <f>IF(AND('Circuit Criminal'!D4=1,S38=1),A19,IF(AND('Circuit Criminal'!D4=2,S38=1),A23,IF(AND('Circuit Criminal'!D4=3,S38=1),A27,IF(AND('Circuit Criminal'!D4=4,S38=1),A31,""))))</f>
        <v/>
      </c>
      <c r="T25" s="91" t="s">
        <v>70</v>
      </c>
    </row>
    <row r="26" spans="1:21" ht="15.75" customHeight="1" thickBot="1" x14ac:dyDescent="0.3">
      <c r="A26" s="278"/>
      <c r="B26" s="306"/>
      <c r="C26" s="24" t="s">
        <v>26</v>
      </c>
      <c r="D26" s="288"/>
      <c r="E26" s="290"/>
      <c r="F26" s="270"/>
      <c r="G26" s="153">
        <f>IF(ISBLANK(G24),"N/A",IF(OR(G24=0,G24="N/A"),0,G24/G25))</f>
        <v>0.97391057667672376</v>
      </c>
      <c r="H26" s="145">
        <f>IF(ISBLANK(H24),"N/A",IF(AND(H24=0,H25=0,NOT(ISBLANK(H24)),NOT(ISBLANK(H25))),1,H24/H25))</f>
        <v>0.99371471982140991</v>
      </c>
      <c r="I26" s="145">
        <f>IF(ISBLANK(I24),"N/A",IF(AND(I24=0,I25=0,NOT(ISBLANK(I24)),NOT(ISBLANK(I25))),1,I24/I25))</f>
        <v>0.99371485384448555</v>
      </c>
      <c r="J26" s="145">
        <f>IF(ISBLANK(J24),"N/A",IF(AND(J24=0,J25=0,NOT(ISBLANK(J24)),NOT(ISBLANK(J25))),1,J24/J25))</f>
        <v>0.99263999688959192</v>
      </c>
      <c r="K26" s="171" t="str">
        <f>IF(ISBLANK(K24),"N/A",IF(AND(K24=0,K25=0,NOT(ISBLANK(K24)),NOT(ISBLANK(K25))),1,K24/K25))</f>
        <v>N/A</v>
      </c>
      <c r="L26" s="271"/>
      <c r="M26" s="286"/>
      <c r="N26" s="84"/>
      <c r="O26" s="101" t="b">
        <v>0</v>
      </c>
      <c r="P26" s="101" t="b">
        <v>0</v>
      </c>
      <c r="Q26" s="1" t="str">
        <f>IF(AND(OR(ISBLANK(H24),ISBLANK(H25)),O26=FALSE),"Red","Gray")</f>
        <v>Gray</v>
      </c>
      <c r="R26" s="1" t="str">
        <f>IF(AND(OR(ISBLANK(I28),ISBLANK(I29)),P26=FALSE),"Red","Gray")</f>
        <v>Gray</v>
      </c>
      <c r="S26" s="1" t="str">
        <f>IF(AND('Circuit Criminal'!D4=1,S39=1),A23,IF(AND('Circuit Criminal'!D4=2,S39=1),A27,IF(AND('Circuit Criminal'!D4=3,S39=1),A31,IF(AND('Circuit Criminal'!D4=4,S39=1),A35,""))))</f>
        <v/>
      </c>
      <c r="T26" s="91" t="s">
        <v>71</v>
      </c>
    </row>
    <row r="27" spans="1:21" ht="15.75" customHeight="1" x14ac:dyDescent="0.25">
      <c r="A27" s="276" t="str">
        <f>LEFT(B27,3)&amp;" "&amp;RIGHT(B27,6)</f>
        <v>CGE CQ1-17</v>
      </c>
      <c r="B27" s="263" t="s">
        <v>257</v>
      </c>
      <c r="C27" s="21" t="s">
        <v>261</v>
      </c>
      <c r="D27" s="172"/>
      <c r="E27" s="33"/>
      <c r="F27" s="33"/>
      <c r="G27" s="29"/>
      <c r="H27" s="34" t="s">
        <v>18</v>
      </c>
      <c r="I27" s="34" t="s">
        <v>19</v>
      </c>
      <c r="J27" s="100" t="s">
        <v>20</v>
      </c>
      <c r="K27" s="168" t="s">
        <v>21</v>
      </c>
      <c r="L27" s="94"/>
      <c r="M27" s="94"/>
      <c r="N27" s="94"/>
      <c r="O27" s="101" t="b">
        <v>0</v>
      </c>
      <c r="P27" s="101" t="b">
        <v>0</v>
      </c>
      <c r="Q27" s="1" t="str">
        <f>IF(AND(OR(ISBLANK(H28),ISBLANK(H29)),O27=FALSE),"Red","Gray")</f>
        <v>Gray</v>
      </c>
      <c r="R27" s="1" t="str">
        <f>IF(AND(OR(ISBLANK(I32),ISBLANK(I33)),P27=FALSE),"Red","Gray")</f>
        <v>Gray</v>
      </c>
      <c r="S27" s="1" t="str">
        <f>IF(AND('Circuit Criminal'!D4=1,S40=1),A27,IF(AND('Circuit Criminal'!D4=2,S40=1),A31,IF(AND('Circuit Criminal'!D4=3,S40=1),A35,IF(AND('Circuit Criminal'!D4=4,S40=1),A39,""))))</f>
        <v/>
      </c>
      <c r="T27" s="91" t="s">
        <v>72</v>
      </c>
    </row>
    <row r="28" spans="1:21" ht="15.75" customHeight="1" x14ac:dyDescent="0.25">
      <c r="A28" s="277"/>
      <c r="B28" s="264"/>
      <c r="C28" s="22" t="s">
        <v>23</v>
      </c>
      <c r="D28" s="173"/>
      <c r="E28" s="33"/>
      <c r="F28" s="33"/>
      <c r="G28" s="29"/>
      <c r="H28" s="144">
        <v>196189.85</v>
      </c>
      <c r="I28" s="144">
        <v>197488.85</v>
      </c>
      <c r="J28" s="144">
        <v>222435.17</v>
      </c>
      <c r="K28" s="169"/>
      <c r="L28" s="103"/>
      <c r="M28" s="103"/>
      <c r="N28" s="103"/>
      <c r="O28" s="101"/>
      <c r="P28" s="101"/>
      <c r="T28" s="91" t="s">
        <v>73</v>
      </c>
    </row>
    <row r="29" spans="1:21" ht="15.75" customHeight="1" thickBot="1" x14ac:dyDescent="0.3">
      <c r="A29" s="277"/>
      <c r="B29" s="264"/>
      <c r="C29" s="22" t="s">
        <v>24</v>
      </c>
      <c r="D29" s="173"/>
      <c r="E29" s="33"/>
      <c r="F29" s="33"/>
      <c r="G29" s="29"/>
      <c r="H29" s="54">
        <v>198583.85</v>
      </c>
      <c r="I29" s="54">
        <v>198583.85</v>
      </c>
      <c r="J29" s="54">
        <v>223842.05</v>
      </c>
      <c r="K29" s="54"/>
      <c r="L29" s="103"/>
      <c r="M29" s="103"/>
      <c r="N29" s="103"/>
      <c r="O29" s="101" t="s">
        <v>36</v>
      </c>
      <c r="P29" s="101" t="s">
        <v>37</v>
      </c>
      <c r="T29" s="91" t="s">
        <v>74</v>
      </c>
    </row>
    <row r="30" spans="1:21" ht="15.75" customHeight="1" thickBot="1" x14ac:dyDescent="0.3">
      <c r="A30" s="278"/>
      <c r="B30" s="265"/>
      <c r="C30" s="24" t="s">
        <v>26</v>
      </c>
      <c r="D30" s="174"/>
      <c r="E30" s="30"/>
      <c r="F30" s="30"/>
      <c r="G30" s="30"/>
      <c r="H30" s="145">
        <f>IF(ISBLANK(H28),"N/A",IF(AND(H28=0,H29=0,NOT(ISBLANK(H28)),NOT(ISBLANK(H29))),1,H28/H29))</f>
        <v>0.98794463900261775</v>
      </c>
      <c r="I30" s="145">
        <f>IF(ISBLANK(I28),"N/A",IF(AND(I28=0,I29=0,NOT(ISBLANK(I28)),NOT(ISBLANK(I29))),1,I28/I29))</f>
        <v>0.99448595643603444</v>
      </c>
      <c r="J30" s="145">
        <f>IF(ISBLANK(J28),"N/A",IF(AND(J28=0,J29=0,NOT(ISBLANK(J28)),NOT(ISBLANK(J29))),1,J28/J29))</f>
        <v>0.99371485384448555</v>
      </c>
      <c r="K30" s="171" t="str">
        <f>IF(ISBLANK(K28),"N/A",IF(AND(K28=0,K29=0,NOT(ISBLANK(K28)),NOT(ISBLANK(K29))),1,K28/K29))</f>
        <v>N/A</v>
      </c>
      <c r="L30" s="84"/>
      <c r="M30" s="84"/>
      <c r="N30" s="84"/>
      <c r="O30" s="101" t="b">
        <v>0</v>
      </c>
      <c r="P30" s="101" t="b">
        <v>0</v>
      </c>
      <c r="Q30" s="1" t="str">
        <f>IF(AND(OR(ISBLANK(J20),ISBLANK(J21)),O30=FALSE),"Red","Gray")</f>
        <v>Gray</v>
      </c>
      <c r="R30" s="1" t="str">
        <f>IF(AND(OR(ISBLANK(K24),ISBLANK(K25)),P30=FALSE),"Red","Gray")</f>
        <v>Red</v>
      </c>
      <c r="T30" s="91" t="s">
        <v>75</v>
      </c>
    </row>
    <row r="31" spans="1:21" ht="15.75" customHeight="1" thickBot="1" x14ac:dyDescent="0.3">
      <c r="A31" s="276" t="str">
        <f>LEFT(B31,3)&amp;" "&amp;RIGHT(B31,6)</f>
        <v>CGE CQ2-17</v>
      </c>
      <c r="B31" s="304" t="s">
        <v>258</v>
      </c>
      <c r="C31" s="119" t="s">
        <v>262</v>
      </c>
      <c r="D31" s="175"/>
      <c r="E31" s="74"/>
      <c r="F31" s="74"/>
      <c r="G31" s="74"/>
      <c r="H31" s="74"/>
      <c r="I31" s="34" t="s">
        <v>18</v>
      </c>
      <c r="J31" s="100" t="s">
        <v>19</v>
      </c>
      <c r="K31" s="168" t="s">
        <v>20</v>
      </c>
      <c r="L31" s="255" t="s">
        <v>198</v>
      </c>
      <c r="M31" s="256"/>
      <c r="N31" s="94"/>
      <c r="O31" s="101" t="b">
        <v>0</v>
      </c>
      <c r="P31" s="101" t="b">
        <v>0</v>
      </c>
      <c r="Q31" s="1" t="str">
        <f>IF(AND(OR(ISBLANK(J24),ISBLANK(J25)),O31=FALSE),"Red","Gray")</f>
        <v>Gray</v>
      </c>
      <c r="R31" s="1" t="str">
        <f>IF(AND(OR(ISBLANK(K28),ISBLANK(K29)),P31=FALSE),"Red","Gray")</f>
        <v>Red</v>
      </c>
      <c r="T31" s="91" t="s">
        <v>76</v>
      </c>
    </row>
    <row r="32" spans="1:21" ht="15.75" customHeight="1" x14ac:dyDescent="0.25">
      <c r="A32" s="277"/>
      <c r="B32" s="305"/>
      <c r="C32" s="22" t="s">
        <v>23</v>
      </c>
      <c r="D32" s="175"/>
      <c r="E32" s="74"/>
      <c r="F32" s="74"/>
      <c r="G32" s="74"/>
      <c r="H32" s="74"/>
      <c r="I32" s="144">
        <v>231727</v>
      </c>
      <c r="J32" s="144">
        <v>197488.85</v>
      </c>
      <c r="K32" s="169"/>
      <c r="L32" s="257"/>
      <c r="M32" s="258"/>
      <c r="N32" s="103"/>
      <c r="O32" s="101" t="b">
        <v>0</v>
      </c>
      <c r="P32" s="101" t="b">
        <v>0</v>
      </c>
      <c r="Q32" s="1" t="str">
        <f>IF(AND(OR(ISBLANK(J28),ISBLANK(J29)),O32=FALSE),"Red","Gray")</f>
        <v>Gray</v>
      </c>
      <c r="R32" s="1" t="str">
        <f>IF(AND(OR(ISBLANK(K32),ISBLANK(K33)),P32=FALSE),"Red","Gray")</f>
        <v>Red</v>
      </c>
      <c r="T32" s="91" t="s">
        <v>77</v>
      </c>
    </row>
    <row r="33" spans="1:20" ht="15.75" customHeight="1" thickBot="1" x14ac:dyDescent="0.3">
      <c r="A33" s="277"/>
      <c r="B33" s="305"/>
      <c r="C33" s="22" t="s">
        <v>24</v>
      </c>
      <c r="D33" s="175"/>
      <c r="E33" s="74"/>
      <c r="F33" s="74"/>
      <c r="G33" s="74"/>
      <c r="H33" s="74"/>
      <c r="I33" s="54">
        <v>240099.20000000001</v>
      </c>
      <c r="J33" s="54">
        <v>198583.85</v>
      </c>
      <c r="K33" s="54"/>
      <c r="L33" s="259"/>
      <c r="M33" s="260"/>
      <c r="N33" s="103"/>
      <c r="O33" s="101" t="b">
        <v>0</v>
      </c>
      <c r="P33" s="101" t="b">
        <v>0</v>
      </c>
      <c r="Q33" s="1" t="str">
        <f>IF(AND(OR(ISBLANK(J32),ISBLANK(J33)),O33=FALSE),"Red","Gray")</f>
        <v>Gray</v>
      </c>
      <c r="R33" s="1" t="str">
        <f>IF(AND(OR(ISBLANK(K36),ISBLANK(K37)),P33=FALSE),"Red","Gray")</f>
        <v>Red</v>
      </c>
      <c r="T33" s="91" t="s">
        <v>78</v>
      </c>
    </row>
    <row r="34" spans="1:20" ht="15.75" customHeight="1" thickBot="1" x14ac:dyDescent="0.3">
      <c r="A34" s="278"/>
      <c r="B34" s="306"/>
      <c r="C34" s="24" t="s">
        <v>26</v>
      </c>
      <c r="D34" s="176"/>
      <c r="E34" s="76"/>
      <c r="F34" s="76"/>
      <c r="G34" s="76"/>
      <c r="H34" s="76"/>
      <c r="I34" s="145">
        <f>IF(ISBLANK(I32),"N/A",IF(AND(I32=0,I33=0,NOT(ISBLANK(I32)),NOT(ISBLANK(I33))),1,I32/I33))</f>
        <v>0.96513024616491849</v>
      </c>
      <c r="J34" s="145">
        <f>IF(ISBLANK(J32),"N/A",IF(AND(J32=0,J33=0,NOT(ISBLANK(J32)),NOT(ISBLANK(J33))),1,J32/J33))</f>
        <v>0.99448595643603444</v>
      </c>
      <c r="K34" s="171" t="str">
        <f>IF(ISBLANK(K32),"N/A",IF(AND(K32=0,K33=0,NOT(ISBLANK(K32)),NOT(ISBLANK(K33))),1,K32/K33))</f>
        <v>N/A</v>
      </c>
      <c r="L34" s="259"/>
      <c r="M34" s="260"/>
      <c r="N34" s="84"/>
      <c r="O34" s="121" t="b">
        <v>0</v>
      </c>
      <c r="P34" s="105" t="b">
        <v>0</v>
      </c>
      <c r="Q34" s="1" t="str">
        <f>IF(AND(OR(ISBLANK(J36),ISBLANK(J37)),O34=FALSE),"Red","Gray")</f>
        <v>Gray</v>
      </c>
      <c r="R34" s="1" t="str">
        <f>IF(AND(OR(ISBLANK(K40),ISBLANK(K41)),P34=FALSE),"Red","Gray")</f>
        <v>Red</v>
      </c>
      <c r="T34" s="91" t="s">
        <v>79</v>
      </c>
    </row>
    <row r="35" spans="1:20" ht="15.75" customHeight="1" x14ac:dyDescent="0.25">
      <c r="A35" s="276" t="str">
        <f>LEFT(B35,3)&amp;" "&amp;RIGHT(B35,6)</f>
        <v>CGE CQ3-17</v>
      </c>
      <c r="B35" s="263" t="s">
        <v>259</v>
      </c>
      <c r="C35" s="119" t="s">
        <v>263</v>
      </c>
      <c r="D35" s="177"/>
      <c r="E35" s="107"/>
      <c r="F35" s="107"/>
      <c r="G35" s="107"/>
      <c r="H35" s="107"/>
      <c r="I35" s="108"/>
      <c r="J35" s="100" t="s">
        <v>18</v>
      </c>
      <c r="K35" s="168" t="s">
        <v>19</v>
      </c>
      <c r="L35" s="259"/>
      <c r="M35" s="260"/>
      <c r="N35" s="94"/>
      <c r="O35" s="14"/>
      <c r="P35" s="15"/>
      <c r="T35" s="91" t="s">
        <v>80</v>
      </c>
    </row>
    <row r="36" spans="1:20" ht="15.75" customHeight="1" x14ac:dyDescent="0.25">
      <c r="A36" s="277"/>
      <c r="B36" s="264"/>
      <c r="C36" s="122" t="s">
        <v>23</v>
      </c>
      <c r="D36" s="177"/>
      <c r="E36" s="107"/>
      <c r="F36" s="107"/>
      <c r="G36" s="107"/>
      <c r="H36" s="107"/>
      <c r="I36" s="108"/>
      <c r="J36" s="144">
        <v>231727</v>
      </c>
      <c r="K36" s="169"/>
      <c r="L36" s="259"/>
      <c r="M36" s="260"/>
      <c r="N36" s="103"/>
      <c r="O36" s="14" t="str">
        <f>IF(AND('Circuit Criminal'!$D$4=1,Q23="Red"),"Red","Gray")</f>
        <v>Gray</v>
      </c>
      <c r="P36" s="14" t="str">
        <f>IF(AND('Circuit Criminal'!$D$4=2,R23="Red"),"Red","Gray")</f>
        <v>Gray</v>
      </c>
      <c r="Q36" s="14" t="str">
        <f>IF(AND('Circuit Criminal'!$D$4=3,Q30="Red"),"Red","Gray")</f>
        <v>Gray</v>
      </c>
      <c r="R36" s="14" t="str">
        <f>IF(AND('Circuit Criminal'!$D$4=4,R30="Red"),"Red","Gray")</f>
        <v>Gray</v>
      </c>
      <c r="S36" s="1">
        <f>COUNTIF(O36:R36,"Red")</f>
        <v>0</v>
      </c>
      <c r="T36" s="91" t="s">
        <v>81</v>
      </c>
    </row>
    <row r="37" spans="1:20" ht="15.75" customHeight="1" thickBot="1" x14ac:dyDescent="0.3">
      <c r="A37" s="277"/>
      <c r="B37" s="264"/>
      <c r="C37" s="122" t="s">
        <v>24</v>
      </c>
      <c r="D37" s="177"/>
      <c r="E37" s="107"/>
      <c r="F37" s="107"/>
      <c r="G37" s="107"/>
      <c r="H37" s="107"/>
      <c r="I37" s="107"/>
      <c r="J37" s="54">
        <v>240099.20000000001</v>
      </c>
      <c r="K37" s="54"/>
      <c r="L37" s="259"/>
      <c r="M37" s="260"/>
      <c r="N37" s="103"/>
      <c r="O37" s="14" t="str">
        <f>IF(AND('Circuit Criminal'!$D$4=1,Q24="Red"),"Red","Gray")</f>
        <v>Gray</v>
      </c>
      <c r="P37" s="14" t="str">
        <f>IF(AND('Circuit Criminal'!$D$4=2,R24="Red"),"Red","Gray")</f>
        <v>Gray</v>
      </c>
      <c r="Q37" s="14" t="str">
        <f>IF(AND('Circuit Criminal'!$D$4=3,Q31="Red"),"Red","Gray")</f>
        <v>Gray</v>
      </c>
      <c r="R37" s="14" t="str">
        <f>IF(AND('Circuit Criminal'!$D$4=4,R31="Red"),"Red","Gray")</f>
        <v>Gray</v>
      </c>
      <c r="S37" s="1">
        <f>COUNTIF(O37:R37,"Red")</f>
        <v>0</v>
      </c>
      <c r="T37" s="91" t="s">
        <v>82</v>
      </c>
    </row>
    <row r="38" spans="1:20" ht="15.75" customHeight="1" thickBot="1" x14ac:dyDescent="0.3">
      <c r="A38" s="278"/>
      <c r="B38" s="265"/>
      <c r="C38" s="123" t="s">
        <v>26</v>
      </c>
      <c r="D38" s="178"/>
      <c r="E38" s="112"/>
      <c r="F38" s="112"/>
      <c r="G38" s="112"/>
      <c r="H38" s="112"/>
      <c r="I38" s="112"/>
      <c r="J38" s="145">
        <f>IF(ISBLANK(J36),"N/A",IF(AND(J36=0,J37=0,NOT(ISBLANK(J36)),NOT(ISBLANK(J37))),1,J36/J37))</f>
        <v>0.96513024616491849</v>
      </c>
      <c r="K38" s="171" t="str">
        <f>IF(ISBLANK(K36),"N/A",IF(AND(K36=0,K37=0,NOT(ISBLANK(K36)),NOT(ISBLANK(K37))),1,K36/K37))</f>
        <v>N/A</v>
      </c>
      <c r="L38" s="259"/>
      <c r="M38" s="260"/>
      <c r="N38" s="84"/>
      <c r="O38" s="14" t="str">
        <f>IF(AND('Circuit Criminal'!$D$4=1,Q25="Red"),"Red","Gray")</f>
        <v>Gray</v>
      </c>
      <c r="P38" s="14" t="str">
        <f>IF(AND('Circuit Criminal'!$D$4=2,R25="Red"),"Red","Gray")</f>
        <v>Gray</v>
      </c>
      <c r="Q38" s="14" t="str">
        <f>IF(AND('Circuit Criminal'!$D$4=3,Q32="Red"),"Red","Gray")</f>
        <v>Gray</v>
      </c>
      <c r="R38" s="14" t="str">
        <f>IF(AND('Circuit Criminal'!$D$4=4,R32="Red"),"Red","Gray")</f>
        <v>Gray</v>
      </c>
      <c r="S38" s="1">
        <f>COUNTIF(O38:R38,"Red")</f>
        <v>0</v>
      </c>
      <c r="T38" s="91" t="s">
        <v>83</v>
      </c>
    </row>
    <row r="39" spans="1:20" ht="15.75" customHeight="1" x14ac:dyDescent="0.25">
      <c r="A39" s="276" t="str">
        <f>LEFT(B39,3)&amp;" "&amp;RIGHT(B39,6)</f>
        <v>CGE CQ4-17</v>
      </c>
      <c r="B39" s="304" t="s">
        <v>260</v>
      </c>
      <c r="C39" s="21" t="s">
        <v>264</v>
      </c>
      <c r="D39" s="179"/>
      <c r="E39" s="96"/>
      <c r="F39" s="96"/>
      <c r="G39" s="96"/>
      <c r="H39" s="96"/>
      <c r="I39" s="95"/>
      <c r="J39" s="113"/>
      <c r="K39" s="168" t="s">
        <v>18</v>
      </c>
      <c r="L39" s="259"/>
      <c r="M39" s="260"/>
      <c r="N39" s="94"/>
      <c r="O39" s="14" t="str">
        <f>IF(AND('Circuit Criminal'!$D$4=1,Q26="Red"),"Red","Gray")</f>
        <v>Gray</v>
      </c>
      <c r="P39" s="14" t="str">
        <f>IF(AND('Circuit Criminal'!$D$4=2,R26="Red"),"Red","Gray")</f>
        <v>Gray</v>
      </c>
      <c r="Q39" s="14" t="str">
        <f>IF(AND('Circuit Criminal'!$D$4=3,Q33="Red"),"Red","Gray")</f>
        <v>Gray</v>
      </c>
      <c r="R39" s="14" t="str">
        <f>IF(AND('Circuit Criminal'!$D$4=4,R33="Red"),"Red","Gray")</f>
        <v>Gray</v>
      </c>
      <c r="S39" s="1">
        <f>COUNTIF(O39:R39,"Red")</f>
        <v>0</v>
      </c>
      <c r="T39" s="91" t="s">
        <v>84</v>
      </c>
    </row>
    <row r="40" spans="1:20" ht="15.75" customHeight="1" x14ac:dyDescent="0.25">
      <c r="A40" s="277"/>
      <c r="B40" s="305"/>
      <c r="C40" s="122" t="s">
        <v>23</v>
      </c>
      <c r="D40" s="179"/>
      <c r="E40" s="96"/>
      <c r="F40" s="96"/>
      <c r="G40" s="96"/>
      <c r="H40" s="96"/>
      <c r="I40" s="96"/>
      <c r="J40" s="113"/>
      <c r="K40" s="169"/>
      <c r="L40" s="259"/>
      <c r="M40" s="260"/>
      <c r="N40" s="103"/>
      <c r="O40" s="14" t="str">
        <f>IF(AND('Circuit Criminal'!$D$4=1,Q27="Red"),"Red","Gray")</f>
        <v>Gray</v>
      </c>
      <c r="P40" s="14" t="str">
        <f>IF(AND('Circuit Criminal'!$D$4=2,R27="Red"),"Red","Gray")</f>
        <v>Gray</v>
      </c>
      <c r="Q40" s="14" t="str">
        <f>IF(AND('Circuit Criminal'!$D$4=3,Q34="Red"),"Red","Gray")</f>
        <v>Gray</v>
      </c>
      <c r="R40" s="14" t="str">
        <f>IF(AND('Circuit Criminal'!$D$4=4,R34="Red"),"Red","Gray")</f>
        <v>Gray</v>
      </c>
      <c r="S40" s="1">
        <f>COUNTIF(O40:R40,"Red")</f>
        <v>0</v>
      </c>
      <c r="T40" s="91" t="s">
        <v>85</v>
      </c>
    </row>
    <row r="41" spans="1:20" ht="15.75" customHeight="1" thickBot="1" x14ac:dyDescent="0.3">
      <c r="A41" s="277"/>
      <c r="B41" s="305"/>
      <c r="C41" s="122" t="s">
        <v>24</v>
      </c>
      <c r="D41" s="179"/>
      <c r="E41" s="96"/>
      <c r="F41" s="96"/>
      <c r="G41" s="96"/>
      <c r="H41" s="96"/>
      <c r="I41" s="96"/>
      <c r="J41" s="113"/>
      <c r="K41" s="170"/>
      <c r="L41" s="259"/>
      <c r="M41" s="260"/>
      <c r="N41" s="103"/>
      <c r="O41" s="35">
        <f>COUNTIF(O36:O40,"Red")</f>
        <v>0</v>
      </c>
      <c r="P41" s="35">
        <f>COUNTIF(P36:P40,"Red")</f>
        <v>0</v>
      </c>
      <c r="Q41" s="35">
        <f>COUNTIF(Q36:Q40,"Red")</f>
        <v>0</v>
      </c>
      <c r="R41" s="35">
        <f>COUNTIF(R36:R40,"Red")</f>
        <v>0</v>
      </c>
      <c r="T41" s="91" t="s">
        <v>86</v>
      </c>
    </row>
    <row r="42" spans="1:20" ht="15.75" customHeight="1" thickBot="1" x14ac:dyDescent="0.3">
      <c r="A42" s="278"/>
      <c r="B42" s="306"/>
      <c r="C42" s="123" t="s">
        <v>26</v>
      </c>
      <c r="D42" s="180"/>
      <c r="E42" s="181"/>
      <c r="F42" s="181"/>
      <c r="G42" s="181"/>
      <c r="H42" s="181"/>
      <c r="I42" s="181"/>
      <c r="J42" s="182"/>
      <c r="K42" s="171" t="str">
        <f>IF(ISBLANK(K40),"N/A",IF(OR(K40=0,K40="N/A"),0,K40/K41))</f>
        <v>N/A</v>
      </c>
      <c r="L42" s="261"/>
      <c r="M42" s="262"/>
      <c r="N42" s="84"/>
      <c r="O42" s="35">
        <f>SUM(O41:R41)</f>
        <v>0</v>
      </c>
      <c r="P42" s="15"/>
      <c r="T42" s="91" t="s">
        <v>87</v>
      </c>
    </row>
    <row r="43" spans="1:20" ht="61.2" customHeight="1" x14ac:dyDescent="0.25">
      <c r="C43" s="211" t="s">
        <v>223</v>
      </c>
      <c r="D43" s="254" t="s">
        <v>228</v>
      </c>
      <c r="E43" s="254"/>
      <c r="F43" s="254"/>
      <c r="G43" s="254"/>
      <c r="H43" s="254" t="s">
        <v>233</v>
      </c>
      <c r="I43" s="254"/>
      <c r="J43" s="254"/>
      <c r="K43" s="254"/>
      <c r="N43" s="84"/>
      <c r="O43" s="8"/>
      <c r="P43" s="9"/>
      <c r="T43" s="91" t="s">
        <v>88</v>
      </c>
    </row>
    <row r="44" spans="1:20" x14ac:dyDescent="0.25">
      <c r="C44" s="184" t="s">
        <v>224</v>
      </c>
      <c r="D44" s="101" t="s">
        <v>229</v>
      </c>
      <c r="P44" s="8"/>
      <c r="Q44" s="9"/>
      <c r="T44" s="91" t="s">
        <v>90</v>
      </c>
    </row>
    <row r="45" spans="1:20" s="11" customFormat="1" ht="16.95" customHeight="1" x14ac:dyDescent="0.25">
      <c r="B45" s="1"/>
      <c r="C45" s="1"/>
      <c r="D45" s="101" t="s">
        <v>234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9"/>
      <c r="Q45" s="10"/>
      <c r="T45" s="91" t="s">
        <v>92</v>
      </c>
    </row>
    <row r="46" spans="1:20" ht="15.75" customHeight="1" x14ac:dyDescent="0.25">
      <c r="D46" s="101" t="s">
        <v>230</v>
      </c>
      <c r="O46" s="13"/>
      <c r="P46" s="13"/>
      <c r="Q46" s="10"/>
      <c r="T46" s="91" t="s">
        <v>93</v>
      </c>
    </row>
    <row r="47" spans="1:20" ht="15.75" customHeight="1" x14ac:dyDescent="0.25">
      <c r="E47" s="1" t="s">
        <v>231</v>
      </c>
      <c r="O47" s="14"/>
      <c r="P47" s="15"/>
      <c r="Q47" s="10"/>
      <c r="T47" s="91" t="s">
        <v>94</v>
      </c>
    </row>
    <row r="48" spans="1:20" ht="15.75" customHeight="1" x14ac:dyDescent="0.25">
      <c r="E48" s="1" t="s">
        <v>232</v>
      </c>
      <c r="O48" s="14"/>
      <c r="P48" s="15"/>
      <c r="Q48" s="10"/>
      <c r="T48" s="91" t="s">
        <v>95</v>
      </c>
    </row>
    <row r="49" spans="1:20" s="11" customFormat="1" ht="20.2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9"/>
      <c r="Q49" s="10"/>
      <c r="T49" s="91" t="s">
        <v>92</v>
      </c>
    </row>
    <row r="50" spans="1:20" ht="15.75" hidden="1" customHeight="1" x14ac:dyDescent="0.25">
      <c r="O50" s="13"/>
      <c r="P50" s="13"/>
      <c r="Q50" s="10"/>
      <c r="T50" s="91" t="s">
        <v>93</v>
      </c>
    </row>
    <row r="51" spans="1:20" ht="15.75" hidden="1" customHeight="1" x14ac:dyDescent="0.25">
      <c r="O51" s="14"/>
      <c r="P51" s="15"/>
      <c r="Q51" s="10"/>
      <c r="T51" s="91" t="s">
        <v>94</v>
      </c>
    </row>
    <row r="52" spans="1:20" ht="15.75" hidden="1" customHeight="1" x14ac:dyDescent="0.25">
      <c r="O52" s="14"/>
      <c r="P52" s="15"/>
      <c r="Q52" s="10"/>
      <c r="T52" s="91" t="s">
        <v>95</v>
      </c>
    </row>
    <row r="53" spans="1:20" ht="15.75" hidden="1" customHeight="1" x14ac:dyDescent="0.25">
      <c r="A53" s="275"/>
      <c r="B53" s="275"/>
      <c r="K53" s="14"/>
      <c r="L53" s="14"/>
      <c r="M53" s="14"/>
      <c r="N53" s="14"/>
      <c r="O53" s="15"/>
      <c r="P53" s="10"/>
      <c r="T53" s="91" t="s">
        <v>98</v>
      </c>
    </row>
    <row r="54" spans="1:20" s="11" customFormat="1" ht="20.25" hidden="1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2"/>
      <c r="P54" s="9"/>
      <c r="Q54" s="10"/>
      <c r="T54" s="91" t="s">
        <v>92</v>
      </c>
    </row>
    <row r="55" spans="1:20" ht="15.75" hidden="1" customHeight="1" x14ac:dyDescent="0.25">
      <c r="O55" s="13"/>
      <c r="P55" s="13"/>
      <c r="Q55" s="10"/>
      <c r="T55" s="91" t="s">
        <v>93</v>
      </c>
    </row>
    <row r="56" spans="1:20" ht="15.75" hidden="1" customHeight="1" x14ac:dyDescent="0.25">
      <c r="O56" s="14"/>
      <c r="P56" s="15"/>
      <c r="Q56" s="10"/>
      <c r="T56" s="91" t="s">
        <v>94</v>
      </c>
    </row>
    <row r="57" spans="1:20" ht="15.75" hidden="1" customHeight="1" x14ac:dyDescent="0.25">
      <c r="O57" s="14"/>
      <c r="P57" s="15"/>
      <c r="Q57" s="10"/>
      <c r="T57" s="91" t="s">
        <v>95</v>
      </c>
    </row>
    <row r="58" spans="1:20" ht="15.75" hidden="1" customHeight="1" x14ac:dyDescent="0.25">
      <c r="A58" s="275"/>
      <c r="B58" s="275"/>
      <c r="K58" s="14"/>
      <c r="L58" s="14"/>
      <c r="M58" s="14"/>
      <c r="N58" s="14"/>
      <c r="O58" s="15"/>
      <c r="P58" s="10"/>
      <c r="T58" s="91" t="s">
        <v>98</v>
      </c>
    </row>
    <row r="59" spans="1:20" ht="15.75" customHeight="1" x14ac:dyDescent="0.25">
      <c r="K59" s="14"/>
      <c r="L59" s="14"/>
      <c r="M59" s="14"/>
      <c r="N59" s="14"/>
      <c r="O59" s="15"/>
      <c r="P59" s="10"/>
      <c r="T59" s="91" t="s">
        <v>99</v>
      </c>
    </row>
    <row r="60" spans="1:20" ht="15.75" customHeight="1" x14ac:dyDescent="0.25">
      <c r="K60" s="14"/>
      <c r="L60" s="14"/>
      <c r="M60" s="14"/>
      <c r="N60" s="14"/>
      <c r="O60" s="15"/>
      <c r="P60" s="10"/>
      <c r="T60" s="91" t="s">
        <v>100</v>
      </c>
    </row>
    <row r="61" spans="1:20" ht="15.75" hidden="1" customHeight="1" x14ac:dyDescent="0.25">
      <c r="B61" s="1">
        <f>MAX('Civil Traffic'!B56:B99)</f>
        <v>9</v>
      </c>
      <c r="D61" s="1" t="s">
        <v>128</v>
      </c>
      <c r="F61" s="1" t="s">
        <v>129</v>
      </c>
      <c r="G61" s="1" t="s">
        <v>130</v>
      </c>
      <c r="H61" s="1" t="s">
        <v>131</v>
      </c>
      <c r="I61" s="1" t="s">
        <v>132</v>
      </c>
      <c r="J61" s="1" t="s">
        <v>139</v>
      </c>
      <c r="K61" s="14"/>
      <c r="L61" s="14"/>
      <c r="M61" s="14"/>
      <c r="N61" s="14"/>
      <c r="O61" s="15"/>
      <c r="T61" s="91" t="s">
        <v>101</v>
      </c>
    </row>
    <row r="62" spans="1:20" ht="69" hidden="1" customHeight="1" x14ac:dyDescent="0.25">
      <c r="A62" s="1" t="str">
        <f>D$8</f>
        <v>Probate</v>
      </c>
      <c r="B62" s="1">
        <f>IF(E62="YES",MAX(B61)+1,0)</f>
        <v>0</v>
      </c>
      <c r="C62" s="1" t="str">
        <f>A$11</f>
        <v>CGE CQ1-16</v>
      </c>
      <c r="D62" s="42" t="str">
        <f>"After 3rd Q, Collections went up by more than set percentage of: "&amp;TEXT(J62,"#0%")</f>
        <v>After 3rd Q, Collections went up by more than set percentage of: 500%</v>
      </c>
      <c r="E62" s="1" t="str">
        <f>IF(MAX(F62:G62)&gt;V$10,"YES","NO")</f>
        <v>NO</v>
      </c>
      <c r="F62" s="43">
        <f>IFERROR(IF(NOT(ISBLANK(G12)),(G12-F12)/F12,0),0)</f>
        <v>-1.0995541569692099E-4</v>
      </c>
      <c r="G62" s="43">
        <f>IFERROR(IF(NOT(ISBLANK(H12)),(H12-G12)/G12,0),0)</f>
        <v>1.099675072198905E-4</v>
      </c>
      <c r="J62" s="41">
        <f>V$10</f>
        <v>5</v>
      </c>
      <c r="K62" s="14"/>
      <c r="L62" s="14"/>
      <c r="M62" s="14"/>
      <c r="N62" s="14"/>
      <c r="O62" s="15"/>
      <c r="T62" s="91" t="s">
        <v>102</v>
      </c>
    </row>
    <row r="63" spans="1:20" ht="72.75" hidden="1" customHeight="1" x14ac:dyDescent="0.25">
      <c r="A63" s="1" t="str">
        <f t="shared" ref="A63:A91" si="0">D$8</f>
        <v>Probate</v>
      </c>
      <c r="B63" s="1">
        <f>IF(E63="YES",MAX(B$61:B62)+1,0)</f>
        <v>0</v>
      </c>
      <c r="C63" s="1" t="str">
        <f>A$11</f>
        <v>CGE CQ1-16</v>
      </c>
      <c r="D63" s="42" t="str">
        <f>"Assessments dropped by more than set percentage of: "&amp;TEXT(J63,"#0%")</f>
        <v>Assessments dropped by more than set percentage of: 15%</v>
      </c>
      <c r="E63" s="1" t="str">
        <f>IF(MIN(F63:I63)&lt;(-1*V$11),"YES","NO")</f>
        <v>NO</v>
      </c>
      <c r="F63" s="43">
        <f>IFERROR(IF(NOT(ISBLANK(E13)),(E13-D13)/D13,0),0)</f>
        <v>0</v>
      </c>
      <c r="G63" s="43">
        <f>IFERROR(IF(NOT(ISBLANK(F13)),(F13-E13)/E13,0),0)</f>
        <v>0</v>
      </c>
      <c r="H63" s="43">
        <f>IFERROR(IF(NOT(ISBLANK(G13)),(G13-F13)/F13,0),0)</f>
        <v>0</v>
      </c>
      <c r="I63" s="43">
        <f>IFERROR(IF(NOT(ISBLANK(H13)),(H13-G13)/G13,0),0)</f>
        <v>0</v>
      </c>
      <c r="J63" s="41">
        <f>V$11</f>
        <v>0.15</v>
      </c>
      <c r="K63" s="14"/>
      <c r="L63" s="14"/>
      <c r="M63" s="14"/>
      <c r="N63" s="14"/>
      <c r="O63" s="15"/>
      <c r="P63" s="10"/>
      <c r="T63" s="91" t="s">
        <v>107</v>
      </c>
    </row>
    <row r="64" spans="1:20" ht="52.5" hidden="1" customHeight="1" x14ac:dyDescent="0.25">
      <c r="A64" s="1" t="str">
        <f t="shared" si="0"/>
        <v>Probate</v>
      </c>
      <c r="B64" s="1">
        <f>IF(E64="YES",MAX(B$61:B63)+1,0)</f>
        <v>0</v>
      </c>
      <c r="C64" s="1" t="str">
        <f>A$11</f>
        <v>CGE CQ1-16</v>
      </c>
      <c r="D64" s="42" t="str">
        <f>"The 5th Quarter Collection Rate did not meet the established performance measure standard of: "&amp;TEXT(J64,"#0%")</f>
        <v>The 5th Quarter Collection Rate did not meet the established performance measure standard of: 90%</v>
      </c>
      <c r="E64" s="1" t="str">
        <f>IF(F64="N/A","NO",IF(F64&lt;H$8,"YES","NO"))</f>
        <v>NO</v>
      </c>
      <c r="F64" s="44">
        <f>H14</f>
        <v>0.99289845466006421</v>
      </c>
      <c r="J64" s="41">
        <f>H$8</f>
        <v>0.9</v>
      </c>
      <c r="K64" s="14"/>
      <c r="L64" s="14"/>
      <c r="M64" s="14"/>
      <c r="N64" s="14"/>
      <c r="O64" s="15"/>
      <c r="P64" s="10"/>
      <c r="T64" s="91" t="s">
        <v>114</v>
      </c>
    </row>
    <row r="65" spans="1:20" ht="45" hidden="1" customHeight="1" x14ac:dyDescent="0.25">
      <c r="A65" s="1" t="str">
        <f t="shared" si="0"/>
        <v>Probate</v>
      </c>
      <c r="B65" s="1">
        <f>IF(E65="YES",MAX(B$61:B64)+1,0)</f>
        <v>10</v>
      </c>
      <c r="C65" s="1" t="str">
        <f>A$11</f>
        <v>CGE CQ1-16</v>
      </c>
      <c r="D65" s="42" t="s">
        <v>133</v>
      </c>
      <c r="E65" s="1" t="str">
        <f>IF(MIN(F65:I65)&lt;0,"YES","NO")</f>
        <v>YES</v>
      </c>
      <c r="F65" s="43">
        <f t="shared" ref="F65:I66" si="1">IFERROR(IF(NOT(ISBLANK(E12)),(E12-D12)/D12,0),0)</f>
        <v>1.1012184561475371E-2</v>
      </c>
      <c r="G65" s="43">
        <f t="shared" si="1"/>
        <v>7.6503677154482409E-4</v>
      </c>
      <c r="H65" s="43">
        <f t="shared" si="1"/>
        <v>-1.0995541569692099E-4</v>
      </c>
      <c r="I65" s="43">
        <f t="shared" si="1"/>
        <v>1.099675072198905E-4</v>
      </c>
      <c r="K65" s="14"/>
      <c r="L65" s="14"/>
      <c r="M65" s="14"/>
      <c r="N65" s="14"/>
      <c r="O65" s="15"/>
    </row>
    <row r="66" spans="1:20" ht="41.4" hidden="1" x14ac:dyDescent="0.25">
      <c r="A66" s="1" t="str">
        <f t="shared" si="0"/>
        <v>Probate</v>
      </c>
      <c r="B66" s="1">
        <f>IF(E66="YES",MAX(B$61:B65)+1,0)</f>
        <v>0</v>
      </c>
      <c r="C66" s="1" t="str">
        <f>A$11</f>
        <v>CGE CQ1-16</v>
      </c>
      <c r="D66" s="42" t="s">
        <v>134</v>
      </c>
      <c r="E66" s="1" t="str">
        <f>IF(MAX(F66:I66)&gt;0,"YES","NO")</f>
        <v>NO</v>
      </c>
      <c r="F66" s="43">
        <f t="shared" si="1"/>
        <v>0</v>
      </c>
      <c r="G66" s="43">
        <f t="shared" si="1"/>
        <v>0</v>
      </c>
      <c r="H66" s="43">
        <f t="shared" si="1"/>
        <v>0</v>
      </c>
      <c r="I66" s="43">
        <f t="shared" si="1"/>
        <v>0</v>
      </c>
      <c r="K66" s="14"/>
      <c r="L66" s="14"/>
      <c r="M66" s="14"/>
      <c r="N66" s="14"/>
    </row>
    <row r="67" spans="1:20" s="16" customFormat="1" ht="65.25" hidden="1" customHeight="1" x14ac:dyDescent="0.25">
      <c r="A67" s="1" t="str">
        <f t="shared" si="0"/>
        <v>Probate</v>
      </c>
      <c r="B67" s="1">
        <f>IF(E67="YES",MAX(B$61:B66)+1,0)</f>
        <v>0</v>
      </c>
      <c r="C67" s="1" t="str">
        <f>A$15</f>
        <v>CGE CQ2-16</v>
      </c>
      <c r="D67" s="42" t="str">
        <f>"After 3rd Q, Collections went up by more than set percentage of: "&amp;TEXT(J67,"#0%")</f>
        <v>After 3rd Q, Collections went up by more than set percentage of: 500%</v>
      </c>
      <c r="E67" s="1" t="str">
        <f>IF(MAX(F67:G67)&gt;V$10,"YES","NO")</f>
        <v>NO</v>
      </c>
      <c r="F67" s="43">
        <f>IFERROR(IF(NOT(ISBLANK(H16)),(H16-G16)/G16,0),0)</f>
        <v>0</v>
      </c>
      <c r="G67" s="43">
        <f>IFERROR(IF(NOT(ISBLANK(I16)),(I16-H16)/H16,0),0)</f>
        <v>2.6690210181703095E-4</v>
      </c>
      <c r="H67" s="43"/>
      <c r="I67" s="1"/>
      <c r="J67" s="41">
        <f>V$10</f>
        <v>5</v>
      </c>
      <c r="K67" s="14"/>
      <c r="L67" s="14"/>
      <c r="M67" s="14"/>
      <c r="N67" s="14"/>
      <c r="O67" s="11"/>
      <c r="P67" s="1"/>
      <c r="T67" s="91" t="s">
        <v>103</v>
      </c>
    </row>
    <row r="68" spans="1:20" ht="60.75" hidden="1" customHeight="1" x14ac:dyDescent="0.25">
      <c r="A68" s="1" t="str">
        <f t="shared" si="0"/>
        <v>Probate</v>
      </c>
      <c r="B68" s="1">
        <f>IF(E68="YES",MAX(B$61:B67)+1,0)</f>
        <v>0</v>
      </c>
      <c r="C68" s="1" t="str">
        <f>A$15</f>
        <v>CGE CQ2-16</v>
      </c>
      <c r="D68" s="42" t="str">
        <f>"Assessments dropped by more than set percentage of: "&amp;TEXT(J68,"#0%")</f>
        <v>Assessments dropped by more than set percentage of: 15%</v>
      </c>
      <c r="E68" s="1" t="str">
        <f>IF(MIN(F68:I68)&lt;(-1*V$11),"YES","NO")</f>
        <v>NO</v>
      </c>
      <c r="F68" s="43">
        <f>IFERROR(IF(NOT(ISBLANK(F17)),(F17-E17)/E17,0),0)</f>
        <v>0</v>
      </c>
      <c r="G68" s="43">
        <f>IFERROR(IF(NOT(ISBLANK(G17)),(G17-F17)/F17,0),0)</f>
        <v>0</v>
      </c>
      <c r="H68" s="43">
        <f>IFERROR(IF(NOT(ISBLANK(H17)),(H17-G17)/G17,0),0)</f>
        <v>0</v>
      </c>
      <c r="I68" s="43">
        <f>IFERROR(IF(NOT(ISBLANK(I17)),(I17-H17)/H17,0),0)</f>
        <v>0</v>
      </c>
      <c r="J68" s="41">
        <f>V$11</f>
        <v>0.15</v>
      </c>
      <c r="K68" s="14"/>
      <c r="L68" s="14"/>
      <c r="M68" s="14"/>
      <c r="N68" s="14"/>
      <c r="O68" s="15"/>
      <c r="P68" s="10"/>
      <c r="T68" s="91" t="s">
        <v>108</v>
      </c>
    </row>
    <row r="69" spans="1:20" ht="52.5" hidden="1" customHeight="1" x14ac:dyDescent="0.25">
      <c r="A69" s="1" t="str">
        <f t="shared" si="0"/>
        <v>Probate</v>
      </c>
      <c r="B69" s="1">
        <f>IF(E69="YES",MAX(B$61:B68)+1,0)</f>
        <v>11</v>
      </c>
      <c r="C69" s="1" t="str">
        <f>A$15</f>
        <v>CGE CQ2-16</v>
      </c>
      <c r="D69" s="42" t="s">
        <v>133</v>
      </c>
      <c r="E69" s="1" t="str">
        <f>IF(MIN(F69:I69)&lt;0,"YES","NO")</f>
        <v>YES</v>
      </c>
      <c r="F69" s="43">
        <f t="shared" ref="F69:I70" si="2">IFERROR(IF(NOT(ISBLANK(F16)),(F16-E16)/E16,0),0)</f>
        <v>2.5230140572194217E-2</v>
      </c>
      <c r="G69" s="43">
        <f t="shared" si="2"/>
        <v>-1.0332834557855205E-3</v>
      </c>
      <c r="H69" s="43">
        <f t="shared" si="2"/>
        <v>0</v>
      </c>
      <c r="I69" s="43">
        <f t="shared" si="2"/>
        <v>2.6690210181703095E-4</v>
      </c>
      <c r="K69" s="14"/>
      <c r="L69" s="14"/>
      <c r="M69" s="14"/>
      <c r="N69" s="14"/>
      <c r="O69" s="15"/>
      <c r="P69" s="10"/>
    </row>
    <row r="70" spans="1:20" s="16" customFormat="1" ht="45" hidden="1" customHeight="1" x14ac:dyDescent="0.25">
      <c r="A70" s="1" t="str">
        <f t="shared" si="0"/>
        <v>Probate</v>
      </c>
      <c r="B70" s="1">
        <f>IF(E70="YES",MAX(B$61:B69)+1,0)</f>
        <v>0</v>
      </c>
      <c r="C70" s="1" t="str">
        <f>A$15</f>
        <v>CGE CQ2-16</v>
      </c>
      <c r="D70" s="42" t="s">
        <v>134</v>
      </c>
      <c r="E70" s="1" t="str">
        <f>IF(MAX(F70:I70)&gt;0,"YES","NO")</f>
        <v>NO</v>
      </c>
      <c r="F70" s="43">
        <f t="shared" si="2"/>
        <v>0</v>
      </c>
      <c r="G70" s="43">
        <f t="shared" si="2"/>
        <v>0</v>
      </c>
      <c r="H70" s="43">
        <f t="shared" si="2"/>
        <v>0</v>
      </c>
      <c r="I70" s="43">
        <f t="shared" si="2"/>
        <v>0</v>
      </c>
      <c r="J70" s="1"/>
      <c r="K70" s="14"/>
      <c r="L70" s="14"/>
      <c r="M70" s="14"/>
      <c r="N70" s="14"/>
      <c r="O70" s="11"/>
      <c r="P70" s="1"/>
    </row>
    <row r="71" spans="1:20" ht="96.6" hidden="1" x14ac:dyDescent="0.25">
      <c r="A71" s="1" t="str">
        <f t="shared" si="0"/>
        <v>Probate</v>
      </c>
      <c r="B71" s="1">
        <f>IF(E71="YES",MAX(B$61:B70)+1,0)</f>
        <v>0</v>
      </c>
      <c r="C71" s="1" t="str">
        <f>A$15</f>
        <v>CGE CQ2-16</v>
      </c>
      <c r="D71" s="42" t="str">
        <f>"The 5th Quarter Collection Rate did not meet the established performance measure standard of: "&amp;TEXT(J71,"#0%")</f>
        <v>The 5th Quarter Collection Rate did not meet the established performance measure standard of: 90%</v>
      </c>
      <c r="E71" s="1" t="str">
        <f>IF(F71="N/A","NO",IF(F71&lt;H$8,"YES","NO"))</f>
        <v>NO</v>
      </c>
      <c r="F71" s="44">
        <f>I18</f>
        <v>0.99502765760818612</v>
      </c>
      <c r="J71" s="41">
        <f>H$8</f>
        <v>0.9</v>
      </c>
      <c r="K71" s="14"/>
      <c r="L71" s="14"/>
      <c r="M71" s="14"/>
      <c r="N71" s="14"/>
    </row>
    <row r="72" spans="1:20" ht="65.25" hidden="1" customHeight="1" x14ac:dyDescent="0.3">
      <c r="A72" s="1" t="str">
        <f t="shared" si="0"/>
        <v>Probate</v>
      </c>
      <c r="B72" s="1">
        <f>IF(E72="YES",MAX(B$61:B71)+1,0)</f>
        <v>0</v>
      </c>
      <c r="C72" s="1" t="str">
        <f>A$19</f>
        <v>CGE CQ3-16</v>
      </c>
      <c r="D72" s="42" t="str">
        <f>"After 3rd Q, Collections went up by more than set percentage of: "&amp;TEXT(J72,"#0%")</f>
        <v>After 3rd Q, Collections went up by more than set percentage of: 500%</v>
      </c>
      <c r="E72" s="1" t="str">
        <f>IF(MAX(F72:G72)&gt;V$10,"YES","NO")</f>
        <v>NO</v>
      </c>
      <c r="F72" s="43">
        <f>IFERROR(IF(NOT(ISBLANK(I20)),(I20-H20)/H20,0),0)</f>
        <v>0</v>
      </c>
      <c r="G72" s="43">
        <f>IFERROR(IF(NOT(ISBLANK(J20)),(J20-I20)/I20,0),0)</f>
        <v>-5.112363439654765E-2</v>
      </c>
      <c r="J72" s="41">
        <f>V$10</f>
        <v>5</v>
      </c>
      <c r="K72" s="14"/>
      <c r="L72" s="14"/>
      <c r="M72" s="14"/>
      <c r="N72" s="14"/>
      <c r="O72" s="11"/>
      <c r="P72" s="18"/>
      <c r="T72" s="91" t="s">
        <v>104</v>
      </c>
    </row>
    <row r="73" spans="1:20" ht="60.75" hidden="1" customHeight="1" x14ac:dyDescent="0.25">
      <c r="A73" s="1" t="str">
        <f t="shared" si="0"/>
        <v>Probate</v>
      </c>
      <c r="B73" s="1">
        <f>IF(E73="YES",MAX(B$61:B72)+1,0)</f>
        <v>0</v>
      </c>
      <c r="C73" s="1" t="str">
        <f>A$19</f>
        <v>CGE CQ3-16</v>
      </c>
      <c r="D73" s="42" t="str">
        <f>"Assessments dropped by more than set percentage of: "&amp;TEXT(J73,"#0%")</f>
        <v>Assessments dropped by more than set percentage of: 15%</v>
      </c>
      <c r="E73" s="1" t="str">
        <f>IF(MIN(F73:I73)&lt;(-1*V$11),"YES","NO")</f>
        <v>NO</v>
      </c>
      <c r="F73" s="43">
        <f>IFERROR(IF(NOT(ISBLANK(G21)),(G21-F21)/F21,0),0)</f>
        <v>-1.6875864096978842E-3</v>
      </c>
      <c r="G73" s="43">
        <f>IFERROR(IF(NOT(ISBLANK(H21)),(H21-G21)/G21,0),0)</f>
        <v>0</v>
      </c>
      <c r="H73" s="43">
        <f>IFERROR(IF(NOT(ISBLANK(I21)),(I21-H21)/H21,0),0)</f>
        <v>0</v>
      </c>
      <c r="I73" s="43">
        <f>IFERROR(IF(NOT(ISBLANK(J21)),(J21-I21)/I21,0),0)</f>
        <v>-5.3400550829604133E-2</v>
      </c>
      <c r="J73" s="41">
        <f>V$11</f>
        <v>0.15</v>
      </c>
      <c r="K73" s="14"/>
      <c r="L73" s="14"/>
      <c r="M73" s="14"/>
      <c r="N73" s="14"/>
      <c r="O73" s="15"/>
      <c r="P73" s="10"/>
      <c r="T73" s="91" t="s">
        <v>109</v>
      </c>
    </row>
    <row r="74" spans="1:20" ht="52.5" hidden="1" customHeight="1" x14ac:dyDescent="0.25">
      <c r="A74" s="1" t="str">
        <f t="shared" si="0"/>
        <v>Probate</v>
      </c>
      <c r="B74" s="1">
        <f>IF(E74="YES",MAX(B$61:B73)+1,0)</f>
        <v>12</v>
      </c>
      <c r="C74" s="1" t="str">
        <f>A$19</f>
        <v>CGE CQ3-16</v>
      </c>
      <c r="D74" s="42" t="s">
        <v>133</v>
      </c>
      <c r="E74" s="1" t="str">
        <f>IF(MIN(F74:I74)&lt;0,"YES","NO")</f>
        <v>YES</v>
      </c>
      <c r="F74" s="43">
        <f t="shared" ref="F74:I75" si="3">IFERROR(IF(NOT(ISBLANK(G20)),(G20-F20)/F20,0),0)</f>
        <v>5.3600695234262453E-2</v>
      </c>
      <c r="G74" s="43">
        <f t="shared" si="3"/>
        <v>2.0201340595710592E-4</v>
      </c>
      <c r="H74" s="43">
        <f t="shared" si="3"/>
        <v>0</v>
      </c>
      <c r="I74" s="43">
        <f t="shared" si="3"/>
        <v>-5.112363439654765E-2</v>
      </c>
      <c r="K74" s="14"/>
      <c r="L74" s="14"/>
      <c r="M74" s="14"/>
      <c r="N74" s="14"/>
      <c r="O74" s="15"/>
      <c r="P74" s="10"/>
    </row>
    <row r="75" spans="1:20" ht="45" hidden="1" customHeight="1" x14ac:dyDescent="0.25">
      <c r="A75" s="1" t="str">
        <f t="shared" si="0"/>
        <v>Probate</v>
      </c>
      <c r="B75" s="1">
        <f>IF(E75="YES",MAX(B$61:B74)+1,0)</f>
        <v>0</v>
      </c>
      <c r="C75" s="1" t="str">
        <f>A$19</f>
        <v>CGE CQ3-16</v>
      </c>
      <c r="D75" s="42" t="s">
        <v>134</v>
      </c>
      <c r="E75" s="1" t="str">
        <f>IF(MAX(F75:I75)&gt;0,"YES","NO")</f>
        <v>NO</v>
      </c>
      <c r="F75" s="43">
        <f t="shared" si="3"/>
        <v>-1.6875864096978842E-3</v>
      </c>
      <c r="G75" s="43">
        <f t="shared" si="3"/>
        <v>0</v>
      </c>
      <c r="H75" s="43">
        <f t="shared" si="3"/>
        <v>0</v>
      </c>
      <c r="I75" s="43">
        <f t="shared" si="3"/>
        <v>-5.3400550829604133E-2</v>
      </c>
      <c r="K75" s="14"/>
      <c r="L75" s="14"/>
      <c r="M75" s="14"/>
      <c r="N75" s="14"/>
      <c r="O75" s="11"/>
    </row>
    <row r="76" spans="1:20" ht="96.6" hidden="1" x14ac:dyDescent="0.25">
      <c r="A76" s="1" t="str">
        <f t="shared" si="0"/>
        <v>Probate</v>
      </c>
      <c r="B76" s="1">
        <f>IF(E76="YES",MAX(B$61:B75)+1,0)</f>
        <v>0</v>
      </c>
      <c r="C76" s="1" t="str">
        <f>A$19</f>
        <v>CGE CQ3-16</v>
      </c>
      <c r="D76" s="42" t="str">
        <f>"The 5th Quarter Collection Rate did not meet the established performance measure standard of: "&amp;TEXT(J76,"#0%")</f>
        <v>The 5th Quarter Collection Rate did not meet the established performance measure standard of: 90%</v>
      </c>
      <c r="E76" s="1" t="str">
        <f>IF(F76="N/A","NO",IF(F76&lt;H$8,"YES","NO"))</f>
        <v>NO</v>
      </c>
      <c r="F76" s="44">
        <f>J22</f>
        <v>0.99502765760818612</v>
      </c>
      <c r="J76" s="41">
        <f>H$8</f>
        <v>0.9</v>
      </c>
      <c r="K76" s="14"/>
      <c r="L76" s="14"/>
      <c r="M76" s="14"/>
      <c r="N76" s="14"/>
    </row>
    <row r="77" spans="1:20" ht="65.25" hidden="1" customHeight="1" x14ac:dyDescent="0.25">
      <c r="A77" s="1" t="str">
        <f t="shared" si="0"/>
        <v>Probate</v>
      </c>
      <c r="B77" s="1">
        <f>IF(E77="YES",MAX(B$61:B76)+1,0)</f>
        <v>0</v>
      </c>
      <c r="C77" s="1" t="str">
        <f>A$23</f>
        <v>CGE CQ4-16</v>
      </c>
      <c r="D77" s="42" t="str">
        <f>"After 3rd Q, Collections went up by more than set percentage of: "&amp;TEXT(J77,"#0%")</f>
        <v>After 3rd Q, Collections went up by more than set percentage of: 500%</v>
      </c>
      <c r="E77" s="1" t="str">
        <f>IF(MAX(F77:G77)&gt;V$10,"YES","NO")</f>
        <v>NO</v>
      </c>
      <c r="F77" s="43">
        <f>IFERROR(IF(NOT(ISBLANK(J24)),(J24-I24)/I24,0),0)</f>
        <v>5.5963137484058761E-2</v>
      </c>
      <c r="G77" s="43">
        <f>IFERROR(IF(NOT(ISBLANK(K24)),(K24-J24)/J24,0),0)</f>
        <v>0</v>
      </c>
      <c r="J77" s="41">
        <f>V$10</f>
        <v>5</v>
      </c>
      <c r="K77" s="14"/>
      <c r="L77" s="14"/>
      <c r="M77" s="14"/>
      <c r="N77" s="14"/>
      <c r="O77" s="15"/>
      <c r="P77" s="10"/>
      <c r="T77" s="91" t="s">
        <v>105</v>
      </c>
    </row>
    <row r="78" spans="1:20" ht="60.75" hidden="1" customHeight="1" x14ac:dyDescent="0.25">
      <c r="A78" s="1" t="str">
        <f t="shared" si="0"/>
        <v>Probate</v>
      </c>
      <c r="B78" s="1">
        <f>IF(E78="YES",MAX(B$61:B77)+1,0)</f>
        <v>0</v>
      </c>
      <c r="C78" s="1" t="str">
        <f>A$23</f>
        <v>CGE CQ4-16</v>
      </c>
      <c r="D78" s="42" t="str">
        <f>"Assessments dropped by more than set percentage of: "&amp;TEXT(J78,"#0%")</f>
        <v>Assessments dropped by more than set percentage of: 15%</v>
      </c>
      <c r="E78" s="1" t="str">
        <f>IF(MIN(F78:I78)&lt;(-1*V$11),"YES","NO")</f>
        <v>NO</v>
      </c>
      <c r="F78" s="43">
        <f>IFERROR(IF(NOT(ISBLANK(H25)),(H25-G25)/G25,0),0)</f>
        <v>0</v>
      </c>
      <c r="G78" s="43">
        <f>IFERROR(IF(NOT(ISBLANK(I25)),(I25-H25)/H25,0),0)</f>
        <v>0</v>
      </c>
      <c r="H78" s="43">
        <f>IFERROR(IF(NOT(ISBLANK(J25)),(J25-I25)/I25,0),0)</f>
        <v>5.7106562417561874E-2</v>
      </c>
      <c r="I78" s="43">
        <f>IFERROR(IF(NOT(ISBLANK(K25)),(K25-J25)/J25,0),0)</f>
        <v>0</v>
      </c>
      <c r="J78" s="41">
        <f>V$11</f>
        <v>0.15</v>
      </c>
      <c r="K78" s="14"/>
      <c r="L78" s="14"/>
      <c r="M78" s="14"/>
      <c r="N78" s="14"/>
      <c r="O78" s="15"/>
      <c r="P78" s="10"/>
      <c r="T78" s="91" t="s">
        <v>110</v>
      </c>
    </row>
    <row r="79" spans="1:20" ht="52.5" hidden="1" customHeight="1" x14ac:dyDescent="0.25">
      <c r="A79" s="1" t="str">
        <f t="shared" si="0"/>
        <v>Probate</v>
      </c>
      <c r="B79" s="1">
        <f>IF(E79="YES",MAX(B$61:B78)+1,0)</f>
        <v>0</v>
      </c>
      <c r="C79" s="1" t="str">
        <f>A$23</f>
        <v>CGE CQ4-16</v>
      </c>
      <c r="D79" s="42" t="s">
        <v>133</v>
      </c>
      <c r="E79" s="1" t="str">
        <f>IF(MIN(F79:I79)&lt;0,"YES","NO")</f>
        <v>NO</v>
      </c>
      <c r="F79" s="43">
        <f t="shared" ref="F79:I80" si="4">IFERROR(IF(NOT(ISBLANK(H24)),(H24-G24)/G24,0),0)</f>
        <v>2.0334662769824183E-2</v>
      </c>
      <c r="G79" s="43">
        <f t="shared" si="4"/>
        <v>1.3487077625790531E-7</v>
      </c>
      <c r="H79" s="43">
        <f t="shared" si="4"/>
        <v>5.5963137484058761E-2</v>
      </c>
      <c r="I79" s="43">
        <f t="shared" si="4"/>
        <v>0</v>
      </c>
      <c r="K79" s="14"/>
      <c r="L79" s="14"/>
      <c r="M79" s="14"/>
      <c r="N79" s="14"/>
      <c r="O79" s="15"/>
      <c r="P79" s="10"/>
    </row>
    <row r="80" spans="1:20" ht="45" hidden="1" customHeight="1" x14ac:dyDescent="0.25">
      <c r="A80" s="1" t="str">
        <f t="shared" si="0"/>
        <v>Probate</v>
      </c>
      <c r="B80" s="1">
        <f>IF(E80="YES",MAX(B$61:B79)+1,0)</f>
        <v>13</v>
      </c>
      <c r="C80" s="1" t="str">
        <f>A$23</f>
        <v>CGE CQ4-16</v>
      </c>
      <c r="D80" s="42" t="s">
        <v>134</v>
      </c>
      <c r="E80" s="1" t="str">
        <f>IF(MAX(F80:I80)&gt;0,"YES","NO")</f>
        <v>YES</v>
      </c>
      <c r="F80" s="43">
        <f t="shared" si="4"/>
        <v>0</v>
      </c>
      <c r="G80" s="43">
        <f t="shared" si="4"/>
        <v>0</v>
      </c>
      <c r="H80" s="43">
        <f t="shared" si="4"/>
        <v>5.7106562417561874E-2</v>
      </c>
      <c r="I80" s="43">
        <f t="shared" si="4"/>
        <v>0</v>
      </c>
      <c r="K80" s="14"/>
      <c r="L80" s="14"/>
      <c r="M80" s="14"/>
      <c r="N80" s="14"/>
    </row>
    <row r="81" spans="1:20" ht="96.6" hidden="1" x14ac:dyDescent="0.25">
      <c r="A81" s="1" t="str">
        <f t="shared" si="0"/>
        <v>Probate</v>
      </c>
      <c r="B81" s="1">
        <f>IF(E81="YES",MAX(B$61:B80)+1,0)</f>
        <v>0</v>
      </c>
      <c r="C81" s="1" t="str">
        <f>A$23</f>
        <v>CGE CQ4-16</v>
      </c>
      <c r="D81" s="42" t="str">
        <f>"The 5th Quarter Collection Rate did not meet the established performance measure standard of: "&amp;TEXT(J81,"#0%")</f>
        <v>The 5th Quarter Collection Rate did not meet the established performance measure standard of: 90%</v>
      </c>
      <c r="E81" s="1" t="str">
        <f>IF(F81="N/A","NO",IF(F81&lt;H$8,"YES","NO"))</f>
        <v>NO</v>
      </c>
      <c r="F81" s="44" t="str">
        <f>K26</f>
        <v>N/A</v>
      </c>
      <c r="J81" s="41">
        <f>H$8</f>
        <v>0.9</v>
      </c>
      <c r="K81" s="14"/>
      <c r="L81" s="14"/>
      <c r="M81" s="14"/>
      <c r="N81" s="14"/>
    </row>
    <row r="82" spans="1:20" s="18" customFormat="1" ht="65.25" hidden="1" customHeight="1" x14ac:dyDescent="0.3">
      <c r="A82" s="1" t="str">
        <f t="shared" si="0"/>
        <v>Probate</v>
      </c>
      <c r="B82" s="1">
        <f>IF(E82="YES",MAX(B$61:B81)+1,0)</f>
        <v>0</v>
      </c>
      <c r="C82" s="1" t="str">
        <f>A$27</f>
        <v>CGE CQ1-17</v>
      </c>
      <c r="D82" s="42" t="str">
        <f>"After 3rd Q, Collections went up by more than set percentage of: "&amp;TEXT(J82,"#0%")</f>
        <v>After 3rd Q, Collections went up by more than set percentage of: 500%</v>
      </c>
      <c r="E82" s="1" t="str">
        <f>IF(MAX(F82)&gt;V$10,"YES","NO")</f>
        <v>NO</v>
      </c>
      <c r="F82" s="43">
        <f>IFERROR(IF(NOT(ISBLANK(K28)),(K28-J28)/J28,0),0)</f>
        <v>0</v>
      </c>
      <c r="G82" s="43"/>
      <c r="H82" s="1"/>
      <c r="I82" s="1"/>
      <c r="J82" s="41">
        <f>V$10</f>
        <v>5</v>
      </c>
      <c r="K82" s="14"/>
      <c r="L82" s="14"/>
      <c r="M82" s="14"/>
      <c r="N82" s="14"/>
      <c r="O82" s="17"/>
      <c r="P82" s="10"/>
      <c r="T82" s="91" t="s">
        <v>106</v>
      </c>
    </row>
    <row r="83" spans="1:20" ht="60.75" hidden="1" customHeight="1" x14ac:dyDescent="0.25">
      <c r="A83" s="1" t="str">
        <f t="shared" si="0"/>
        <v>Probate</v>
      </c>
      <c r="B83" s="1">
        <f>IF(E83="YES",MAX(B$61:B82)+1,0)</f>
        <v>0</v>
      </c>
      <c r="C83" s="1" t="str">
        <f>A$27</f>
        <v>CGE CQ1-17</v>
      </c>
      <c r="D83" s="42" t="str">
        <f>"Assessments dropped by more than set percentage of: "&amp;TEXT(J83,"#0%")</f>
        <v>Assessments dropped by more than set percentage of: 15%</v>
      </c>
      <c r="E83" s="1" t="str">
        <f>IF(MIN(F83:H83)&lt;(-1*V$11),"YES","NO")</f>
        <v>NO</v>
      </c>
      <c r="F83" s="43">
        <f>IFERROR(IF(NOT(ISBLANK(I29)),(I29-H29)/H29,0),0)</f>
        <v>0</v>
      </c>
      <c r="G83" s="43">
        <f>IFERROR(IF(NOT(ISBLANK(J29)),(J29-I29)/I29,0),0)</f>
        <v>0.12719161200671647</v>
      </c>
      <c r="H83" s="43">
        <f>IFERROR(IF(NOT(ISBLANK(K29)),(K29-J29)/J29,0),0)</f>
        <v>0</v>
      </c>
      <c r="J83" s="41">
        <f>V$11</f>
        <v>0.15</v>
      </c>
      <c r="K83" s="14"/>
      <c r="L83" s="14"/>
      <c r="M83" s="14"/>
      <c r="N83" s="14"/>
      <c r="O83" s="15"/>
      <c r="P83" s="10"/>
      <c r="T83" s="91" t="s">
        <v>111</v>
      </c>
    </row>
    <row r="84" spans="1:20" ht="52.5" hidden="1" customHeight="1" x14ac:dyDescent="0.25">
      <c r="A84" s="1" t="str">
        <f t="shared" si="0"/>
        <v>Probate</v>
      </c>
      <c r="B84" s="1">
        <f>IF(E84="YES",MAX(B$61:B83)+1,0)</f>
        <v>0</v>
      </c>
      <c r="C84" s="1" t="str">
        <f>A$27</f>
        <v>CGE CQ1-17</v>
      </c>
      <c r="D84" s="42" t="s">
        <v>133</v>
      </c>
      <c r="E84" s="1" t="str">
        <f>IF(MIN(F84:H84)&lt;0,"YES","NO")</f>
        <v>NO</v>
      </c>
      <c r="F84" s="43">
        <f t="shared" ref="F84:H85" si="5">IFERROR(IF(NOT(ISBLANK(I28)),(I28-H28)/H28,0),0)</f>
        <v>6.6211376378543536E-3</v>
      </c>
      <c r="G84" s="43">
        <f t="shared" si="5"/>
        <v>0.12631761236140676</v>
      </c>
      <c r="H84" s="43">
        <f t="shared" si="5"/>
        <v>0</v>
      </c>
      <c r="K84" s="14"/>
      <c r="L84" s="14"/>
      <c r="M84" s="14"/>
      <c r="N84" s="14"/>
      <c r="O84" s="15"/>
      <c r="P84" s="10"/>
    </row>
    <row r="85" spans="1:20" ht="45" hidden="1" customHeight="1" x14ac:dyDescent="0.25">
      <c r="A85" s="1" t="str">
        <f t="shared" si="0"/>
        <v>Probate</v>
      </c>
      <c r="B85" s="1">
        <f>IF(E85="YES",MAX(B$61:B84)+1,0)</f>
        <v>14</v>
      </c>
      <c r="C85" s="1" t="str">
        <f>A$27</f>
        <v>CGE CQ1-17</v>
      </c>
      <c r="D85" s="42" t="s">
        <v>134</v>
      </c>
      <c r="E85" s="1" t="str">
        <f>IF(MAX(F85:H85)&gt;0,"YES","NO")</f>
        <v>YES</v>
      </c>
      <c r="F85" s="43">
        <f t="shared" si="5"/>
        <v>0</v>
      </c>
      <c r="G85" s="43">
        <f t="shared" si="5"/>
        <v>0.12719161200671647</v>
      </c>
      <c r="H85" s="43">
        <f t="shared" si="5"/>
        <v>0</v>
      </c>
      <c r="K85" s="14"/>
      <c r="L85" s="14"/>
      <c r="M85" s="14"/>
      <c r="N85" s="14"/>
    </row>
    <row r="86" spans="1:20" ht="60.75" hidden="1" customHeight="1" x14ac:dyDescent="0.25">
      <c r="A86" s="1" t="str">
        <f t="shared" si="0"/>
        <v>Probate</v>
      </c>
      <c r="B86" s="1">
        <f>IF(E86="YES",MAX(B$61:B85)+1,0)</f>
        <v>15</v>
      </c>
      <c r="C86" s="1" t="str">
        <f>A$31</f>
        <v>CGE CQ2-17</v>
      </c>
      <c r="D86" s="42" t="str">
        <f>"Assessments dropped by more than set percentage of: "&amp;TEXT(J86,"#0%")</f>
        <v>Assessments dropped by more than set percentage of: 15%</v>
      </c>
      <c r="E86" s="1" t="str">
        <f>IF(MIN(F86:G86)&lt;(-1*V$11),"YES","NO")</f>
        <v>YES</v>
      </c>
      <c r="F86" s="43">
        <f>IFERROR(IF(NOT(ISBLANK(J33)),(J33-I33)/I33,0),0)</f>
        <v>-0.17290915588223535</v>
      </c>
      <c r="G86" s="43">
        <f>IFERROR(IF(NOT(ISBLANK(K33)),(K33-J33)/J33,0),0)</f>
        <v>0</v>
      </c>
      <c r="J86" s="41">
        <f>V$11</f>
        <v>0.15</v>
      </c>
      <c r="K86" s="14"/>
      <c r="L86" s="14"/>
      <c r="M86" s="14"/>
      <c r="N86" s="14"/>
      <c r="O86" s="15"/>
      <c r="P86" s="10"/>
      <c r="T86" s="91" t="s">
        <v>112</v>
      </c>
    </row>
    <row r="87" spans="1:20" ht="52.5" hidden="1" customHeight="1" x14ac:dyDescent="0.25">
      <c r="A87" s="1" t="str">
        <f t="shared" si="0"/>
        <v>Probate</v>
      </c>
      <c r="B87" s="1">
        <f>IF(E87="YES",MAX(B$61:B86)+1,0)</f>
        <v>16</v>
      </c>
      <c r="C87" s="1" t="str">
        <f>A$31</f>
        <v>CGE CQ2-17</v>
      </c>
      <c r="D87" s="42" t="s">
        <v>133</v>
      </c>
      <c r="E87" s="1" t="str">
        <f>IF(MIN(F87:G87)&lt;0,"YES","NO")</f>
        <v>YES</v>
      </c>
      <c r="F87" s="43">
        <f>IFERROR(IF(NOT(ISBLANK(J32)),(J32-I32)/I32,0),0)</f>
        <v>-0.14775209621666874</v>
      </c>
      <c r="G87" s="43">
        <f>IFERROR(IF(NOT(ISBLANK(K32)),(K32-J32)/J32,0),0)</f>
        <v>0</v>
      </c>
      <c r="K87" s="14"/>
      <c r="L87" s="14"/>
      <c r="M87" s="14"/>
      <c r="N87" s="14"/>
      <c r="O87" s="15"/>
      <c r="P87" s="10"/>
    </row>
    <row r="88" spans="1:20" ht="45" hidden="1" customHeight="1" x14ac:dyDescent="0.25">
      <c r="A88" s="1" t="str">
        <f t="shared" si="0"/>
        <v>Probate</v>
      </c>
      <c r="B88" s="1">
        <f>IF(E88="YES",MAX(B$61:B87)+1,0)</f>
        <v>0</v>
      </c>
      <c r="C88" s="1" t="str">
        <f>A$31</f>
        <v>CGE CQ2-17</v>
      </c>
      <c r="D88" s="42" t="s">
        <v>134</v>
      </c>
      <c r="E88" s="1" t="str">
        <f>IF(MAX(F88:G88)&gt;0,"YES","NO")</f>
        <v>NO</v>
      </c>
      <c r="F88" s="43">
        <f>IFERROR(IF(NOT(ISBLANK(J33)),(J33-I33)/I33,0),0)</f>
        <v>-0.17290915588223535</v>
      </c>
      <c r="G88" s="43">
        <f>IFERROR(IF(NOT(ISBLANK(K33)),(K33-J33)/J33,0),0)</f>
        <v>0</v>
      </c>
      <c r="K88" s="14"/>
      <c r="L88" s="14"/>
      <c r="M88" s="14"/>
      <c r="N88" s="14"/>
    </row>
    <row r="89" spans="1:20" ht="60.75" hidden="1" customHeight="1" x14ac:dyDescent="0.25">
      <c r="A89" s="1" t="str">
        <f t="shared" si="0"/>
        <v>Probate</v>
      </c>
      <c r="B89" s="1">
        <f>IF(E89="YES",MAX(B$61:B88)+1,0)</f>
        <v>0</v>
      </c>
      <c r="C89" s="1" t="str">
        <f>A$35</f>
        <v>CGE CQ3-17</v>
      </c>
      <c r="D89" s="42" t="str">
        <f>"Assessments dropped by more than set percentage of: "&amp;TEXT(J89,"#0%")</f>
        <v>Assessments dropped by more than set percentage of: 15%</v>
      </c>
      <c r="E89" s="1" t="str">
        <f>IF(MIN(F89)&lt;(-1*V$11),"YES","NO")</f>
        <v>NO</v>
      </c>
      <c r="F89" s="43">
        <f>IFERROR(IF(NOT(ISBLANK(K37)),(K37-J37)/J37,0),0)</f>
        <v>0</v>
      </c>
      <c r="J89" s="41">
        <f>V$11</f>
        <v>0.15</v>
      </c>
      <c r="K89" s="14"/>
      <c r="L89" s="14"/>
      <c r="M89" s="14"/>
      <c r="N89" s="14"/>
      <c r="O89" s="15"/>
      <c r="P89" s="10"/>
      <c r="T89" s="91" t="s">
        <v>113</v>
      </c>
    </row>
    <row r="90" spans="1:20" ht="52.5" hidden="1" customHeight="1" x14ac:dyDescent="0.25">
      <c r="A90" s="1" t="str">
        <f t="shared" si="0"/>
        <v>Probate</v>
      </c>
      <c r="B90" s="1">
        <f>IF(E90="YES",MAX(B$61:B89)+1,0)</f>
        <v>0</v>
      </c>
      <c r="C90" s="1" t="str">
        <f>A$35</f>
        <v>CGE CQ3-17</v>
      </c>
      <c r="D90" s="42" t="s">
        <v>133</v>
      </c>
      <c r="E90" s="1" t="str">
        <f>IF(MIN(F90)&lt;0,"YES","NO")</f>
        <v>NO</v>
      </c>
      <c r="F90" s="43">
        <f>IFERROR(IF(NOT(ISBLANK(K36)),(K36-J36)/J36,0),0)</f>
        <v>0</v>
      </c>
      <c r="K90" s="14"/>
      <c r="L90" s="14"/>
      <c r="M90" s="14"/>
      <c r="N90" s="14"/>
      <c r="O90" s="15"/>
    </row>
    <row r="91" spans="1:20" ht="45" hidden="1" customHeight="1" x14ac:dyDescent="0.25">
      <c r="A91" s="1" t="str">
        <f t="shared" si="0"/>
        <v>Probate</v>
      </c>
      <c r="B91" s="1">
        <f>IF(E91="YES",MAX(B$61:B90)+1,0)</f>
        <v>0</v>
      </c>
      <c r="C91" s="1" t="str">
        <f>A$35</f>
        <v>CGE CQ3-17</v>
      </c>
      <c r="D91" s="42" t="s">
        <v>134</v>
      </c>
      <c r="E91" s="1" t="str">
        <f>IF(MAX(F91)&gt;0,"YES","NO")</f>
        <v>NO</v>
      </c>
      <c r="F91" s="43">
        <f>IFERROR(IF(NOT(ISBLANK(K37)),(K37-J37)/J37,0),0)</f>
        <v>0</v>
      </c>
      <c r="K91" s="14"/>
      <c r="L91" s="14"/>
      <c r="M91" s="14"/>
      <c r="N91" s="14"/>
    </row>
  </sheetData>
  <sheetProtection algorithmName="SHA-512" hashValue="5B15Pc1b29G+zdpY6aakacC9pliliFkODxYR1P5WFqMJsuZAShKWKOSoi+Qsdg3KkdI4JKlW+hnBtJ+X/k2qBA==" saltValue="uW0/DaoZLIvu9g+X6wtH/g==" spinCount="100000" sheet="1" objects="1" scenarios="1" selectLockedCells="1"/>
  <mergeCells count="37">
    <mergeCell ref="L9:M9"/>
    <mergeCell ref="L11:L14"/>
    <mergeCell ref="M11:M14"/>
    <mergeCell ref="L15:L18"/>
    <mergeCell ref="M15:M18"/>
    <mergeCell ref="L19:L22"/>
    <mergeCell ref="M19:M22"/>
    <mergeCell ref="A31:A34"/>
    <mergeCell ref="B15:B18"/>
    <mergeCell ref="A35:A38"/>
    <mergeCell ref="L31:M31"/>
    <mergeCell ref="L32:M42"/>
    <mergeCell ref="E25:E26"/>
    <mergeCell ref="F25:F26"/>
    <mergeCell ref="L23:L26"/>
    <mergeCell ref="M23:M26"/>
    <mergeCell ref="A11:A14"/>
    <mergeCell ref="A15:A18"/>
    <mergeCell ref="A19:A22"/>
    <mergeCell ref="A23:A26"/>
    <mergeCell ref="D25:D26"/>
    <mergeCell ref="H43:K43"/>
    <mergeCell ref="A58:B58"/>
    <mergeCell ref="B35:B38"/>
    <mergeCell ref="B39:B42"/>
    <mergeCell ref="D6:E6"/>
    <mergeCell ref="D8:E8"/>
    <mergeCell ref="B27:B30"/>
    <mergeCell ref="B31:B34"/>
    <mergeCell ref="B11:B14"/>
    <mergeCell ref="A39:A42"/>
    <mergeCell ref="A27:A30"/>
    <mergeCell ref="A53:B53"/>
    <mergeCell ref="D43:G43"/>
    <mergeCell ref="I11:I14"/>
    <mergeCell ref="B19:B22"/>
    <mergeCell ref="B23:B26"/>
  </mergeCells>
  <phoneticPr fontId="0" type="noConversion"/>
  <conditionalFormatting sqref="M15:M18">
    <cfRule type="expression" dxfId="87" priority="225" stopIfTrue="1">
      <formula>$I$18&lt;$H$8</formula>
    </cfRule>
  </conditionalFormatting>
  <conditionalFormatting sqref="M19:M22">
    <cfRule type="expression" dxfId="86" priority="224" stopIfTrue="1">
      <formula>$J$22&lt;$H$8</formula>
    </cfRule>
  </conditionalFormatting>
  <conditionalFormatting sqref="M23:M26">
    <cfRule type="expression" dxfId="85" priority="223" stopIfTrue="1">
      <formula>$K$26&lt;$H$8</formula>
    </cfRule>
  </conditionalFormatting>
  <conditionalFormatting sqref="L11:M14">
    <cfRule type="expression" dxfId="84" priority="222" stopIfTrue="1">
      <formula>$H$14&lt;$H$8</formula>
    </cfRule>
  </conditionalFormatting>
  <conditionalFormatting sqref="I39:I42">
    <cfRule type="cellIs" dxfId="83" priority="41" stopIfTrue="1" operator="lessThan">
      <formula>$H$8</formula>
    </cfRule>
  </conditionalFormatting>
  <conditionalFormatting sqref="H12">
    <cfRule type="expression" dxfId="82" priority="40">
      <formula>(H12&lt;G12)</formula>
    </cfRule>
  </conditionalFormatting>
  <conditionalFormatting sqref="I16">
    <cfRule type="expression" dxfId="81" priority="39">
      <formula>(I16&lt;H16)</formula>
    </cfRule>
  </conditionalFormatting>
  <conditionalFormatting sqref="J20">
    <cfRule type="expression" dxfId="80" priority="38">
      <formula>(J20&lt;I20)</formula>
    </cfRule>
  </conditionalFormatting>
  <conditionalFormatting sqref="K24">
    <cfRule type="expression" dxfId="79" priority="37">
      <formula>(K24&lt;J24)</formula>
    </cfRule>
  </conditionalFormatting>
  <conditionalFormatting sqref="H16">
    <cfRule type="expression" dxfId="78" priority="36">
      <formula>(H16&lt;G16)</formula>
    </cfRule>
  </conditionalFormatting>
  <conditionalFormatting sqref="I20">
    <cfRule type="expression" dxfId="77" priority="35">
      <formula>(I20&lt;H20)</formula>
    </cfRule>
  </conditionalFormatting>
  <conditionalFormatting sqref="J24">
    <cfRule type="expression" dxfId="76" priority="34">
      <formula>(J24&lt;I24)</formula>
    </cfRule>
  </conditionalFormatting>
  <conditionalFormatting sqref="K28">
    <cfRule type="expression" dxfId="75" priority="33">
      <formula>(K28&lt;J28)</formula>
    </cfRule>
  </conditionalFormatting>
  <conditionalFormatting sqref="H20">
    <cfRule type="expression" dxfId="74" priority="32">
      <formula>(H20&lt;G20)</formula>
    </cfRule>
  </conditionalFormatting>
  <conditionalFormatting sqref="I24">
    <cfRule type="expression" dxfId="73" priority="31">
      <formula>(I24&lt;H24)</formula>
    </cfRule>
  </conditionalFormatting>
  <conditionalFormatting sqref="J28">
    <cfRule type="expression" dxfId="72" priority="30">
      <formula>(J28&lt;I28)</formula>
    </cfRule>
  </conditionalFormatting>
  <conditionalFormatting sqref="K32">
    <cfRule type="expression" dxfId="71" priority="29">
      <formula>(K32&lt;J32)</formula>
    </cfRule>
  </conditionalFormatting>
  <conditionalFormatting sqref="H24">
    <cfRule type="expression" dxfId="70" priority="28">
      <formula>(H24&lt;G24)</formula>
    </cfRule>
  </conditionalFormatting>
  <conditionalFormatting sqref="I28">
    <cfRule type="expression" dxfId="69" priority="27">
      <formula>(I28&lt;H28)</formula>
    </cfRule>
  </conditionalFormatting>
  <conditionalFormatting sqref="J32">
    <cfRule type="expression" dxfId="68" priority="26">
      <formula>(J32&lt;I32)</formula>
    </cfRule>
  </conditionalFormatting>
  <conditionalFormatting sqref="K36">
    <cfRule type="expression" dxfId="67" priority="25">
      <formula>(K36&lt;J36)</formula>
    </cfRule>
  </conditionalFormatting>
  <conditionalFormatting sqref="H13">
    <cfRule type="expression" dxfId="66" priority="24">
      <formula>(H13&gt;G13)</formula>
    </cfRule>
  </conditionalFormatting>
  <conditionalFormatting sqref="H17">
    <cfRule type="expression" dxfId="65" priority="23">
      <formula>(H17&gt;G17)</formula>
    </cfRule>
  </conditionalFormatting>
  <conditionalFormatting sqref="H21">
    <cfRule type="expression" dxfId="64" priority="22">
      <formula>(H21&gt;G21)</formula>
    </cfRule>
  </conditionalFormatting>
  <conditionalFormatting sqref="H25">
    <cfRule type="expression" dxfId="63" priority="21">
      <formula>(H25&gt;G25)</formula>
    </cfRule>
  </conditionalFormatting>
  <conditionalFormatting sqref="I29">
    <cfRule type="expression" dxfId="62" priority="20">
      <formula>(I29&gt;H29)</formula>
    </cfRule>
  </conditionalFormatting>
  <conditionalFormatting sqref="H14">
    <cfRule type="expression" dxfId="61" priority="19">
      <formula>H14&lt;$H$8</formula>
    </cfRule>
  </conditionalFormatting>
  <conditionalFormatting sqref="I18">
    <cfRule type="expression" dxfId="60" priority="18">
      <formula>I18&lt;$H$8</formula>
    </cfRule>
  </conditionalFormatting>
  <conditionalFormatting sqref="J22">
    <cfRule type="expression" dxfId="59" priority="17">
      <formula>J22&lt;$H$8</formula>
    </cfRule>
  </conditionalFormatting>
  <conditionalFormatting sqref="K26">
    <cfRule type="expression" dxfId="58" priority="16">
      <formula>K26&lt;$H$8</formula>
    </cfRule>
  </conditionalFormatting>
  <conditionalFormatting sqref="I17">
    <cfRule type="expression" dxfId="57" priority="15">
      <formula>(I17&gt;H17)</formula>
    </cfRule>
  </conditionalFormatting>
  <conditionalFormatting sqref="J21">
    <cfRule type="expression" dxfId="56" priority="14">
      <formula>(J21&gt;I21)</formula>
    </cfRule>
  </conditionalFormatting>
  <conditionalFormatting sqref="K25">
    <cfRule type="expression" dxfId="55" priority="13">
      <formula>(K25&gt;J25)</formula>
    </cfRule>
  </conditionalFormatting>
  <conditionalFormatting sqref="I21">
    <cfRule type="expression" dxfId="54" priority="12">
      <formula>(I21&gt;H21)</formula>
    </cfRule>
  </conditionalFormatting>
  <conditionalFormatting sqref="J25">
    <cfRule type="expression" dxfId="53" priority="11">
      <formula>(J25&gt;I25)</formula>
    </cfRule>
  </conditionalFormatting>
  <conditionalFormatting sqref="K29">
    <cfRule type="expression" dxfId="52" priority="10">
      <formula>(K29&gt;J29)</formula>
    </cfRule>
  </conditionalFormatting>
  <conditionalFormatting sqref="I25">
    <cfRule type="expression" dxfId="51" priority="9">
      <formula>(I25&gt;H25)</formula>
    </cfRule>
  </conditionalFormatting>
  <conditionalFormatting sqref="J29">
    <cfRule type="expression" dxfId="50" priority="8">
      <formula>(J29&gt;I29)</formula>
    </cfRule>
  </conditionalFormatting>
  <conditionalFormatting sqref="K33">
    <cfRule type="expression" dxfId="49" priority="7">
      <formula>(K33&gt;J33)</formula>
    </cfRule>
  </conditionalFormatting>
  <conditionalFormatting sqref="J33">
    <cfRule type="expression" dxfId="48" priority="6">
      <formula>(J33&gt;I33)</formula>
    </cfRule>
  </conditionalFormatting>
  <conditionalFormatting sqref="K37">
    <cfRule type="expression" dxfId="47" priority="5">
      <formula>(K37&gt;J37)</formula>
    </cfRule>
  </conditionalFormatting>
  <conditionalFormatting sqref="L32:M42">
    <cfRule type="expression" dxfId="46" priority="4">
      <formula>OR(H12&lt;G12,H13&gt;G13,H16&lt;G16,H17&gt;G17,H20&lt;G20,H21&gt;G21,H24&lt;G24,H25&gt;G25,I16&lt;H16,I17&gt;H17,I20&lt;H20,I21&gt;H21,I24&lt;H24,I25&gt;H25,I28&lt;H28,I29&gt;H29,J20&lt;I20,J21&gt;I21,J24&lt;I24,J25&gt;I25,J28&lt;I28,J29&gt;I29,J32&lt;I32,J33&gt;I33,K24&lt;J24,K25&gt;J25,K28&lt;J28,K29&gt;J29,K32&lt;J32,K33&gt;J33,K36&lt;J36,K37&gt;J37)</formula>
    </cfRule>
  </conditionalFormatting>
  <conditionalFormatting sqref="L15:L18">
    <cfRule type="expression" dxfId="45" priority="3" stopIfTrue="1">
      <formula>$I$18&lt;$H$8</formula>
    </cfRule>
  </conditionalFormatting>
  <conditionalFormatting sqref="L19:L22">
    <cfRule type="expression" dxfId="44" priority="2" stopIfTrue="1">
      <formula>$J$22&lt;$H$8</formula>
    </cfRule>
  </conditionalFormatting>
  <conditionalFormatting sqref="L23:L26">
    <cfRule type="expression" dxfId="43" priority="1" stopIfTrue="1">
      <formula>$K$26&lt;$H$8</formula>
    </cfRule>
  </conditionalFormatting>
  <dataValidations count="2">
    <dataValidation type="textLength" allowBlank="1" showInputMessage="1" showErrorMessage="1" sqref="M31 L31:L32 L27:M30 M10:M26 L10 N10:N42">
      <formula1>0</formula1>
      <formula2>500</formula2>
    </dataValidation>
    <dataValidation type="decimal" allowBlank="1" showInputMessage="1" showErrorMessage="1" sqref="G19:I19 H15:K16 J35:J37 J39:J42 H21:I21 G15 D12:H13 G25:I25 J18:K19 G28:I29 I31:I32 J12:K13 G39:H42">
      <formula1>0</formula1>
      <formula2>999999999999999</formula2>
    </dataValidation>
  </dataValidations>
  <printOptions horizontalCentered="1" verticalCentered="1"/>
  <pageMargins left="0.21" right="0.23" top="0.3" bottom="0.36" header="0.2" footer="0.17"/>
  <pageSetup scale="57" orientation="landscape" horizontalDpi="4294967293" r:id="rId1"/>
  <headerFooter alignWithMargins="0">
    <oddFooter>&amp;L&amp;F</oddFooter>
  </headerFooter>
  <ignoredErrors>
    <ignoredError sqref="D14:G15 D18:G19 D16 D17 D22:G23 D20:E20 D21:E21 D25:F25 D24:F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'Circuit Criminal'!$N$11:$N$12</xm:f>
          </x14:formula1>
          <xm:sqref>L11:L26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Circuit Criminal</vt:lpstr>
      <vt:lpstr>Circ Crim Drug Trfc Cases</vt:lpstr>
      <vt:lpstr>County Criminal</vt:lpstr>
      <vt:lpstr>Juvenile Delinquency</vt:lpstr>
      <vt:lpstr>Criminal Traffic</vt:lpstr>
      <vt:lpstr>Circuit Civil</vt:lpstr>
      <vt:lpstr>County Civil</vt:lpstr>
      <vt:lpstr>Civil Traffic</vt:lpstr>
      <vt:lpstr>Probate</vt:lpstr>
      <vt:lpstr>Family</vt:lpstr>
      <vt:lpstr>Corrective Action Tab</vt:lpstr>
      <vt:lpstr>Lookup</vt:lpstr>
      <vt:lpstr>CATLookup</vt:lpstr>
      <vt:lpstr>Action Plan Summary</vt:lpstr>
      <vt:lpstr>'Circ Crim Drug Trfc Cases'!Print_Area</vt:lpstr>
      <vt:lpstr>'Circuit Civil'!Print_Area</vt:lpstr>
      <vt:lpstr>'Circuit Criminal'!Print_Area</vt:lpstr>
      <vt:lpstr>'Civil Traffic'!Print_Area</vt:lpstr>
      <vt:lpstr>'County Civil'!Print_Area</vt:lpstr>
      <vt:lpstr>'County Criminal'!Print_Area</vt:lpstr>
      <vt:lpstr>'Criminal Traffic'!Print_Area</vt:lpstr>
      <vt:lpstr>Family!Print_Area</vt:lpstr>
      <vt:lpstr>'Juvenile Delinquency'!Print_Area</vt:lpstr>
      <vt:lpstr>Probate!Print_Area</vt:lpstr>
      <vt:lpstr>'Corrective Action Tab'!Print_Titles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LisaDaws</dc:creator>
  <cp:lastModifiedBy>Kim Reynolds</cp:lastModifiedBy>
  <cp:lastPrinted>2016-04-19T17:09:37Z</cp:lastPrinted>
  <dcterms:created xsi:type="dcterms:W3CDTF">1996-10-14T23:33:28Z</dcterms:created>
  <dcterms:modified xsi:type="dcterms:W3CDTF">2016-04-21T13:43:35Z</dcterms:modified>
</cp:coreProperties>
</file>