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Article V Performance Measure\2019-20 Reports\Collection Report\"/>
    </mc:Choice>
  </mc:AlternateContent>
  <workbookProtection workbookAlgorithmName="SHA-512" workbookHashValue="2QRocqpQNuYu1kWnBA43ZS0TXQ2yOH7nvhjSW5oCkJIQn39TM+Fm9shPNzLAYF6DCWx9FbgmIN7LH9LB3HSb4A==" workbookSaltValue="OZuLO8WfyvSpoE9SNxrlxQ==" workbookSpinCount="100000" lockStructure="1"/>
  <bookViews>
    <workbookView xWindow="28680" yWindow="-120" windowWidth="29040" windowHeight="15840" tabRatio="857" activeTab="5"/>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LookupData" sheetId="46" state="hidden" r:id="rId11"/>
    <sheet name="ReportInfo" sheetId="47" state="hidden" r:id="rId12"/>
  </sheets>
  <definedNames>
    <definedName name="_xlnm.Print_Area" localSheetId="5">'Circuit Civil'!$A$1:$N$53</definedName>
    <definedName name="_xlnm.Print_Area" localSheetId="0">'Circuit Criminal'!$A$1:$N$51</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1" i="48" l="1"/>
  <c r="I27" i="48"/>
  <c r="I23" i="48"/>
  <c r="I19" i="48"/>
  <c r="I15" i="48"/>
  <c r="L43" i="48"/>
  <c r="L39" i="48"/>
  <c r="K39" i="48"/>
  <c r="L35" i="48"/>
  <c r="K35" i="48"/>
  <c r="J35" i="48"/>
  <c r="L31" i="48"/>
  <c r="K31" i="48"/>
  <c r="J31" i="48"/>
  <c r="L27" i="48"/>
  <c r="K27" i="48"/>
  <c r="J27" i="48"/>
  <c r="K23" i="48"/>
  <c r="J23" i="48"/>
  <c r="J19" i="48"/>
  <c r="H4" i="54" l="1"/>
  <c r="N26" i="48" l="1"/>
  <c r="N25" i="48"/>
  <c r="N22" i="48"/>
  <c r="N21" i="48"/>
  <c r="N18" i="48"/>
  <c r="N17" i="48"/>
  <c r="N4" i="54"/>
  <c r="N4" i="56"/>
  <c r="N4" i="55"/>
  <c r="N4" i="53"/>
  <c r="N4" i="52"/>
  <c r="N4" i="49"/>
  <c r="N4" i="51"/>
  <c r="N4" i="50"/>
  <c r="K4" i="48"/>
  <c r="A2" i="54"/>
  <c r="A2" i="56"/>
  <c r="A2" i="55"/>
  <c r="A2" i="53"/>
  <c r="A2" i="52"/>
  <c r="A2" i="51"/>
  <c r="A2" i="50"/>
  <c r="A2" i="49"/>
  <c r="A2" i="48"/>
  <c r="D4" i="54" l="1"/>
  <c r="B9" i="47" l="1"/>
  <c r="B7" i="47"/>
  <c r="N14" i="48" l="1"/>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H6" i="48"/>
  <c r="H4" i="49"/>
  <c r="H4" i="50"/>
  <c r="H4" i="51"/>
  <c r="H4" i="52"/>
  <c r="H4" i="53"/>
  <c r="H4" i="55"/>
  <c r="H4" i="56"/>
  <c r="H4" i="48"/>
  <c r="D4" i="49"/>
  <c r="D4" i="51"/>
  <c r="D4" i="52"/>
  <c r="D4" i="53"/>
  <c r="D4" i="55"/>
  <c r="D4" i="56"/>
  <c r="D4" i="48"/>
  <c r="E230" i="47"/>
  <c r="G109" i="47"/>
  <c r="E218" i="47"/>
  <c r="N46" i="47"/>
  <c r="G135" i="47"/>
  <c r="G133" i="47"/>
  <c r="G172" i="47"/>
  <c r="E241" i="47"/>
  <c r="N77" i="47"/>
  <c r="G106" i="47"/>
  <c r="N64" i="47"/>
  <c r="G150" i="47"/>
  <c r="E232" i="47"/>
  <c r="E222" i="47"/>
  <c r="N96" i="47"/>
  <c r="E244" i="47"/>
  <c r="G125" i="47"/>
  <c r="G173" i="47"/>
  <c r="N37" i="47"/>
  <c r="N70" i="47"/>
  <c r="G143" i="47"/>
  <c r="N69" i="47"/>
  <c r="G126" i="47"/>
  <c r="G123" i="47"/>
  <c r="E226" i="47"/>
  <c r="E240" i="47"/>
  <c r="N47" i="47"/>
  <c r="G146" i="47"/>
  <c r="N40" i="47"/>
  <c r="G116" i="47"/>
  <c r="E242" i="47"/>
  <c r="G117" i="47"/>
  <c r="G167" i="47"/>
  <c r="G148" i="47"/>
  <c r="N56" i="47"/>
  <c r="N29" i="47"/>
  <c r="E228" i="47"/>
  <c r="N95" i="47"/>
  <c r="G151" i="47"/>
  <c r="N38" i="47"/>
  <c r="E211" i="47"/>
  <c r="N79" i="47"/>
  <c r="E220" i="47"/>
  <c r="G155" i="47"/>
  <c r="G149" i="47"/>
  <c r="N48" i="47"/>
  <c r="G170" i="47"/>
  <c r="G119" i="47"/>
  <c r="N54" i="47"/>
  <c r="G171" i="47"/>
  <c r="G127" i="47"/>
  <c r="G108" i="47"/>
  <c r="E213" i="47"/>
  <c r="G115" i="47"/>
  <c r="N30" i="47"/>
  <c r="G152" i="47"/>
  <c r="E233" i="47"/>
  <c r="G128" i="47"/>
  <c r="G122" i="47"/>
  <c r="E217" i="47"/>
  <c r="E223" i="47"/>
  <c r="E239" i="47"/>
  <c r="E215" i="47"/>
  <c r="N94" i="47"/>
  <c r="G110" i="47"/>
  <c r="N88" i="47"/>
  <c r="G166" i="47"/>
  <c r="G137" i="47"/>
  <c r="G139" i="47"/>
  <c r="N87" i="47"/>
  <c r="G141" i="47"/>
  <c r="E234" i="47"/>
  <c r="N78" i="47"/>
  <c r="E246" i="47"/>
  <c r="E224" i="47"/>
  <c r="G165" i="47"/>
  <c r="G124" i="47"/>
  <c r="G140" i="47"/>
  <c r="E237" i="47"/>
  <c r="E212" i="47"/>
  <c r="G156" i="47"/>
  <c r="G154" i="47"/>
  <c r="G129" i="47"/>
  <c r="N62" i="47"/>
  <c r="G105" i="47"/>
  <c r="G145" i="47"/>
  <c r="G169" i="47"/>
  <c r="E243" i="47"/>
  <c r="G118" i="47"/>
  <c r="E225" i="47"/>
  <c r="G138" i="47"/>
  <c r="G112" i="47"/>
  <c r="G158" i="47"/>
  <c r="N55" i="47"/>
  <c r="G157" i="47"/>
  <c r="N22" i="47"/>
  <c r="G168" i="47"/>
  <c r="G142" i="47"/>
  <c r="G159" i="47"/>
  <c r="E216" i="47"/>
  <c r="E219" i="47"/>
  <c r="E227" i="47"/>
  <c r="G160" i="47"/>
  <c r="N24" i="47"/>
  <c r="G144" i="47"/>
  <c r="N53" i="47"/>
  <c r="G102" i="47"/>
  <c r="N23" i="47"/>
  <c r="N61" i="47"/>
  <c r="G114" i="47"/>
  <c r="G120" i="47"/>
  <c r="N86" i="47"/>
  <c r="E236" i="47"/>
  <c r="G107" i="47"/>
  <c r="N21" i="47"/>
  <c r="N45" i="47"/>
  <c r="G111" i="47"/>
  <c r="N72" i="47"/>
  <c r="E214" i="47"/>
  <c r="E221" i="47"/>
  <c r="G104" i="47"/>
  <c r="G103" i="47"/>
  <c r="N80" i="47"/>
  <c r="G121" i="47"/>
  <c r="E231" i="47"/>
  <c r="G113" i="47"/>
  <c r="E238" i="47"/>
  <c r="N71" i="47"/>
  <c r="G131" i="47"/>
  <c r="E235" i="47"/>
  <c r="N85" i="47"/>
  <c r="G132" i="47"/>
  <c r="G147" i="47"/>
  <c r="N39" i="47"/>
  <c r="G161" i="47"/>
  <c r="E229" i="47"/>
  <c r="G130" i="47"/>
  <c r="E245" i="47"/>
  <c r="G136" i="47"/>
  <c r="N32" i="47"/>
  <c r="N31" i="47"/>
  <c r="N93" i="47"/>
  <c r="G164" i="47"/>
  <c r="G134" i="47"/>
  <c r="G153" i="47"/>
  <c r="G162" i="47"/>
  <c r="G163" i="47"/>
  <c r="N63" i="47"/>
  <c r="G180" i="47" l="1"/>
  <c r="G175" i="47"/>
  <c r="G188" i="47"/>
  <c r="G174" i="47"/>
  <c r="G178" i="47"/>
  <c r="G183" i="47"/>
  <c r="G200" i="47"/>
  <c r="G207" i="47"/>
  <c r="G208" i="47"/>
  <c r="G199" i="47"/>
  <c r="G195" i="47"/>
  <c r="G186" i="47"/>
  <c r="G194" i="47"/>
  <c r="G185" i="47"/>
  <c r="G187" i="47"/>
  <c r="G192" i="47"/>
  <c r="G184" i="47"/>
  <c r="G190" i="47"/>
  <c r="G189" i="47"/>
  <c r="G206" i="47"/>
  <c r="G191" i="47"/>
  <c r="G197" i="47"/>
  <c r="G209" i="47"/>
  <c r="G181" i="47"/>
  <c r="G193" i="47"/>
  <c r="G204" i="47"/>
  <c r="G205" i="47"/>
  <c r="G179" i="47"/>
  <c r="G176" i="47"/>
  <c r="G177" i="47"/>
  <c r="G201" i="47"/>
  <c r="G203" i="47"/>
  <c r="G198" i="47"/>
  <c r="G202" i="47"/>
  <c r="G182" i="47"/>
  <c r="G196" i="47"/>
  <c r="N23" i="48"/>
  <c r="N15" i="48"/>
  <c r="N19" i="48"/>
  <c r="N27" i="48"/>
  <c r="L43" i="56"/>
  <c r="L39" i="56"/>
  <c r="K39" i="56"/>
  <c r="L35" i="56"/>
  <c r="K35" i="56"/>
  <c r="J35" i="56"/>
  <c r="L31" i="56"/>
  <c r="K31" i="56"/>
  <c r="J31" i="56"/>
  <c r="I31" i="56"/>
  <c r="L27" i="56"/>
  <c r="K27" i="56"/>
  <c r="J27" i="56"/>
  <c r="I27" i="56"/>
  <c r="K23" i="56"/>
  <c r="J23" i="56"/>
  <c r="I23" i="56"/>
  <c r="J19" i="56"/>
  <c r="I19" i="56"/>
  <c r="I15" i="56"/>
  <c r="D8" i="56"/>
  <c r="L43" i="55"/>
  <c r="L39" i="55"/>
  <c r="K39" i="55"/>
  <c r="L35" i="55"/>
  <c r="K35" i="55"/>
  <c r="J35" i="55"/>
  <c r="L31" i="55"/>
  <c r="K31" i="55"/>
  <c r="J31" i="55"/>
  <c r="I31" i="55"/>
  <c r="L27" i="55"/>
  <c r="K27" i="55"/>
  <c r="J27" i="55"/>
  <c r="I27" i="55"/>
  <c r="K23" i="55"/>
  <c r="J23" i="55"/>
  <c r="I23" i="55"/>
  <c r="J19" i="55"/>
  <c r="I19" i="55"/>
  <c r="I15" i="55"/>
  <c r="D8" i="55"/>
  <c r="L43" i="54"/>
  <c r="L39" i="54"/>
  <c r="K39" i="54"/>
  <c r="L35" i="54"/>
  <c r="K35" i="54"/>
  <c r="J35" i="54"/>
  <c r="L31" i="54"/>
  <c r="K31" i="54"/>
  <c r="J31" i="54"/>
  <c r="I31" i="54"/>
  <c r="L27" i="54"/>
  <c r="K27" i="54"/>
  <c r="J27" i="54"/>
  <c r="I27" i="54"/>
  <c r="K23" i="54"/>
  <c r="J23" i="54"/>
  <c r="I23" i="54"/>
  <c r="J19" i="54"/>
  <c r="I19" i="54"/>
  <c r="I15" i="54"/>
  <c r="D8" i="54"/>
  <c r="L43" i="53"/>
  <c r="L39" i="53"/>
  <c r="K39" i="53"/>
  <c r="L35" i="53"/>
  <c r="K35" i="53"/>
  <c r="J35" i="53"/>
  <c r="L31" i="53"/>
  <c r="K31" i="53"/>
  <c r="J31" i="53"/>
  <c r="I31" i="53"/>
  <c r="L27" i="53"/>
  <c r="K27" i="53"/>
  <c r="J27" i="53"/>
  <c r="I27" i="53"/>
  <c r="K23" i="53"/>
  <c r="J23" i="53"/>
  <c r="I23" i="53"/>
  <c r="J19" i="53"/>
  <c r="I19" i="53"/>
  <c r="I15" i="53"/>
  <c r="D8" i="53"/>
  <c r="L43" i="52"/>
  <c r="L39" i="52"/>
  <c r="K39" i="52"/>
  <c r="L35" i="52"/>
  <c r="K35" i="52"/>
  <c r="J35" i="52"/>
  <c r="L31" i="52"/>
  <c r="K31" i="52"/>
  <c r="J31" i="52"/>
  <c r="I31" i="52"/>
  <c r="L27" i="52"/>
  <c r="K27" i="52"/>
  <c r="J27" i="52"/>
  <c r="I27" i="52"/>
  <c r="K23" i="52"/>
  <c r="J23" i="52"/>
  <c r="I23" i="52"/>
  <c r="J19" i="52"/>
  <c r="I19" i="52"/>
  <c r="I15" i="52"/>
  <c r="D8" i="52"/>
  <c r="L43" i="51"/>
  <c r="L39" i="51"/>
  <c r="K39" i="51"/>
  <c r="L35" i="51"/>
  <c r="K35" i="51"/>
  <c r="J35" i="51"/>
  <c r="L31" i="51"/>
  <c r="K31" i="51"/>
  <c r="J31" i="51"/>
  <c r="I31" i="51"/>
  <c r="L27" i="51"/>
  <c r="K27" i="51"/>
  <c r="J27" i="51"/>
  <c r="I27" i="51"/>
  <c r="K23" i="51"/>
  <c r="J23" i="51"/>
  <c r="I23" i="51"/>
  <c r="J19" i="51"/>
  <c r="I19" i="51"/>
  <c r="I15" i="51"/>
  <c r="D8" i="51"/>
  <c r="L43" i="50"/>
  <c r="L39" i="50"/>
  <c r="K39" i="50"/>
  <c r="L35" i="50"/>
  <c r="K35" i="50"/>
  <c r="J35" i="50"/>
  <c r="L31" i="50"/>
  <c r="K31" i="50"/>
  <c r="J31" i="50"/>
  <c r="I31" i="50"/>
  <c r="L27" i="50"/>
  <c r="K27" i="50"/>
  <c r="J27" i="50"/>
  <c r="I27" i="50"/>
  <c r="K23" i="50"/>
  <c r="J23" i="50"/>
  <c r="I23" i="50"/>
  <c r="J19" i="50"/>
  <c r="I19" i="50"/>
  <c r="I15" i="50"/>
  <c r="D8" i="50"/>
  <c r="L43" i="49"/>
  <c r="L39" i="49"/>
  <c r="K39" i="49"/>
  <c r="L35" i="49"/>
  <c r="K35" i="49"/>
  <c r="J35" i="49"/>
  <c r="L31" i="49"/>
  <c r="K31" i="49"/>
  <c r="J31" i="49"/>
  <c r="I31" i="49"/>
  <c r="L27" i="49"/>
  <c r="K27" i="49"/>
  <c r="J27" i="49"/>
  <c r="I27" i="49"/>
  <c r="K23" i="49"/>
  <c r="J23" i="49"/>
  <c r="I23" i="49"/>
  <c r="J19" i="49"/>
  <c r="I19" i="49"/>
  <c r="I15" i="49"/>
  <c r="D8" i="49"/>
  <c r="D8" i="48"/>
  <c r="H8" i="51" l="1"/>
  <c r="H8" i="52"/>
  <c r="H8" i="53"/>
  <c r="H8" i="54"/>
  <c r="H8" i="55"/>
  <c r="H8" i="56"/>
  <c r="H8" i="50"/>
  <c r="H8" i="49"/>
  <c r="H8" i="48"/>
  <c r="L43" i="44"/>
  <c r="L39" i="44"/>
  <c r="K39" i="44"/>
  <c r="L35" i="44"/>
  <c r="K35" i="44"/>
  <c r="J35" i="44"/>
  <c r="L31" i="44"/>
  <c r="K31" i="44"/>
  <c r="J31" i="44"/>
  <c r="I31" i="44"/>
  <c r="L27" i="44"/>
  <c r="K27" i="44"/>
  <c r="J27" i="44"/>
  <c r="K23" i="44"/>
  <c r="J23" i="44"/>
  <c r="I23" i="44"/>
  <c r="J19" i="44"/>
  <c r="I19" i="44"/>
  <c r="I15" i="44"/>
  <c r="D8" i="44" l="1"/>
  <c r="G14" i="44" s="1"/>
  <c r="Y10" i="46"/>
  <c r="Y9" i="46"/>
  <c r="Y8" i="46"/>
  <c r="Y7" i="46"/>
  <c r="Y6" i="46"/>
  <c r="Y5" i="46"/>
  <c r="Y4" i="46"/>
  <c r="Y3" i="46"/>
  <c r="X10" i="46"/>
  <c r="X9" i="46"/>
  <c r="X8" i="46"/>
  <c r="X7" i="46"/>
  <c r="X6" i="46"/>
  <c r="X5" i="46"/>
  <c r="X4" i="46"/>
  <c r="X3" i="46"/>
  <c r="W10" i="46"/>
  <c r="W9" i="46"/>
  <c r="W8" i="46"/>
  <c r="W7" i="46"/>
  <c r="W6" i="46"/>
  <c r="W5" i="46"/>
  <c r="W4" i="46"/>
  <c r="W3" i="46"/>
  <c r="M38" i="56" l="1"/>
  <c r="M38" i="53"/>
  <c r="M38" i="51"/>
  <c r="M38" i="49"/>
  <c r="M38" i="54"/>
  <c r="M38" i="55"/>
  <c r="M38" i="52"/>
  <c r="M38" i="50"/>
  <c r="M38" i="44"/>
  <c r="K11" i="44"/>
  <c r="M41" i="56"/>
  <c r="M41" i="53"/>
  <c r="M41" i="51"/>
  <c r="M41" i="49"/>
  <c r="M41" i="54"/>
  <c r="M41" i="44"/>
  <c r="M41" i="52"/>
  <c r="M41" i="50"/>
  <c r="M41" i="55"/>
  <c r="L11" i="44"/>
  <c r="M32" i="53"/>
  <c r="M32" i="52"/>
  <c r="M32" i="56"/>
  <c r="I11" i="44"/>
  <c r="M32" i="55"/>
  <c r="M32" i="44"/>
  <c r="M32" i="51"/>
  <c r="M32" i="49"/>
  <c r="M32" i="50"/>
  <c r="M32" i="54"/>
  <c r="M35" i="44"/>
  <c r="J11" i="44"/>
  <c r="M35" i="56"/>
  <c r="M35" i="53"/>
  <c r="M35" i="51"/>
  <c r="M35" i="49"/>
  <c r="M35" i="54"/>
  <c r="M35" i="55"/>
  <c r="M35" i="52"/>
  <c r="M35" i="50"/>
  <c r="A40" i="44"/>
  <c r="A40" i="53"/>
  <c r="A40" i="49"/>
  <c r="A40" i="56"/>
  <c r="A40" i="52"/>
  <c r="A40" i="48"/>
  <c r="A40" i="55"/>
  <c r="A40" i="51"/>
  <c r="A40" i="54"/>
  <c r="A40" i="50"/>
  <c r="H11" i="44"/>
  <c r="H11" i="55"/>
  <c r="H11" i="51"/>
  <c r="H11" i="48"/>
  <c r="H11" i="54"/>
  <c r="H11" i="50"/>
  <c r="H11" i="53"/>
  <c r="H11" i="49"/>
  <c r="H11" i="56"/>
  <c r="H11" i="52"/>
  <c r="A16" i="44"/>
  <c r="G17" i="44" s="1"/>
  <c r="A16" i="55"/>
  <c r="A16" i="51"/>
  <c r="A16" i="54"/>
  <c r="A16" i="50"/>
  <c r="A16" i="53"/>
  <c r="A16" i="49"/>
  <c r="A16" i="56"/>
  <c r="A16" i="52"/>
  <c r="A16" i="48"/>
  <c r="A32" i="44"/>
  <c r="A32" i="54"/>
  <c r="A32" i="50"/>
  <c r="A32" i="53"/>
  <c r="A32" i="49"/>
  <c r="A32" i="56"/>
  <c r="A32" i="52"/>
  <c r="A32" i="48"/>
  <c r="A32" i="55"/>
  <c r="A32" i="51"/>
  <c r="C16" i="44"/>
  <c r="C16" i="54"/>
  <c r="C16" i="50"/>
  <c r="C16" i="53"/>
  <c r="C16" i="49"/>
  <c r="C16" i="56"/>
  <c r="C16" i="52"/>
  <c r="C16" i="48"/>
  <c r="C16" i="55"/>
  <c r="C16" i="51"/>
  <c r="C32" i="44"/>
  <c r="C32" i="53"/>
  <c r="C32" i="49"/>
  <c r="C32" i="56"/>
  <c r="C32" i="52"/>
  <c r="C32" i="48"/>
  <c r="C32" i="55"/>
  <c r="C32" i="51"/>
  <c r="C32" i="54"/>
  <c r="C32" i="50"/>
  <c r="F11" i="44"/>
  <c r="F11" i="53"/>
  <c r="F11" i="49"/>
  <c r="F11" i="56"/>
  <c r="F11" i="52"/>
  <c r="F11" i="48"/>
  <c r="F11" i="55"/>
  <c r="F11" i="51"/>
  <c r="F11" i="54"/>
  <c r="F11" i="50"/>
  <c r="J11" i="53"/>
  <c r="J11" i="49"/>
  <c r="J11" i="56"/>
  <c r="J11" i="52"/>
  <c r="J11" i="48"/>
  <c r="J11" i="55"/>
  <c r="J11" i="51"/>
  <c r="J11" i="54"/>
  <c r="J11" i="50"/>
  <c r="C40" i="44"/>
  <c r="C40" i="56"/>
  <c r="C40" i="52"/>
  <c r="C40" i="48"/>
  <c r="C40" i="55"/>
  <c r="C40" i="51"/>
  <c r="C40" i="54"/>
  <c r="C40" i="50"/>
  <c r="C40" i="53"/>
  <c r="C40" i="49"/>
  <c r="A20" i="44"/>
  <c r="H21" i="44" s="1"/>
  <c r="A20" i="55"/>
  <c r="A20" i="51"/>
  <c r="A20" i="48"/>
  <c r="A20" i="54"/>
  <c r="A20" i="50"/>
  <c r="A20" i="53"/>
  <c r="A20" i="49"/>
  <c r="A20" i="56"/>
  <c r="A20" i="52"/>
  <c r="A36" i="44"/>
  <c r="A36" i="53"/>
  <c r="A36" i="49"/>
  <c r="A36" i="56"/>
  <c r="A36" i="52"/>
  <c r="A36" i="48"/>
  <c r="A36" i="55"/>
  <c r="A36" i="51"/>
  <c r="A36" i="54"/>
  <c r="A36" i="50"/>
  <c r="C20" i="44"/>
  <c r="C20" i="54"/>
  <c r="C20" i="50"/>
  <c r="C20" i="48"/>
  <c r="C20" i="53"/>
  <c r="C20" i="49"/>
  <c r="C20" i="56"/>
  <c r="C20" i="52"/>
  <c r="C20" i="55"/>
  <c r="C20" i="51"/>
  <c r="C36" i="44"/>
  <c r="C36" i="56"/>
  <c r="C36" i="52"/>
  <c r="C36" i="48"/>
  <c r="C36" i="55"/>
  <c r="C36" i="51"/>
  <c r="C36" i="54"/>
  <c r="C36" i="50"/>
  <c r="C36" i="53"/>
  <c r="C36" i="49"/>
  <c r="G11" i="44"/>
  <c r="G11" i="56"/>
  <c r="G11" i="52"/>
  <c r="G11" i="48"/>
  <c r="G11" i="55"/>
  <c r="G11" i="51"/>
  <c r="G11" i="54"/>
  <c r="G11" i="50"/>
  <c r="G11" i="53"/>
  <c r="G11" i="49"/>
  <c r="K11" i="56"/>
  <c r="K11" i="52"/>
  <c r="K11" i="48"/>
  <c r="K11" i="55"/>
  <c r="K11" i="51"/>
  <c r="K11" i="54"/>
  <c r="K11" i="50"/>
  <c r="K11" i="53"/>
  <c r="K11" i="49"/>
  <c r="A24" i="44"/>
  <c r="H25" i="44" s="1"/>
  <c r="A24" i="54"/>
  <c r="A24" i="50"/>
  <c r="A24" i="48"/>
  <c r="A24" i="53"/>
  <c r="A24" i="49"/>
  <c r="A24" i="56"/>
  <c r="A24" i="52"/>
  <c r="A24" i="55"/>
  <c r="A24" i="51"/>
  <c r="C24" i="44"/>
  <c r="C24" i="53"/>
  <c r="C24" i="49"/>
  <c r="C24" i="56"/>
  <c r="C24" i="52"/>
  <c r="C24" i="48"/>
  <c r="C24" i="55"/>
  <c r="C24" i="51"/>
  <c r="C24" i="54"/>
  <c r="C24" i="50"/>
  <c r="L11" i="55"/>
  <c r="L11" i="51"/>
  <c r="L11" i="54"/>
  <c r="L11" i="50"/>
  <c r="L11" i="48"/>
  <c r="L11" i="53"/>
  <c r="L11" i="49"/>
  <c r="L11" i="56"/>
  <c r="L11" i="52"/>
  <c r="A12" i="44"/>
  <c r="G13" i="44" s="1"/>
  <c r="A12" i="54"/>
  <c r="A12" i="50"/>
  <c r="A12" i="48"/>
  <c r="A12" i="53"/>
  <c r="A12" i="49"/>
  <c r="A12" i="56"/>
  <c r="A12" i="52"/>
  <c r="A12" i="55"/>
  <c r="A12" i="51"/>
  <c r="A28" i="44"/>
  <c r="A28" i="56"/>
  <c r="A28" i="52"/>
  <c r="A28" i="48"/>
  <c r="A28" i="55"/>
  <c r="A28" i="51"/>
  <c r="A28" i="54"/>
  <c r="A28" i="50"/>
  <c r="A28" i="53"/>
  <c r="A28" i="49"/>
  <c r="C12" i="44"/>
  <c r="C12" i="53"/>
  <c r="C12" i="49"/>
  <c r="C12" i="56"/>
  <c r="C12" i="52"/>
  <c r="C12" i="48"/>
  <c r="C12" i="55"/>
  <c r="C12" i="51"/>
  <c r="C12" i="54"/>
  <c r="C12" i="50"/>
  <c r="C28" i="44"/>
  <c r="C28" i="55"/>
  <c r="C28" i="51"/>
  <c r="C28" i="54"/>
  <c r="C28" i="50"/>
  <c r="C28" i="53"/>
  <c r="C28" i="49"/>
  <c r="C28" i="56"/>
  <c r="C28" i="52"/>
  <c r="C28" i="48"/>
  <c r="E11" i="44"/>
  <c r="E11" i="54"/>
  <c r="E11" i="50"/>
  <c r="E11" i="48"/>
  <c r="E11" i="53"/>
  <c r="E11" i="49"/>
  <c r="E11" i="56"/>
  <c r="E11" i="52"/>
  <c r="E11" i="55"/>
  <c r="E11" i="51"/>
  <c r="I11" i="54"/>
  <c r="I11" i="50"/>
  <c r="I11" i="53"/>
  <c r="I11" i="49"/>
  <c r="I11" i="48"/>
  <c r="I11" i="56"/>
  <c r="I11" i="52"/>
  <c r="I11" i="55"/>
  <c r="I11" i="51"/>
  <c r="I27" i="44"/>
  <c r="H8" i="44"/>
  <c r="F13" i="44" l="1"/>
  <c r="H13" i="44"/>
  <c r="H17" i="44"/>
  <c r="H18" i="44"/>
  <c r="F14" i="55"/>
  <c r="E13" i="55"/>
  <c r="H14" i="55"/>
  <c r="H13" i="55"/>
  <c r="G14" i="55"/>
  <c r="G13" i="55"/>
  <c r="E14" i="55"/>
  <c r="F13" i="55"/>
  <c r="H25" i="49"/>
  <c r="H26" i="49"/>
  <c r="G22" i="56"/>
  <c r="H22" i="56"/>
  <c r="H21" i="56"/>
  <c r="G21" i="56"/>
  <c r="G18" i="53"/>
  <c r="G17" i="53"/>
  <c r="H18" i="53"/>
  <c r="F17" i="53"/>
  <c r="F18" i="53"/>
  <c r="H17" i="53"/>
  <c r="G22" i="44"/>
  <c r="H21" i="51"/>
  <c r="G21" i="51"/>
  <c r="H22" i="51"/>
  <c r="G22" i="51"/>
  <c r="H14" i="54"/>
  <c r="F13" i="54"/>
  <c r="G14" i="54"/>
  <c r="F14" i="54"/>
  <c r="E14" i="54"/>
  <c r="H13" i="54"/>
  <c r="G13" i="54"/>
  <c r="E13" i="54"/>
  <c r="G22" i="52"/>
  <c r="H22" i="52"/>
  <c r="H21" i="52"/>
  <c r="G21" i="52"/>
  <c r="G22" i="49"/>
  <c r="H22" i="49"/>
  <c r="H21" i="49"/>
  <c r="G21" i="49"/>
  <c r="F18" i="50"/>
  <c r="G17" i="50"/>
  <c r="H17" i="50"/>
  <c r="F17" i="50"/>
  <c r="H18" i="50"/>
  <c r="G18" i="50"/>
  <c r="F17" i="44"/>
  <c r="G21" i="44"/>
  <c r="E14" i="52"/>
  <c r="H13" i="52"/>
  <c r="G13" i="52"/>
  <c r="H14" i="52"/>
  <c r="F13" i="52"/>
  <c r="F14" i="52"/>
  <c r="E13" i="52"/>
  <c r="G14" i="52"/>
  <c r="H26" i="53"/>
  <c r="H25" i="53"/>
  <c r="F13" i="56"/>
  <c r="G14" i="56"/>
  <c r="H14" i="56"/>
  <c r="H13" i="56"/>
  <c r="F14" i="56"/>
  <c r="E13" i="56"/>
  <c r="E14" i="56"/>
  <c r="G13" i="56"/>
  <c r="H26" i="48"/>
  <c r="H25" i="48"/>
  <c r="G22" i="53"/>
  <c r="H22" i="53"/>
  <c r="H21" i="53"/>
  <c r="G21" i="53"/>
  <c r="G17" i="54"/>
  <c r="F18" i="54"/>
  <c r="F17" i="54"/>
  <c r="H17" i="54"/>
  <c r="H18" i="54"/>
  <c r="G18" i="54"/>
  <c r="E13" i="44"/>
  <c r="H14" i="44"/>
  <c r="H15" i="44" s="1"/>
  <c r="H22" i="44"/>
  <c r="H23" i="44" s="1"/>
  <c r="H26" i="56"/>
  <c r="H25" i="56"/>
  <c r="E13" i="49"/>
  <c r="E14" i="49"/>
  <c r="F13" i="49"/>
  <c r="H13" i="49"/>
  <c r="H14" i="49"/>
  <c r="G13" i="49"/>
  <c r="G14" i="49"/>
  <c r="F14" i="49"/>
  <c r="H25" i="50"/>
  <c r="H26" i="50"/>
  <c r="G21" i="50"/>
  <c r="G22" i="50"/>
  <c r="H22" i="50"/>
  <c r="H21" i="50"/>
  <c r="F18" i="51"/>
  <c r="G17" i="51"/>
  <c r="H17" i="51"/>
  <c r="H18" i="51"/>
  <c r="F17" i="51"/>
  <c r="G18" i="51"/>
  <c r="F14" i="44"/>
  <c r="F18" i="44"/>
  <c r="E13" i="51"/>
  <c r="F14" i="51"/>
  <c r="H14" i="51"/>
  <c r="H13" i="51"/>
  <c r="G14" i="51"/>
  <c r="G13" i="51"/>
  <c r="E14" i="51"/>
  <c r="F13" i="51"/>
  <c r="G21" i="55"/>
  <c r="G22" i="55"/>
  <c r="H22" i="55"/>
  <c r="H21" i="55"/>
  <c r="G13" i="53"/>
  <c r="E13" i="53"/>
  <c r="H14" i="53"/>
  <c r="E14" i="53"/>
  <c r="G14" i="53"/>
  <c r="F13" i="53"/>
  <c r="H13" i="53"/>
  <c r="F14" i="53"/>
  <c r="H26" i="51"/>
  <c r="H25" i="51"/>
  <c r="H26" i="54"/>
  <c r="H25" i="54"/>
  <c r="G21" i="54"/>
  <c r="H21" i="54"/>
  <c r="H22" i="54"/>
  <c r="G22" i="54"/>
  <c r="G17" i="48"/>
  <c r="F18" i="48"/>
  <c r="H18" i="48"/>
  <c r="H17" i="48"/>
  <c r="F17" i="48"/>
  <c r="G18" i="48"/>
  <c r="H18" i="55"/>
  <c r="G17" i="55"/>
  <c r="G18" i="55"/>
  <c r="H17" i="55"/>
  <c r="F18" i="55"/>
  <c r="F17" i="55"/>
  <c r="E14" i="44"/>
  <c r="G18" i="44"/>
  <c r="G19" i="44" s="1"/>
  <c r="H26" i="44"/>
  <c r="H27" i="44" s="1"/>
  <c r="F13" i="50"/>
  <c r="E13" i="50"/>
  <c r="F14" i="50"/>
  <c r="E14" i="50"/>
  <c r="H13" i="50"/>
  <c r="G13" i="50"/>
  <c r="H14" i="50"/>
  <c r="G14" i="50"/>
  <c r="H25" i="52"/>
  <c r="H26" i="52"/>
  <c r="G17" i="56"/>
  <c r="H18" i="56"/>
  <c r="F17" i="56"/>
  <c r="H17" i="56"/>
  <c r="G18" i="56"/>
  <c r="F18" i="56"/>
  <c r="F17" i="49"/>
  <c r="G17" i="49"/>
  <c r="H18" i="49"/>
  <c r="F18" i="49"/>
  <c r="G18" i="49"/>
  <c r="H17" i="49"/>
  <c r="F13" i="48"/>
  <c r="H14" i="48"/>
  <c r="E14" i="48"/>
  <c r="F14" i="48"/>
  <c r="E13" i="48"/>
  <c r="G14" i="48"/>
  <c r="H13" i="48"/>
  <c r="G13" i="48"/>
  <c r="H26" i="55"/>
  <c r="H25" i="55"/>
  <c r="G21" i="48"/>
  <c r="H21" i="48"/>
  <c r="H22" i="48"/>
  <c r="G22" i="48"/>
  <c r="F17" i="52"/>
  <c r="H17" i="52"/>
  <c r="H18" i="52"/>
  <c r="G17" i="52"/>
  <c r="G18" i="52"/>
  <c r="F18" i="52"/>
  <c r="G15" i="44"/>
  <c r="H19" i="44" l="1"/>
  <c r="F19" i="44"/>
  <c r="E15" i="51"/>
  <c r="G15" i="52"/>
  <c r="G19" i="50"/>
  <c r="H27" i="55"/>
  <c r="H27" i="48"/>
  <c r="H15" i="53"/>
  <c r="H23" i="50"/>
  <c r="H27" i="49"/>
  <c r="G19" i="52"/>
  <c r="F15" i="53"/>
  <c r="H19" i="51"/>
  <c r="H27" i="50"/>
  <c r="E15" i="49"/>
  <c r="H19" i="54"/>
  <c r="H19" i="50"/>
  <c r="H15" i="55"/>
  <c r="G19" i="51"/>
  <c r="F15" i="56"/>
  <c r="H23" i="51"/>
  <c r="E15" i="48"/>
  <c r="G23" i="54"/>
  <c r="G23" i="53"/>
  <c r="H15" i="56"/>
  <c r="G19" i="53"/>
  <c r="G15" i="50"/>
  <c r="H15" i="52"/>
  <c r="F15" i="54"/>
  <c r="H19" i="52"/>
  <c r="G19" i="48"/>
  <c r="G23" i="55"/>
  <c r="F15" i="49"/>
  <c r="G15" i="53"/>
  <c r="F19" i="51"/>
  <c r="G19" i="49"/>
  <c r="H27" i="53"/>
  <c r="H15" i="54"/>
  <c r="G15" i="48"/>
  <c r="H19" i="56"/>
  <c r="E15" i="50"/>
  <c r="G23" i="51"/>
  <c r="H23" i="48"/>
  <c r="H19" i="49"/>
  <c r="F19" i="48"/>
  <c r="G23" i="50"/>
  <c r="H19" i="53"/>
  <c r="F15" i="55"/>
  <c r="F19" i="52"/>
  <c r="F15" i="48"/>
  <c r="H27" i="52"/>
  <c r="G19" i="55"/>
  <c r="H27" i="51"/>
  <c r="G15" i="51"/>
  <c r="G19" i="54"/>
  <c r="H23" i="53"/>
  <c r="F15" i="52"/>
  <c r="H23" i="49"/>
  <c r="G23" i="49"/>
  <c r="E15" i="54"/>
  <c r="E15" i="55"/>
  <c r="H15" i="48"/>
  <c r="F19" i="56"/>
  <c r="H19" i="55"/>
  <c r="H23" i="54"/>
  <c r="H23" i="55"/>
  <c r="H15" i="51"/>
  <c r="G15" i="56"/>
  <c r="G19" i="56"/>
  <c r="H15" i="50"/>
  <c r="F15" i="51"/>
  <c r="G15" i="54"/>
  <c r="G15" i="55"/>
  <c r="G15" i="49"/>
  <c r="H27" i="56"/>
  <c r="F19" i="54"/>
  <c r="H23" i="52"/>
  <c r="H23" i="56"/>
  <c r="E15" i="53"/>
  <c r="E15" i="56"/>
  <c r="E15" i="52"/>
  <c r="F19" i="50"/>
  <c r="G23" i="52"/>
  <c r="F19" i="53"/>
  <c r="G23" i="56"/>
  <c r="G23" i="48"/>
  <c r="F19" i="49"/>
  <c r="F19" i="55"/>
  <c r="H19" i="48"/>
  <c r="H27" i="54"/>
  <c r="H15" i="49"/>
  <c r="F15" i="50"/>
  <c r="E15" i="44"/>
  <c r="F15" i="44"/>
  <c r="G23" i="44"/>
  <c r="B8" i="47"/>
  <c r="E1" i="47"/>
  <c r="A21" i="47" s="1"/>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 r="G47" i="47"/>
  <c r="L54" i="47"/>
  <c r="D84" i="47"/>
  <c r="D82" i="47"/>
  <c r="K24" i="47"/>
  <c r="G24" i="47"/>
  <c r="L21" i="47"/>
  <c r="J87" i="47"/>
  <c r="D27" i="47"/>
  <c r="E73" i="47"/>
  <c r="L39" i="47"/>
  <c r="L32" i="47"/>
  <c r="F95" i="47"/>
  <c r="L94" i="47"/>
  <c r="I31" i="47"/>
  <c r="G57" i="47"/>
  <c r="F82" i="47"/>
  <c r="I50" i="47"/>
  <c r="E24" i="47"/>
  <c r="K34" i="47"/>
  <c r="I67" i="47"/>
  <c r="E69" i="47"/>
  <c r="D80" i="47"/>
  <c r="D92" i="47"/>
  <c r="G49" i="47"/>
  <c r="I49" i="47"/>
  <c r="L57" i="47"/>
  <c r="K65" i="47"/>
  <c r="J56" i="47"/>
  <c r="E82" i="47"/>
  <c r="K71" i="47"/>
  <c r="H53" i="47"/>
  <c r="K42" i="47"/>
  <c r="K78" i="47"/>
  <c r="I86" i="47"/>
  <c r="I99" i="47"/>
  <c r="D26" i="47"/>
  <c r="F87" i="47"/>
  <c r="J57" i="47"/>
  <c r="J58" i="47"/>
  <c r="J67" i="47"/>
  <c r="D31" i="47"/>
  <c r="F41" i="47"/>
  <c r="J99" i="47"/>
  <c r="E58" i="47"/>
  <c r="G97" i="47"/>
  <c r="H46" i="47"/>
  <c r="M80" i="47"/>
  <c r="D83" i="47"/>
  <c r="I70" i="47"/>
  <c r="F32" i="47"/>
  <c r="G94" i="47"/>
  <c r="M53" i="47"/>
  <c r="I33" i="47"/>
  <c r="K33" i="47"/>
  <c r="K63" i="47"/>
  <c r="D90" i="47"/>
  <c r="K22" i="47"/>
  <c r="J21" i="47"/>
  <c r="F31" i="47"/>
  <c r="F49" i="47"/>
  <c r="F63" i="47"/>
  <c r="D43" i="47"/>
  <c r="F34" i="47"/>
  <c r="D97" i="47"/>
  <c r="F61" i="47"/>
  <c r="K54" i="47"/>
  <c r="I51" i="47"/>
  <c r="H29" i="47"/>
  <c r="L71" i="47"/>
  <c r="D91" i="47"/>
  <c r="H71" i="47"/>
  <c r="L30" i="47"/>
  <c r="J29" i="47"/>
  <c r="I73" i="47"/>
  <c r="D51" i="47"/>
  <c r="H96" i="47"/>
  <c r="K66" i="47"/>
  <c r="K90" i="47"/>
  <c r="G63" i="47"/>
  <c r="E80" i="47"/>
  <c r="J39" i="47"/>
  <c r="J65" i="47"/>
  <c r="D58" i="47"/>
  <c r="K73" i="47"/>
  <c r="J33" i="47"/>
  <c r="D76" i="47"/>
  <c r="M70" i="47"/>
  <c r="D66" i="47"/>
  <c r="E57" i="47"/>
  <c r="H48" i="47"/>
  <c r="M95" i="47"/>
  <c r="E41" i="47"/>
  <c r="G89" i="47"/>
  <c r="L89" i="47"/>
  <c r="J54" i="47"/>
  <c r="F29" i="47"/>
  <c r="F54" i="47"/>
  <c r="I48" i="47"/>
  <c r="I94" i="47"/>
  <c r="F30" i="47"/>
  <c r="I88" i="47"/>
  <c r="J80" i="47"/>
  <c r="L40" i="47"/>
  <c r="M29" i="47"/>
  <c r="K70" i="47"/>
  <c r="I63" i="47"/>
  <c r="K48" i="47"/>
  <c r="D24" i="47"/>
  <c r="F47" i="47"/>
  <c r="M56" i="47"/>
  <c r="G46" i="47"/>
  <c r="J50" i="47"/>
  <c r="K56" i="47"/>
  <c r="K88" i="47"/>
  <c r="G79" i="47"/>
  <c r="L25" i="47"/>
  <c r="D38" i="47"/>
  <c r="E42" i="47"/>
  <c r="H72" i="47"/>
  <c r="E56" i="47"/>
  <c r="M69" i="47"/>
  <c r="G48" i="47"/>
  <c r="L73" i="47"/>
  <c r="E99" i="47"/>
  <c r="J79" i="47"/>
  <c r="J83" i="47"/>
  <c r="H39" i="47"/>
  <c r="L41" i="47"/>
  <c r="I27" i="47"/>
  <c r="I35" i="47"/>
  <c r="H23" i="47"/>
  <c r="E63" i="47"/>
  <c r="J78" i="47"/>
  <c r="M94" i="47"/>
  <c r="G65" i="47"/>
  <c r="E98" i="47"/>
  <c r="F79" i="47"/>
  <c r="I97" i="47"/>
  <c r="L49" i="47"/>
  <c r="F42" i="47"/>
  <c r="J41" i="47"/>
  <c r="L65" i="47"/>
  <c r="I57" i="47"/>
  <c r="L85" i="47"/>
  <c r="D70" i="47"/>
  <c r="I52" i="47"/>
  <c r="L33" i="47"/>
  <c r="G33" i="47"/>
  <c r="H63" i="47"/>
  <c r="K49" i="47"/>
  <c r="M62" i="47"/>
  <c r="I72" i="47"/>
  <c r="H86" i="47"/>
  <c r="F48" i="47"/>
  <c r="L96" i="47"/>
  <c r="G32" i="47"/>
  <c r="G72" i="47"/>
  <c r="I76" i="47"/>
  <c r="G93" i="47"/>
  <c r="K53" i="47"/>
  <c r="L56" i="47"/>
  <c r="F89" i="47"/>
  <c r="J82" i="47"/>
  <c r="M39" i="47"/>
  <c r="I43" i="47"/>
  <c r="F57" i="47"/>
  <c r="I56" i="47"/>
  <c r="K69" i="47"/>
  <c r="K62" i="47"/>
  <c r="D89" i="47"/>
  <c r="M93" i="47"/>
  <c r="H32" i="47"/>
  <c r="F65" i="47"/>
  <c r="J75" i="47"/>
  <c r="D68" i="47"/>
  <c r="F94" i="47"/>
  <c r="F93" i="47"/>
  <c r="G30" i="47"/>
  <c r="I25" i="47"/>
  <c r="I34" i="47"/>
  <c r="J25" i="47"/>
  <c r="L63" i="47"/>
  <c r="I36" i="47"/>
  <c r="F86" i="47"/>
  <c r="K57" i="47"/>
  <c r="L23" i="47"/>
  <c r="M46" i="47"/>
  <c r="K31" i="47"/>
  <c r="H37" i="47"/>
  <c r="H54" i="47"/>
  <c r="I37" i="47"/>
  <c r="I78" i="47"/>
  <c r="E35" i="47"/>
  <c r="J48" i="47"/>
  <c r="M72" i="47"/>
  <c r="L62" i="47"/>
  <c r="J51" i="47"/>
  <c r="I39" i="47"/>
  <c r="H78" i="47"/>
  <c r="D71" i="47"/>
  <c r="F39" i="47"/>
  <c r="E62" i="47"/>
  <c r="E25" i="47"/>
  <c r="J24" i="47"/>
  <c r="L37" i="47"/>
  <c r="I87" i="47"/>
  <c r="E22" i="47"/>
  <c r="J61" i="47"/>
  <c r="D21" i="47"/>
  <c r="K45" i="47"/>
  <c r="F62" i="47"/>
  <c r="J71" i="47"/>
  <c r="H70" i="47"/>
  <c r="D56" i="47"/>
  <c r="F38" i="47"/>
  <c r="I46" i="47"/>
  <c r="E95" i="47"/>
  <c r="K50" i="47"/>
  <c r="F22" i="47"/>
  <c r="I74" i="47"/>
  <c r="D98" i="47"/>
  <c r="G40" i="47"/>
  <c r="E67" i="47"/>
  <c r="I84" i="47"/>
  <c r="L31" i="47"/>
  <c r="E31" i="47"/>
  <c r="F21" i="47"/>
  <c r="F70" i="47"/>
  <c r="I55" i="47"/>
  <c r="J45" i="47"/>
  <c r="D40" i="47"/>
  <c r="F53" i="47"/>
  <c r="E48" i="47"/>
  <c r="F45" i="47"/>
  <c r="D65" i="47"/>
  <c r="D60" i="47"/>
  <c r="G96" i="47"/>
  <c r="G80" i="47"/>
  <c r="H47" i="47"/>
  <c r="M24" i="47"/>
  <c r="J74" i="47"/>
  <c r="M96" i="47"/>
  <c r="K46" i="47"/>
  <c r="D22" i="47"/>
  <c r="J43" i="47"/>
  <c r="H45" i="47"/>
  <c r="L46" i="47"/>
  <c r="L80" i="47"/>
  <c r="D57" i="47"/>
  <c r="J89" i="47"/>
  <c r="D47" i="47"/>
  <c r="J40" i="47"/>
  <c r="K96" i="47"/>
  <c r="D67" i="47"/>
  <c r="J91" i="47"/>
  <c r="J96" i="47"/>
  <c r="D50" i="47"/>
  <c r="D34" i="47"/>
  <c r="I96" i="47"/>
  <c r="J90" i="47"/>
  <c r="E49" i="47"/>
  <c r="J81" i="47"/>
  <c r="K74" i="47"/>
  <c r="D42" i="47"/>
  <c r="F56" i="47"/>
  <c r="G56" i="47"/>
  <c r="K81" i="47"/>
  <c r="E51" i="47"/>
  <c r="K58" i="47"/>
  <c r="L48" i="47"/>
  <c r="J69" i="47"/>
  <c r="F64" i="47"/>
  <c r="G73" i="47"/>
  <c r="L87" i="47"/>
  <c r="K87" i="47"/>
  <c r="I75" i="47"/>
  <c r="D74" i="47"/>
  <c r="I28" i="47"/>
  <c r="I85" i="47"/>
  <c r="M85" i="47"/>
  <c r="H61" i="47"/>
  <c r="E40" i="47"/>
  <c r="D49" i="47"/>
  <c r="J22" i="47"/>
  <c r="F88" i="47"/>
  <c r="J77" i="47"/>
  <c r="K30" i="47"/>
  <c r="H64" i="47"/>
  <c r="I90" i="47"/>
  <c r="H85" i="47"/>
  <c r="M55" i="47"/>
  <c r="H40" i="47"/>
  <c r="M22" i="47"/>
  <c r="J86" i="47"/>
  <c r="D95" i="47"/>
  <c r="J64" i="47"/>
  <c r="G31" i="47"/>
  <c r="K40" i="47"/>
  <c r="E89" i="47"/>
  <c r="M87" i="47"/>
  <c r="G41" i="47"/>
  <c r="H24" i="47"/>
  <c r="E21" i="47"/>
  <c r="E43" i="47"/>
  <c r="K26" i="47"/>
  <c r="F33" i="47"/>
  <c r="I81" i="47"/>
  <c r="M47" i="47"/>
  <c r="F96" i="47"/>
  <c r="E50" i="47"/>
  <c r="E86" i="47"/>
  <c r="F26" i="47"/>
  <c r="K89" i="47"/>
  <c r="E91" i="47"/>
  <c r="F98" i="47"/>
  <c r="M45" i="47"/>
  <c r="E32" i="47"/>
  <c r="G21" i="47"/>
  <c r="I32" i="47"/>
  <c r="F90" i="47"/>
  <c r="G81" i="47"/>
  <c r="I89" i="47"/>
  <c r="K98" i="47"/>
  <c r="M31" i="47"/>
  <c r="J63" i="47"/>
  <c r="M37" i="47"/>
  <c r="J59" i="47"/>
  <c r="E83" i="47"/>
  <c r="M61" i="47"/>
  <c r="J35" i="47"/>
  <c r="I68" i="47"/>
  <c r="D87" i="47"/>
  <c r="I53" i="47"/>
  <c r="G45" i="47"/>
  <c r="I95" i="47"/>
  <c r="F78" i="47"/>
  <c r="I79" i="47"/>
  <c r="E61" i="47"/>
  <c r="E94" i="47"/>
  <c r="J49" i="47"/>
  <c r="K64" i="47"/>
  <c r="I24" i="47"/>
  <c r="D46" i="47"/>
  <c r="H94" i="47"/>
  <c r="D52" i="47"/>
  <c r="F50" i="47"/>
  <c r="D28" i="47"/>
  <c r="E64" i="47"/>
  <c r="E26" i="47"/>
  <c r="K32" i="47"/>
  <c r="K41" i="47"/>
  <c r="L81" i="47"/>
  <c r="E75" i="47"/>
  <c r="K85" i="47"/>
  <c r="E55" i="47"/>
  <c r="L64" i="47"/>
  <c r="F74" i="47"/>
  <c r="L38" i="47"/>
  <c r="D75" i="47"/>
  <c r="M21" i="47"/>
  <c r="F55" i="47"/>
  <c r="D63" i="47"/>
  <c r="F40" i="47"/>
  <c r="D33" i="47"/>
  <c r="E88" i="47"/>
  <c r="H77" i="47"/>
  <c r="K25" i="47"/>
  <c r="E27" i="47"/>
  <c r="E23" i="47"/>
  <c r="L53" i="47"/>
  <c r="M64" i="47"/>
  <c r="L70" i="47"/>
  <c r="K47" i="47"/>
  <c r="D99" i="47"/>
  <c r="J34" i="47"/>
  <c r="H62" i="47"/>
  <c r="E34" i="47"/>
  <c r="G22" i="47"/>
  <c r="I91" i="47"/>
  <c r="H87" i="47"/>
  <c r="J23" i="47"/>
  <c r="I77" i="47"/>
  <c r="F23" i="47"/>
  <c r="M77" i="47"/>
  <c r="H80" i="47"/>
  <c r="G54" i="47"/>
  <c r="K23" i="47"/>
  <c r="I100" i="47"/>
  <c r="M71" i="47"/>
  <c r="E37" i="47"/>
  <c r="M38" i="47"/>
  <c r="I44" i="47"/>
  <c r="G78" i="47"/>
  <c r="E81" i="47"/>
  <c r="L97" i="47"/>
  <c r="E59" i="47"/>
  <c r="E70" i="47"/>
  <c r="E30" i="47"/>
  <c r="G62" i="47"/>
  <c r="E97" i="47"/>
  <c r="J26" i="47"/>
  <c r="K72" i="47"/>
  <c r="I82" i="47"/>
  <c r="I41" i="47"/>
  <c r="G69" i="47"/>
  <c r="G53" i="47"/>
  <c r="M30" i="47"/>
  <c r="K21" i="47"/>
  <c r="E33" i="47"/>
  <c r="F25" i="47"/>
  <c r="M88" i="47"/>
  <c r="M32" i="47"/>
  <c r="L61" i="47"/>
  <c r="D55" i="47"/>
  <c r="L47" i="47"/>
  <c r="E74" i="47"/>
  <c r="G87" i="47"/>
  <c r="D25" i="47"/>
  <c r="H69" i="47"/>
  <c r="M54" i="47"/>
  <c r="D64" i="47"/>
  <c r="K38" i="47"/>
  <c r="J97" i="47"/>
  <c r="F72" i="47"/>
  <c r="F71" i="47"/>
  <c r="K55" i="47"/>
  <c r="I65" i="47"/>
  <c r="F73" i="47"/>
  <c r="D78" i="47"/>
  <c r="I83" i="47"/>
  <c r="J32" i="47"/>
  <c r="F24" i="47"/>
  <c r="H88" i="47"/>
  <c r="K79" i="47"/>
  <c r="L55" i="47"/>
  <c r="K97" i="47"/>
  <c r="F97" i="47"/>
  <c r="K80" i="47"/>
  <c r="H21" i="47"/>
  <c r="G38" i="47"/>
  <c r="J88" i="47"/>
  <c r="I98" i="47"/>
  <c r="I71" i="47"/>
  <c r="J46" i="47"/>
  <c r="I21" i="47"/>
  <c r="D85" i="47"/>
  <c r="I22" i="47"/>
  <c r="I61" i="47"/>
  <c r="G85" i="47"/>
  <c r="E93" i="47"/>
  <c r="G25" i="47"/>
  <c r="I60" i="47"/>
  <c r="L77" i="47"/>
  <c r="D61" i="47"/>
  <c r="L22" i="47"/>
  <c r="F58" i="47"/>
  <c r="F66" i="47"/>
  <c r="G88" i="47"/>
  <c r="D100" i="47"/>
  <c r="F81" i="47"/>
  <c r="I59" i="47"/>
  <c r="G95" i="47"/>
  <c r="J42" i="47"/>
  <c r="F37" i="47"/>
  <c r="G61" i="47"/>
  <c r="E47" i="47"/>
  <c r="I54" i="47"/>
  <c r="I29" i="47"/>
  <c r="K94" i="47"/>
  <c r="J62" i="47"/>
  <c r="F80" i="47"/>
  <c r="G70" i="47"/>
  <c r="D62" i="47"/>
  <c r="E72" i="47"/>
  <c r="D39" i="47"/>
  <c r="E46" i="47"/>
  <c r="I66" i="47"/>
  <c r="K86" i="47"/>
  <c r="I47" i="47"/>
  <c r="D30" i="47"/>
  <c r="K29" i="47"/>
  <c r="G55" i="47"/>
  <c r="J70" i="47"/>
  <c r="L93" i="47"/>
  <c r="J95" i="47"/>
  <c r="K95" i="47"/>
  <c r="L72" i="47"/>
  <c r="H30" i="47"/>
  <c r="L86" i="47"/>
  <c r="D81" i="47"/>
  <c r="E78" i="47"/>
  <c r="H38" i="47"/>
  <c r="K39" i="47"/>
  <c r="I92" i="47"/>
  <c r="D88" i="47"/>
  <c r="L29" i="47"/>
  <c r="F46" i="47"/>
  <c r="J55" i="47"/>
  <c r="E54" i="47"/>
  <c r="I23" i="47"/>
  <c r="J47" i="47"/>
  <c r="J98" i="47"/>
  <c r="D59" i="47"/>
  <c r="E45" i="47"/>
  <c r="F77" i="47"/>
  <c r="D37" i="47"/>
  <c r="G23" i="47"/>
  <c r="L24" i="47"/>
  <c r="G64" i="47"/>
  <c r="E38" i="47"/>
  <c r="J53" i="47"/>
  <c r="J30" i="47"/>
  <c r="L79" i="47"/>
  <c r="L88" i="47"/>
  <c r="D94" i="47"/>
  <c r="I64" i="47"/>
  <c r="D45" i="47"/>
  <c r="L78" i="47"/>
  <c r="D32" i="47"/>
  <c r="H31" i="47"/>
  <c r="D93" i="47"/>
  <c r="J73" i="47"/>
  <c r="E29" i="47"/>
  <c r="K82" i="47"/>
  <c r="M86" i="47"/>
  <c r="G37" i="47"/>
  <c r="I80" i="47"/>
  <c r="G29" i="47"/>
  <c r="L45" i="47"/>
  <c r="I38" i="47"/>
  <c r="E53" i="47"/>
  <c r="G77" i="47"/>
  <c r="I45" i="47"/>
  <c r="J94" i="47"/>
  <c r="L95" i="47"/>
  <c r="I93" i="47"/>
  <c r="J38" i="47"/>
  <c r="E77" i="47"/>
  <c r="J85" i="47"/>
  <c r="D53" i="47"/>
  <c r="M78" i="47"/>
  <c r="I40" i="47"/>
  <c r="I58" i="47"/>
  <c r="H93" i="47"/>
  <c r="E39" i="47"/>
  <c r="I62" i="47"/>
  <c r="J37" i="47"/>
  <c r="K37" i="47"/>
  <c r="H56" i="47"/>
  <c r="E90" i="47"/>
  <c r="L69" i="47"/>
  <c r="D29" i="47"/>
  <c r="E79" i="47"/>
  <c r="H79" i="47"/>
  <c r="D23" i="47"/>
  <c r="E65" i="47"/>
  <c r="M23" i="47"/>
  <c r="G86" i="47"/>
  <c r="I26" i="47"/>
  <c r="G39" i="47"/>
  <c r="D73" i="47"/>
  <c r="K77" i="47"/>
  <c r="D69" i="47"/>
  <c r="D77" i="47"/>
  <c r="D48" i="47"/>
  <c r="H22" i="47"/>
  <c r="G71" i="47"/>
  <c r="J27" i="47"/>
  <c r="F85" i="47"/>
  <c r="I69" i="47"/>
  <c r="J31" i="47"/>
  <c r="D86" i="47"/>
  <c r="I42" i="47"/>
  <c r="H95" i="47"/>
  <c r="E71" i="47"/>
  <c r="E87" i="47"/>
  <c r="J66" i="47"/>
  <c r="M40" i="47"/>
  <c r="E66" i="47"/>
  <c r="M63" i="47"/>
  <c r="M79" i="47"/>
  <c r="M48" i="47"/>
  <c r="D44" i="47"/>
  <c r="E96" i="47"/>
  <c r="H55" i="47"/>
  <c r="I30" i="47"/>
  <c r="K93" i="47"/>
  <c r="F69" i="47"/>
  <c r="D72" i="47"/>
  <c r="D79" i="47"/>
  <c r="E85" i="47"/>
  <c r="D54" i="47"/>
  <c r="D41" i="47"/>
  <c r="J72" i="47"/>
  <c r="D36" i="47"/>
  <c r="D96" i="47"/>
  <c r="K61" i="47"/>
  <c r="J93" i="47"/>
  <c r="D35" i="47"/>
</calcChain>
</file>

<file path=xl/sharedStrings.xml><?xml version="1.0" encoding="utf-8"?>
<sst xmlns="http://schemas.openxmlformats.org/spreadsheetml/2006/main" count="9854" uniqueCount="236">
  <si>
    <t xml:space="preserve">County: </t>
  </si>
  <si>
    <t xml:space="preserve">Version #: </t>
  </si>
  <si>
    <t>Alachua</t>
  </si>
  <si>
    <t>Baker</t>
  </si>
  <si>
    <t>Bay</t>
  </si>
  <si>
    <t>Bradford</t>
  </si>
  <si>
    <t>Brevard</t>
  </si>
  <si>
    <t>Broward</t>
  </si>
  <si>
    <t>Calhoun</t>
  </si>
  <si>
    <t>Charlotte</t>
  </si>
  <si>
    <t>Citrus</t>
  </si>
  <si>
    <t>Clay</t>
  </si>
  <si>
    <t>Collier</t>
  </si>
  <si>
    <t>Columbia</t>
  </si>
  <si>
    <t>Dade</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</si>
  <si>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</si>
  <si>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</si>
  <si>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</si>
  <si>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</si>
  <si>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</si>
  <si>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</si>
  <si>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</si>
  <si>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</si>
  <si>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</si>
  <si>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</si>
  <si>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</si>
  <si>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</si>
  <si>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</si>
  <si>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</si>
  <si>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</si>
  <si>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</si>
  <si>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</si>
  <si>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</si>
  <si>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</si>
  <si>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</si>
  <si>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</si>
  <si>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</si>
  <si>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</si>
  <si>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</si>
  <si>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</si>
  <si>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</si>
  <si>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</si>
  <si>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</si>
  <si>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</si>
  <si>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</si>
  <si>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</si>
  <si>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</si>
  <si>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</si>
  <si>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</si>
  <si>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</si>
  <si>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</si>
  <si>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</si>
  <si>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</si>
  <si>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</si>
  <si>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</si>
  <si>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</si>
  <si>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</si>
  <si>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</si>
  <si>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</si>
  <si>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</si>
  <si>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</si>
  <si>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</si>
  <si>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</si>
  <si>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</si>
  <si>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</si>
  <si>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</si>
  <si>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</si>
  <si>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</si>
  <si>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</si>
  <si>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</si>
  <si>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</si>
  <si>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OrganizationID</t>
  </si>
  <si>
    <t>OrganizationTypeID</t>
  </si>
  <si>
    <t>OrgName1</t>
  </si>
  <si>
    <t>OrgName2</t>
  </si>
  <si>
    <t>OrgName3</t>
  </si>
  <si>
    <t>Miami-Dade</t>
  </si>
  <si>
    <t>Saint Johns</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</si>
  <si>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</si>
  <si>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</si>
  <si>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</si>
  <si>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</si>
  <si>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</si>
  <si>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</si>
  <si>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</si>
  <si>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</si>
  <si>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</si>
  <si>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</si>
  <si>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</si>
  <si>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</si>
  <si>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</si>
  <si>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</si>
  <si>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</si>
  <si>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</si>
  <si>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</si>
  <si>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</si>
  <si>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</si>
  <si>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</si>
  <si>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</si>
  <si>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</si>
  <si>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</si>
  <si>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</si>
  <si>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</si>
  <si>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</si>
  <si>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</si>
  <si>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</si>
  <si>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</si>
  <si>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</si>
  <si>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</si>
  <si>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</si>
  <si>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</si>
  <si>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</si>
  <si>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</si>
  <si>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</si>
  <si>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</si>
  <si>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</si>
  <si>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</si>
  <si>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</si>
  <si>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</si>
  <si>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</si>
  <si>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</si>
  <si>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</si>
  <si>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</si>
  <si>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</si>
  <si>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</si>
  <si>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</si>
  <si>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</si>
  <si>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</si>
  <si>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</si>
  <si>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</si>
  <si>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</si>
  <si>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</si>
  <si>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</si>
  <si>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</si>
  <si>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</si>
  <si>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</si>
  <si>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</si>
  <si>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</si>
  <si>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</si>
  <si>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</si>
  <si>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</si>
  <si>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</si>
  <si>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</si>
  <si>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</si>
  <si>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</si>
  <si>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</si>
  <si>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</si>
  <si>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</si>
  <si>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</si>
  <si>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</si>
  <si>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</si>
  <si>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</si>
  <si>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</si>
  <si>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</si>
  <si>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</si>
  <si>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</si>
  <si>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</si>
  <si>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</si>
  <si>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</si>
  <si>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</si>
  <si>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</si>
  <si>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</si>
  <si>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</si>
  <si>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</si>
  <si>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</si>
  <si>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</si>
  <si>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</si>
  <si>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</si>
  <si>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</si>
  <si>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</si>
  <si>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</si>
  <si>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</si>
  <si>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</si>
  <si>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</si>
  <si>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</si>
  <si>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</si>
  <si>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</si>
  <si>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</si>
  <si>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</si>
  <si>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</si>
  <si>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</si>
  <si>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</si>
  <si>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</si>
  <si>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</si>
  <si>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</si>
  <si>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</si>
  <si>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</si>
  <si>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</si>
  <si>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</si>
  <si>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</si>
  <si>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</si>
  <si>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</si>
  <si>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</si>
  <si>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</si>
  <si>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</si>
  <si>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</si>
  <si>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</si>
  <si>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</si>
  <si>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</si>
  <si>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</si>
  <si>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</si>
  <si>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</si>
  <si>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</si>
  <si>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</si>
  <si>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</si>
  <si>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</si>
  <si>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</si>
  <si>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r>
      <t xml:space="preserve">1.) </t>
    </r>
    <r>
      <rPr>
        <b/>
        <sz val="11"/>
        <rFont val="Franklin Gothic Book"/>
        <family val="2"/>
        <scheme val="minor"/>
      </rPr>
      <t>Action Plan:</t>
    </r>
    <r>
      <rPr>
        <sz val="11"/>
        <rFont val="Franklin Gothic Book"/>
        <family val="2"/>
        <scheme val="minor"/>
      </rPr>
      <t xml:space="preserve"> If the Collection Rate in quarter five </t>
    </r>
    <r>
      <rPr>
        <b/>
        <sz val="11"/>
        <rFont val="Franklin Gothic Book"/>
        <family val="2"/>
        <scheme val="minor"/>
      </rPr>
      <t>(Qtr 5)</t>
    </r>
    <r>
      <rPr>
        <sz val="11"/>
        <rFont val="Franklin Gothic Book"/>
        <family val="2"/>
        <scheme val="minor"/>
      </rPr>
      <t xml:space="preserv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"Actions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</si>
  <si>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occur that are not consistant with the Collection Report Business Rules. </t>
    </r>
  </si>
  <si>
    <r>
      <t>a.) Cumulative Collection amount should</t>
    </r>
    <r>
      <rPr>
        <b/>
        <sz val="11"/>
        <rFont val="Franklin Gothic Book"/>
        <family val="2"/>
        <scheme val="minor"/>
      </rPr>
      <t xml:space="preserve"> NOT Decrease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</si>
  <si>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should </t>
    </r>
    <r>
      <rPr>
        <b/>
        <sz val="11"/>
        <rFont val="Franklin Gothic Book"/>
        <family val="2"/>
        <scheme val="minor"/>
      </rPr>
      <t>NOT Increase</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</si>
  <si>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1.) </t>
    </r>
    <r>
      <rPr>
        <b/>
        <sz val="11"/>
        <rFont val="Franklin Gothic Book"/>
        <family val="2"/>
        <scheme val="minor"/>
      </rPr>
      <t>Action Plan:</t>
    </r>
    <r>
      <rPr>
        <sz val="11"/>
        <rFont val="Franklin Gothic Book"/>
        <family val="2"/>
        <scheme val="minor"/>
      </rPr>
      <t xml:space="preserve"> </t>
    </r>
  </si>
  <si>
    <t>No Corrective Action Plan reporting is needed as this is a subset of the Circuit Criminal performance measure.</t>
  </si>
  <si>
    <r>
      <t xml:space="preserve">2.) </t>
    </r>
    <r>
      <rPr>
        <b/>
        <sz val="11"/>
        <rFont val="Franklin Gothic Book"/>
        <family val="2"/>
        <scheme val="minor"/>
      </rPr>
      <t>Additional Notes Related to Collection Issues:</t>
    </r>
    <r>
      <rPr>
        <sz val="11"/>
        <rFont val="Franklin Gothic Book"/>
        <family val="2"/>
        <scheme val="minor"/>
      </rPr>
      <t xml:space="preserve"> No additional information is needed as this is a subset of the Circuit Criminal performance measure.  However, reported data should  </t>
    </r>
  </si>
  <si>
    <t xml:space="preserve"> still be consistant with the Collection Report Business Rules as follows for the Cumulative Collection and Amount Assessed-Adjusted.</t>
  </si>
  <si>
    <t>Note: The drug trafficking Collection and Amount Assessed values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</si>
  <si>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 xml:space="preserve">Quarter: </t>
  </si>
  <si>
    <t>DeSoto</t>
  </si>
  <si>
    <t>Desoto</t>
  </si>
  <si>
    <t>MANATEE</t>
  </si>
  <si>
    <t>CGE CQ1-20</t>
  </si>
  <si>
    <t>CGE CQ2-20</t>
  </si>
  <si>
    <t>CGE CQ3-20</t>
  </si>
  <si>
    <t>CGE CQ4-20</t>
  </si>
  <si>
    <t>CGE CQ1-21</t>
  </si>
  <si>
    <t>CGE CQ2-21</t>
  </si>
  <si>
    <t>CGE CQ3-21</t>
  </si>
  <si>
    <t>CGE CQ4-21</t>
  </si>
  <si>
    <t>County Fiscal Year 2019-2020</t>
  </si>
  <si>
    <t>CCOC Form Version 2
Revised 1/7/20</t>
  </si>
  <si>
    <t>Michelle Levar</t>
  </si>
  <si>
    <t>michelle.levar@brevardclerk.us</t>
  </si>
  <si>
    <t>Short staffed due to holiday vacations and illiness</t>
  </si>
  <si>
    <t>Short Staffed due to holiday vacations and illness</t>
  </si>
  <si>
    <t>Slight Increase due to tax returns. Stalled by Covid-19</t>
  </si>
  <si>
    <t>Foreclosure Judgements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</si>
</sst>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1"/>
      <color theme="1"/>
      <name val="Franklin Gothic Demi"/>
      <family val="2"/>
      <scheme val="major"/>
    </font>
    <font>
      <sz val="11"/>
      <color theme="0"/>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sz val="16"/>
      <color theme="4"/>
      <name val="Franklin Gothic Demi"/>
      <family val="2"/>
      <scheme val="major"/>
    </font>
    <font>
      <sz val="12"/>
      <color theme="0"/>
      <name val="Franklin Gothic Demi"/>
      <family val="2"/>
      <scheme val="major"/>
    </font>
    <font>
      <sz val="11"/>
      <color rgb="FF222222"/>
      <name val="Courier New"/>
      <family val="3"/>
    </font>
    <font>
      <sz val="10"/>
      <name val="Franklin Gothic Book"/>
      <family val="2"/>
    </font>
    <font>
      <sz val="11"/>
      <name val="Franklin Gothic Demi"/>
      <family val="2"/>
    </font>
    <font>
      <sz val="14"/>
      <color rgb="FFAC162C"/>
      <name val="Franklin Gothic Demi"/>
      <family val="2"/>
      <scheme val="major"/>
    </font>
    <font>
      <sz val="10"/>
      <color theme="4"/>
      <name val="Franklin Gothic Demi"/>
      <family val="2"/>
      <scheme val="major"/>
    </font>
    <font>
      <sz val="10"/>
      <name val="Arial"/>
      <family val="2"/>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AC162C"/>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s>
  <cellStyleXfs count="53">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0" fillId="5" borderId="21">
      <alignment vertical="center"/>
    </xf>
    <xf numFmtId="0" fontId="20" fillId="6" borderId="22">
      <alignment horizontal="center" vertical="center"/>
      <protection locked="0"/>
    </xf>
    <xf numFmtId="0" fontId="20" fillId="7" borderId="22">
      <alignment horizontal="center" vertical="center"/>
      <protection locked="0"/>
    </xf>
    <xf numFmtId="44" fontId="26" fillId="8" borderId="23">
      <alignment vertical="center"/>
      <protection locked="0"/>
    </xf>
    <xf numFmtId="44" fontId="20" fillId="8" borderId="24" applyBorder="0">
      <alignment vertical="center"/>
      <protection locked="0"/>
    </xf>
    <xf numFmtId="44" fontId="20" fillId="7" borderId="26" applyBorder="0">
      <alignment vertical="center"/>
      <protection locked="0"/>
    </xf>
    <xf numFmtId="44" fontId="20" fillId="6" borderId="27" applyBorder="0">
      <alignment vertical="center"/>
      <protection locked="0"/>
    </xf>
    <xf numFmtId="44" fontId="20" fillId="6" borderId="28" applyBorder="0">
      <alignment vertical="center"/>
      <protection locked="0"/>
    </xf>
    <xf numFmtId="44" fontId="26" fillId="7" borderId="9" applyBorder="0">
      <alignment vertical="top"/>
      <protection locked="0"/>
    </xf>
    <xf numFmtId="9" fontId="32" fillId="0" borderId="0" applyFont="0" applyFill="0" applyBorder="0" applyAlignment="0" applyProtection="0"/>
    <xf numFmtId="0" fontId="17" fillId="0" borderId="0"/>
    <xf numFmtId="43" fontId="45" fillId="0" borderId="0" applyFont="0" applyFill="0" applyBorder="0" applyAlignment="0" applyProtection="0"/>
  </cellStyleXfs>
  <cellXfs count="216">
    <xf numFmtId="0" fontId="0" fillId="0" borderId="0" xfId="0"/>
    <xf numFmtId="0" fontId="0" fillId="0" borderId="0" xfId="0" applyProtection="1"/>
    <xf numFmtId="0" fontId="23" fillId="0" borderId="0" xfId="0" applyFont="1"/>
    <xf numFmtId="0" fontId="24" fillId="3" borderId="0" xfId="0" applyFont="1" applyFill="1"/>
    <xf numFmtId="0" fontId="24" fillId="3" borderId="0" xfId="0" applyFont="1" applyFill="1" applyAlignment="1">
      <alignment wrapText="1"/>
    </xf>
    <xf numFmtId="0" fontId="24" fillId="3"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3" borderId="1" xfId="0" applyFont="1" applyFill="1" applyBorder="1"/>
    <xf numFmtId="0" fontId="24" fillId="3" borderId="2" xfId="0" applyFont="1" applyFill="1" applyBorder="1"/>
    <xf numFmtId="0" fontId="24" fillId="3" borderId="7" xfId="0" applyFont="1" applyFill="1" applyBorder="1"/>
    <xf numFmtId="0" fontId="23" fillId="0" borderId="0" xfId="0" quotePrefix="1" applyFont="1"/>
    <xf numFmtId="14" fontId="23" fillId="4" borderId="0" xfId="0" applyNumberFormat="1" applyFont="1" applyFill="1" applyProtection="1">
      <protection locked="0"/>
    </xf>
    <xf numFmtId="0" fontId="23" fillId="4" borderId="0" xfId="0" applyFont="1" applyFill="1" applyProtection="1">
      <protection locked="0"/>
    </xf>
    <xf numFmtId="0" fontId="29" fillId="0" borderId="0" xfId="0" applyFont="1" applyAlignment="1" applyProtection="1">
      <alignment vertical="center"/>
    </xf>
    <xf numFmtId="165" fontId="30" fillId="10" borderId="21" xfId="41" applyFill="1" applyProtection="1">
      <alignment vertical="center"/>
    </xf>
    <xf numFmtId="44" fontId="20" fillId="8" borderId="25" xfId="44" applyFont="1" applyBorder="1" applyProtection="1">
      <alignment vertical="center"/>
      <protection locked="0"/>
    </xf>
    <xf numFmtId="0" fontId="20" fillId="6" borderId="22"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7" borderId="30" xfId="46" applyBorder="1" applyProtection="1">
      <alignment vertical="center"/>
      <protection locked="0"/>
    </xf>
    <xf numFmtId="44" fontId="20" fillId="7" borderId="31"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8" borderId="32" xfId="44" applyFont="1" applyBorder="1" applyProtection="1">
      <alignment vertical="center"/>
      <protection locked="0"/>
    </xf>
    <xf numFmtId="44" fontId="20" fillId="8" borderId="33" xfId="44" applyFont="1" applyBorder="1" applyProtection="1">
      <alignment vertical="center"/>
      <protection locked="0"/>
    </xf>
    <xf numFmtId="44" fontId="20" fillId="7" borderId="34"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8" borderId="38" xfId="44" applyFont="1" applyBorder="1" applyProtection="1">
      <alignment vertical="center"/>
      <protection locked="0"/>
    </xf>
    <xf numFmtId="44" fontId="20" fillId="7" borderId="39" xfId="46" applyBorder="1" applyProtection="1">
      <alignment vertical="center"/>
      <protection locked="0"/>
    </xf>
    <xf numFmtId="44" fontId="20" fillId="8" borderId="41" xfId="44" applyFont="1" applyBorder="1" applyProtection="1">
      <alignment vertical="center"/>
      <protection locked="0"/>
    </xf>
    <xf numFmtId="44" fontId="20" fillId="7" borderId="42"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29" xfId="0" applyNumberFormat="1" applyFont="1" applyFill="1" applyBorder="1" applyAlignment="1" applyProtection="1">
      <alignment horizontal="center" vertical="center"/>
    </xf>
    <xf numFmtId="44" fontId="20" fillId="12" borderId="32" xfId="44" applyFont="1" applyFill="1" applyBorder="1" applyProtection="1">
      <alignment vertical="center"/>
      <protection locked="0"/>
    </xf>
    <xf numFmtId="44" fontId="20" fillId="12" borderId="25" xfId="44" applyFont="1" applyFill="1" applyBorder="1" applyProtection="1">
      <alignment vertical="center"/>
      <protection locked="0"/>
    </xf>
    <xf numFmtId="44" fontId="20" fillId="13" borderId="30" xfId="46" applyFill="1" applyBorder="1" applyProtection="1">
      <alignment vertical="center"/>
      <protection locked="0"/>
    </xf>
    <xf numFmtId="44" fontId="20" fillId="13" borderId="31"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8" borderId="60" xfId="44" applyFont="1" applyBorder="1" applyProtection="1">
      <alignment vertical="center"/>
      <protection locked="0"/>
    </xf>
    <xf numFmtId="44" fontId="20" fillId="7" borderId="61" xfId="46" applyBorder="1" applyProtection="1">
      <alignment vertical="center"/>
      <protection locked="0"/>
    </xf>
    <xf numFmtId="0" fontId="27" fillId="0" borderId="53" xfId="0" applyFont="1" applyBorder="1" applyAlignment="1" applyProtection="1">
      <alignment horizontal="center" vertical="center" wrapText="1"/>
    </xf>
    <xf numFmtId="0" fontId="27" fillId="0" borderId="62" xfId="0" applyFont="1" applyBorder="1" applyAlignment="1" applyProtection="1">
      <alignment horizontal="center" vertical="center" wrapText="1"/>
    </xf>
    <xf numFmtId="0" fontId="27" fillId="14" borderId="14" xfId="0" applyFont="1" applyFill="1" applyBorder="1" applyAlignment="1" applyProtection="1">
      <alignment horizontal="right" vertical="center"/>
    </xf>
    <xf numFmtId="0" fontId="24" fillId="3" borderId="0" xfId="5" applyFont="1" applyFill="1"/>
    <xf numFmtId="0" fontId="23" fillId="0" borderId="0" xfId="5" applyFont="1"/>
    <xf numFmtId="0" fontId="27" fillId="14" borderId="13" xfId="0" applyFont="1" applyFill="1" applyBorder="1" applyAlignment="1" applyProtection="1">
      <alignment horizontal="right" vertical="center"/>
    </xf>
    <xf numFmtId="0" fontId="36" fillId="0" borderId="0" xfId="0" applyFont="1" applyBorder="1" applyAlignment="1" applyProtection="1">
      <alignment horizontal="center" vertical="center"/>
    </xf>
    <xf numFmtId="0" fontId="20" fillId="0" borderId="0" xfId="0" applyFont="1" applyBorder="1" applyProtection="1"/>
    <xf numFmtId="0" fontId="37" fillId="0" borderId="0" xfId="0" applyFont="1" applyProtection="1"/>
    <xf numFmtId="0" fontId="34" fillId="0" borderId="0" xfId="0" applyFont="1" applyProtection="1"/>
    <xf numFmtId="10" fontId="20" fillId="0" borderId="50"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5" xfId="50" applyNumberFormat="1" applyFont="1" applyFill="1" applyBorder="1" applyAlignment="1" applyProtection="1">
      <alignment vertical="center"/>
    </xf>
    <xf numFmtId="10" fontId="20" fillId="0" borderId="43"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51"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0" fontId="20" fillId="15" borderId="22" xfId="42" applyFill="1" applyProtection="1">
      <alignment horizontal="center" vertical="center"/>
    </xf>
    <xf numFmtId="9" fontId="31" fillId="2" borderId="0" xfId="50" applyFont="1" applyFill="1" applyBorder="1" applyAlignment="1" applyProtection="1">
      <alignment vertical="center"/>
    </xf>
    <xf numFmtId="44" fontId="0" fillId="0" borderId="64" xfId="0" applyNumberFormat="1" applyBorder="1"/>
    <xf numFmtId="44" fontId="0" fillId="0" borderId="66" xfId="0" applyNumberFormat="1" applyBorder="1"/>
    <xf numFmtId="10" fontId="0" fillId="4" borderId="65" xfId="50" applyNumberFormat="1" applyFont="1" applyFill="1" applyBorder="1"/>
    <xf numFmtId="0" fontId="0" fillId="11" borderId="29" xfId="0" applyFill="1" applyBorder="1"/>
    <xf numFmtId="10" fontId="0" fillId="4" borderId="16" xfId="50" applyNumberFormat="1" applyFont="1" applyFill="1" applyBorder="1"/>
    <xf numFmtId="0" fontId="17" fillId="4" borderId="68" xfId="0" applyFont="1" applyFill="1" applyBorder="1"/>
    <xf numFmtId="0" fontId="0" fillId="11" borderId="0" xfId="0" applyFill="1" applyBorder="1"/>
    <xf numFmtId="0" fontId="17" fillId="4" borderId="15" xfId="0" applyFont="1" applyFill="1" applyBorder="1"/>
    <xf numFmtId="10" fontId="20" fillId="0" borderId="18" xfId="50" applyNumberFormat="1" applyFont="1" applyFill="1" applyBorder="1" applyAlignment="1" applyProtection="1">
      <alignment vertical="center"/>
    </xf>
    <xf numFmtId="0" fontId="40" fillId="0" borderId="0" xfId="0" applyFont="1" applyAlignment="1">
      <alignment horizontal="left" vertical="center"/>
    </xf>
    <xf numFmtId="0" fontId="24" fillId="3"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17" fillId="0" borderId="67" xfId="0" applyFont="1" applyBorder="1" applyAlignment="1">
      <alignment horizontal="right"/>
    </xf>
    <xf numFmtId="0" fontId="17" fillId="0" borderId="63" xfId="0" applyFont="1" applyBorder="1" applyAlignment="1">
      <alignment horizontal="right"/>
    </xf>
    <xf numFmtId="0" fontId="20" fillId="6" borderId="22" xfId="42" applyProtection="1">
      <alignment horizontal="center" vertical="center"/>
      <protection locked="0"/>
    </xf>
    <xf numFmtId="0" fontId="38" fillId="0" borderId="0" xfId="0" applyFont="1" applyAlignment="1" applyProtection="1">
      <alignment horizontal="center" vertical="center"/>
    </xf>
    <xf numFmtId="0" fontId="38" fillId="0" borderId="0" xfId="0" applyFont="1" applyBorder="1" applyAlignment="1" applyProtection="1">
      <alignment horizontal="center" vertical="center"/>
    </xf>
    <xf numFmtId="0" fontId="20" fillId="15" borderId="22" xfId="42" applyFill="1" applyProtection="1">
      <alignment horizontal="center" vertical="center"/>
    </xf>
    <xf numFmtId="9" fontId="30" fillId="10" borderId="21" xfId="50" applyFont="1" applyFill="1" applyBorder="1" applyAlignment="1" applyProtection="1">
      <alignment horizontal="center" vertical="center"/>
    </xf>
    <xf numFmtId="0" fontId="0" fillId="0" borderId="0" xfId="0" applyAlignment="1">
      <alignment horizontal="center"/>
    </xf>
    <xf numFmtId="17" fontId="31" fillId="9" borderId="53" xfId="0" applyNumberFormat="1" applyFont="1" applyFill="1" applyBorder="1" applyAlignment="1" applyProtection="1">
      <alignment horizontal="center" vertical="center"/>
    </xf>
    <xf numFmtId="17" fontId="31" fillId="9" borderId="69" xfId="0" applyNumberFormat="1" applyFont="1" applyFill="1" applyBorder="1" applyAlignment="1" applyProtection="1">
      <alignment horizontal="center" vertical="center"/>
    </xf>
    <xf numFmtId="17" fontId="31" fillId="9" borderId="62" xfId="0"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43" fillId="0" borderId="0" xfId="0" applyFont="1" applyAlignment="1" applyProtection="1">
      <alignment vertical="center"/>
    </xf>
    <xf numFmtId="43" fontId="24" fillId="3" borderId="0" xfId="52" applyFont="1" applyFill="1" applyAlignment="1">
      <alignment horizontal="center" wrapText="1"/>
    </xf>
    <xf numFmtId="43" fontId="0" fillId="0" borderId="0" xfId="52" applyFont="1"/>
    <xf numFmtId="0" fontId="17" fillId="0" borderId="0" xfId="0" applyFont="1" applyFill="1"/>
    <xf numFmtId="0" fontId="0" fillId="0" borderId="0" xfId="0" applyFill="1"/>
    <xf numFmtId="43" fontId="0" fillId="0" borderId="0" xfId="52" applyFont="1" applyFill="1"/>
    <xf numFmtId="0" fontId="20" fillId="6" borderId="22" xfId="42" applyProtection="1">
      <alignment horizontal="center" vertical="center"/>
      <protection locked="0"/>
    </xf>
    <xf numFmtId="0" fontId="20" fillId="7" borderId="22" xfId="43" applyProtection="1">
      <alignment horizontal="center" vertical="center"/>
      <protection locked="0"/>
    </xf>
    <xf numFmtId="0" fontId="20" fillId="14" borderId="10" xfId="0" applyFont="1" applyFill="1" applyBorder="1" applyAlignment="1" applyProtection="1">
      <alignment horizontal="center" vertical="center" wrapText="1"/>
    </xf>
    <xf numFmtId="0" fontId="20" fillId="14" borderId="54" xfId="0" applyFont="1" applyFill="1" applyBorder="1" applyAlignment="1" applyProtection="1">
      <alignment horizontal="center" vertical="center" wrapText="1"/>
    </xf>
    <xf numFmtId="0" fontId="20" fillId="14" borderId="13" xfId="0" applyFont="1" applyFill="1" applyBorder="1" applyAlignment="1" applyProtection="1">
      <alignment horizontal="center" vertical="center" wrapText="1"/>
    </xf>
    <xf numFmtId="0" fontId="20" fillId="14" borderId="55" xfId="0" applyFont="1" applyFill="1" applyBorder="1" applyAlignment="1" applyProtection="1">
      <alignment horizontal="center" vertical="center" wrapText="1"/>
    </xf>
    <xf numFmtId="0" fontId="20" fillId="14" borderId="14" xfId="0" applyFont="1" applyFill="1" applyBorder="1" applyAlignment="1" applyProtection="1">
      <alignment horizontal="center" vertical="center" wrapText="1"/>
    </xf>
    <xf numFmtId="0" fontId="20" fillId="14" borderId="56" xfId="0" applyFont="1" applyFill="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28" fillId="17" borderId="0" xfId="0" applyFont="1" applyFill="1" applyBorder="1" applyAlignment="1" applyProtection="1">
      <alignment horizontal="center" vertical="center" wrapText="1"/>
    </xf>
    <xf numFmtId="0" fontId="28" fillId="17" borderId="15" xfId="0" applyFont="1" applyFill="1" applyBorder="1" applyAlignment="1" applyProtection="1">
      <alignment horizontal="center" vertical="center" wrapText="1"/>
    </xf>
    <xf numFmtId="0" fontId="27" fillId="0" borderId="48" xfId="0" applyNumberFormat="1" applyFont="1" applyBorder="1" applyAlignment="1" applyProtection="1">
      <alignment horizontal="center" vertical="center" wrapText="1"/>
      <protection locked="0"/>
    </xf>
    <xf numFmtId="0" fontId="27" fillId="0" borderId="44" xfId="0" applyNumberFormat="1" applyFont="1" applyBorder="1" applyAlignment="1" applyProtection="1">
      <alignment horizontal="center" vertical="center" wrapText="1"/>
      <protection locked="0"/>
    </xf>
    <xf numFmtId="0" fontId="23" fillId="0" borderId="49" xfId="0" applyNumberFormat="1" applyFont="1" applyFill="1" applyBorder="1" applyAlignment="1" applyProtection="1">
      <alignment horizontal="left" vertical="top" wrapText="1"/>
      <protection locked="0"/>
    </xf>
    <xf numFmtId="0" fontId="23" fillId="0" borderId="45" xfId="0" applyNumberFormat="1" applyFont="1" applyFill="1" applyBorder="1" applyAlignment="1" applyProtection="1">
      <alignment horizontal="left" vertical="top" wrapText="1"/>
      <protection locked="0"/>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1" fillId="9" borderId="19" xfId="0" applyFont="1" applyFill="1" applyBorder="1" applyAlignment="1" applyProtection="1">
      <alignment horizontal="center" vertical="center" wrapText="1"/>
    </xf>
    <xf numFmtId="0" fontId="31" fillId="9" borderId="20" xfId="0" applyFont="1" applyFill="1" applyBorder="1" applyAlignment="1" applyProtection="1">
      <alignment horizontal="center" vertical="center" wrapText="1"/>
    </xf>
    <xf numFmtId="0" fontId="20" fillId="0" borderId="0" xfId="0" applyFont="1" applyBorder="1" applyAlignment="1" applyProtection="1">
      <alignment horizontal="left" vertical="center"/>
    </xf>
    <xf numFmtId="0" fontId="20" fillId="0" borderId="29" xfId="0" applyFont="1" applyBorder="1" applyAlignment="1" applyProtection="1">
      <alignment horizontal="left" vertical="center"/>
    </xf>
    <xf numFmtId="42" fontId="20" fillId="11" borderId="11" xfId="0" applyNumberFormat="1" applyFont="1" applyFill="1" applyBorder="1" applyAlignment="1" applyProtection="1">
      <alignment horizontal="center" vertical="top"/>
    </xf>
    <xf numFmtId="42" fontId="20" fillId="11" borderId="0" xfId="0" applyNumberFormat="1" applyFont="1" applyFill="1" applyBorder="1" applyAlignment="1" applyProtection="1">
      <alignment horizontal="center" vertical="top"/>
    </xf>
    <xf numFmtId="0" fontId="27" fillId="0" borderId="0" xfId="0" applyFont="1" applyBorder="1" applyAlignment="1" applyProtection="1">
      <alignment horizontal="left" vertical="center"/>
    </xf>
    <xf numFmtId="0" fontId="27" fillId="0" borderId="29" xfId="0" applyFont="1" applyBorder="1" applyAlignment="1" applyProtection="1">
      <alignment horizontal="left" vertical="center"/>
    </xf>
    <xf numFmtId="0" fontId="20" fillId="0" borderId="10"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1" borderId="10" xfId="0" applyFont="1" applyFill="1" applyBorder="1" applyAlignment="1" applyProtection="1">
      <alignment horizontal="center" vertical="top"/>
    </xf>
    <xf numFmtId="0" fontId="20" fillId="11" borderId="11" xfId="0" applyFont="1" applyFill="1" applyBorder="1" applyAlignment="1" applyProtection="1">
      <alignment horizontal="center" vertical="top"/>
    </xf>
    <xf numFmtId="0" fontId="20" fillId="11" borderId="12" xfId="0" applyFont="1" applyFill="1" applyBorder="1" applyAlignment="1" applyProtection="1">
      <alignment horizontal="center" vertical="top"/>
    </xf>
    <xf numFmtId="0" fontId="20" fillId="11" borderId="13" xfId="0" applyFont="1" applyFill="1" applyBorder="1" applyAlignment="1" applyProtection="1">
      <alignment horizontal="center" vertical="top"/>
    </xf>
    <xf numFmtId="0" fontId="20" fillId="11" borderId="0" xfId="0" applyFont="1" applyFill="1" applyBorder="1" applyAlignment="1" applyProtection="1">
      <alignment horizontal="center" vertical="top"/>
    </xf>
    <xf numFmtId="0" fontId="20" fillId="11" borderId="29" xfId="0" applyFont="1" applyFill="1" applyBorder="1" applyAlignment="1" applyProtection="1">
      <alignment horizontal="center" vertical="top"/>
    </xf>
    <xf numFmtId="0" fontId="20" fillId="11" borderId="14" xfId="0" applyFont="1" applyFill="1" applyBorder="1" applyAlignment="1" applyProtection="1">
      <alignment horizontal="center" vertical="top"/>
    </xf>
    <xf numFmtId="0" fontId="20" fillId="11" borderId="15" xfId="0" applyFont="1" applyFill="1" applyBorder="1" applyAlignment="1" applyProtection="1">
      <alignment horizontal="center" vertical="top"/>
    </xf>
    <xf numFmtId="0" fontId="20" fillId="11" borderId="16" xfId="0" applyFont="1" applyFill="1" applyBorder="1" applyAlignment="1" applyProtection="1">
      <alignment horizontal="center" vertical="top"/>
    </xf>
    <xf numFmtId="0" fontId="20" fillId="11" borderId="17" xfId="0" applyFont="1" applyFill="1" applyBorder="1" applyAlignment="1" applyProtection="1">
      <alignment horizontal="center" vertical="top"/>
    </xf>
    <xf numFmtId="0" fontId="20" fillId="11" borderId="40" xfId="0" applyFont="1" applyFill="1" applyBorder="1" applyAlignment="1" applyProtection="1">
      <alignment horizontal="center" vertical="top"/>
    </xf>
    <xf numFmtId="0" fontId="20" fillId="11" borderId="18" xfId="0" applyFont="1" applyFill="1" applyBorder="1" applyAlignment="1" applyProtection="1">
      <alignment horizontal="center" vertical="top"/>
    </xf>
    <xf numFmtId="0" fontId="0" fillId="11" borderId="13" xfId="0" applyFill="1" applyBorder="1" applyAlignment="1" applyProtection="1">
      <alignment horizontal="center"/>
    </xf>
    <xf numFmtId="0" fontId="0" fillId="11" borderId="29" xfId="0" applyFill="1" applyBorder="1" applyAlignment="1" applyProtection="1">
      <alignment horizontal="center"/>
    </xf>
    <xf numFmtId="0" fontId="27"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left" vertical="top" wrapText="1"/>
      <protection locked="0"/>
    </xf>
    <xf numFmtId="0" fontId="42" fillId="0" borderId="44"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0" fontId="41" fillId="0" borderId="45" xfId="0" applyFont="1" applyBorder="1" applyAlignment="1" applyProtection="1">
      <alignment horizontal="left" vertical="top" wrapText="1"/>
      <protection locked="0"/>
    </xf>
    <xf numFmtId="0" fontId="41" fillId="0" borderId="47" xfId="0" applyFont="1" applyBorder="1" applyAlignment="1" applyProtection="1">
      <alignment horizontal="left" vertical="top" wrapText="1"/>
      <protection locked="0"/>
    </xf>
    <xf numFmtId="0" fontId="36" fillId="0" borderId="0" xfId="0" applyFont="1" applyBorder="1" applyAlignment="1" applyProtection="1">
      <alignment horizontal="right" vertical="center"/>
    </xf>
    <xf numFmtId="0" fontId="31" fillId="9" borderId="10" xfId="0" applyFont="1" applyFill="1" applyBorder="1" applyAlignment="1" applyProtection="1">
      <alignment horizontal="center" vertical="center"/>
    </xf>
    <xf numFmtId="0" fontId="31" fillId="9" borderId="12" xfId="0" applyFont="1" applyFill="1" applyBorder="1" applyAlignment="1" applyProtection="1">
      <alignment horizontal="center" vertical="center"/>
    </xf>
    <xf numFmtId="0" fontId="27" fillId="14" borderId="57" xfId="0" applyFont="1" applyFill="1" applyBorder="1" applyAlignment="1" applyProtection="1">
      <alignment horizontal="center" vertical="center"/>
    </xf>
    <xf numFmtId="0" fontId="27" fillId="14" borderId="58" xfId="0" applyFont="1" applyFill="1" applyBorder="1" applyAlignment="1" applyProtection="1">
      <alignment horizontal="center" vertical="center"/>
    </xf>
    <xf numFmtId="0" fontId="27" fillId="14" borderId="59" xfId="0" applyFont="1" applyFill="1" applyBorder="1" applyAlignment="1" applyProtection="1">
      <alignment horizontal="center" vertical="center"/>
    </xf>
    <xf numFmtId="0" fontId="20" fillId="14" borderId="0" xfId="0" applyFont="1" applyFill="1" applyBorder="1" applyAlignment="1" applyProtection="1">
      <alignment horizontal="left" vertical="center"/>
    </xf>
    <xf numFmtId="0" fontId="20" fillId="14" borderId="29" xfId="0" applyFont="1" applyFill="1" applyBorder="1" applyAlignment="1" applyProtection="1">
      <alignment horizontal="left" vertical="center"/>
    </xf>
    <xf numFmtId="0" fontId="20" fillId="14" borderId="15" xfId="0" applyFont="1" applyFill="1" applyBorder="1" applyAlignment="1" applyProtection="1">
      <alignment horizontal="left" vertical="center"/>
    </xf>
    <xf numFmtId="0" fontId="20" fillId="14" borderId="16" xfId="0" applyFont="1" applyFill="1" applyBorder="1" applyAlignment="1" applyProtection="1">
      <alignment horizontal="left" vertical="center"/>
    </xf>
    <xf numFmtId="0" fontId="20" fillId="16" borderId="0" xfId="0" applyFont="1" applyFill="1" applyBorder="1" applyAlignment="1" applyProtection="1">
      <alignment vertical="top" wrapText="1"/>
    </xf>
    <xf numFmtId="0" fontId="20" fillId="0" borderId="0" xfId="0" applyFont="1" applyBorder="1" applyAlignment="1" applyProtection="1">
      <alignment vertical="top" wrapText="1"/>
    </xf>
    <xf numFmtId="0" fontId="27" fillId="0" borderId="10" xfId="0" applyNumberFormat="1" applyFont="1" applyBorder="1" applyAlignment="1" applyProtection="1">
      <alignment horizontal="left" vertical="center" wrapText="1"/>
    </xf>
    <xf numFmtId="0" fontId="27" fillId="0" borderId="12" xfId="0" applyNumberFormat="1" applyFont="1" applyBorder="1" applyAlignment="1" applyProtection="1">
      <alignment horizontal="left" vertical="center" wrapText="1"/>
    </xf>
    <xf numFmtId="0" fontId="27" fillId="0" borderId="10" xfId="0" applyNumberFormat="1" applyFont="1" applyFill="1" applyBorder="1" applyAlignment="1" applyProtection="1">
      <alignment horizontal="left" vertical="center" wrapText="1"/>
    </xf>
    <xf numFmtId="0" fontId="27" fillId="0" borderId="12" xfId="0" applyNumberFormat="1" applyFont="1" applyFill="1" applyBorder="1" applyAlignment="1" applyProtection="1">
      <alignment horizontal="left" vertical="center" wrapText="1"/>
    </xf>
    <xf numFmtId="49" fontId="23" fillId="0" borderId="13" xfId="0" applyNumberFormat="1" applyFont="1" applyBorder="1" applyAlignment="1" applyProtection="1">
      <alignment horizontal="left" vertical="top" wrapText="1"/>
      <protection locked="0"/>
    </xf>
    <xf numFmtId="49" fontId="23" fillId="0" borderId="29"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29"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1" borderId="10" xfId="0" applyFill="1" applyBorder="1" applyAlignment="1" applyProtection="1">
      <alignment horizontal="center"/>
    </xf>
    <xf numFmtId="0" fontId="0" fillId="11" borderId="11" xfId="0" applyFill="1" applyBorder="1" applyAlignment="1" applyProtection="1">
      <alignment horizontal="center"/>
    </xf>
    <xf numFmtId="0" fontId="0" fillId="11" borderId="0" xfId="0" applyFill="1" applyAlignment="1" applyProtection="1">
      <alignment horizontal="center"/>
    </xf>
    <xf numFmtId="0" fontId="0" fillId="11" borderId="14" xfId="0" applyFill="1" applyBorder="1" applyAlignment="1" applyProtection="1">
      <alignment horizontal="center"/>
    </xf>
    <xf numFmtId="0" fontId="0" fillId="11" borderId="15" xfId="0" applyFill="1" applyBorder="1" applyAlignment="1" applyProtection="1">
      <alignment horizontal="center"/>
    </xf>
    <xf numFmtId="0" fontId="39" fillId="9" borderId="10" xfId="0" applyFont="1" applyFill="1" applyBorder="1" applyAlignment="1">
      <alignment horizontal="center" vertical="center"/>
    </xf>
    <xf numFmtId="0" fontId="39" fillId="9" borderId="12" xfId="0" applyFont="1" applyFill="1" applyBorder="1" applyAlignment="1">
      <alignment horizontal="center" vertical="center"/>
    </xf>
    <xf numFmtId="42" fontId="20" fillId="11" borderId="12" xfId="0" applyNumberFormat="1" applyFont="1" applyFill="1" applyBorder="1" applyAlignment="1" applyProtection="1">
      <alignment horizontal="center" vertical="top"/>
    </xf>
    <xf numFmtId="42" fontId="20" fillId="11" borderId="29" xfId="0" applyNumberFormat="1" applyFont="1" applyFill="1" applyBorder="1" applyAlignment="1" applyProtection="1">
      <alignment horizontal="center" vertical="top"/>
    </xf>
    <xf numFmtId="0" fontId="20" fillId="15" borderId="22" xfId="42" applyFill="1" applyProtection="1">
      <alignment horizontal="center" vertical="center"/>
    </xf>
    <xf numFmtId="0" fontId="44" fillId="14" borderId="10" xfId="0" applyFont="1" applyFill="1" applyBorder="1" applyAlignment="1" applyProtection="1">
      <alignment horizontal="left" vertical="center" wrapText="1"/>
    </xf>
    <xf numFmtId="0" fontId="44" fillId="14" borderId="11" xfId="0" applyFont="1" applyFill="1" applyBorder="1" applyAlignment="1" applyProtection="1">
      <alignment horizontal="left" vertical="center" wrapText="1"/>
    </xf>
    <xf numFmtId="0" fontId="44" fillId="14" borderId="12" xfId="0" applyFont="1" applyFill="1" applyBorder="1" applyAlignment="1" applyProtection="1">
      <alignment horizontal="left" vertical="center" wrapText="1"/>
    </xf>
    <xf numFmtId="0" fontId="44" fillId="14" borderId="13" xfId="0" applyFont="1" applyFill="1" applyBorder="1" applyAlignment="1" applyProtection="1">
      <alignment horizontal="left" vertical="center" wrapText="1"/>
    </xf>
    <xf numFmtId="0" fontId="44" fillId="14" borderId="0" xfId="0" applyFont="1" applyFill="1" applyBorder="1" applyAlignment="1" applyProtection="1">
      <alignment horizontal="left" vertical="center" wrapText="1"/>
    </xf>
    <xf numFmtId="0" fontId="44" fillId="14" borderId="29" xfId="0" applyFont="1" applyFill="1" applyBorder="1" applyAlignment="1" applyProtection="1">
      <alignment horizontal="left" vertical="center" wrapText="1"/>
    </xf>
    <xf numFmtId="0" fontId="44" fillId="14" borderId="14" xfId="0" applyFont="1" applyFill="1" applyBorder="1" applyAlignment="1" applyProtection="1">
      <alignment horizontal="left" vertical="center" wrapText="1"/>
    </xf>
    <xf numFmtId="0" fontId="44" fillId="14" borderId="15" xfId="0" applyFont="1" applyFill="1" applyBorder="1" applyAlignment="1" applyProtection="1">
      <alignment horizontal="left" vertical="center" wrapText="1"/>
    </xf>
    <xf numFmtId="0" fontId="44" fillId="14" borderId="16" xfId="0" applyFont="1" applyFill="1" applyBorder="1" applyAlignment="1" applyProtection="1">
      <alignment horizontal="left" vertical="center" wrapText="1"/>
    </xf>
    <xf numFmtId="0" fontId="31" fillId="2" borderId="0" xfId="0" applyFont="1" applyFill="1" applyAlignment="1" applyProtection="1">
      <alignment horizontal="right" vertical="center"/>
    </xf>
    <xf numFmtId="0" fontId="23" fillId="0" borderId="67" xfId="0" applyFont="1" applyBorder="1" applyAlignment="1">
      <alignment horizontal="left" vertical="center" wrapText="1"/>
    </xf>
    <xf numFmtId="0" fontId="23" fillId="0" borderId="64" xfId="0" applyFont="1" applyBorder="1" applyAlignment="1">
      <alignment horizontal="left" vertical="center" wrapText="1"/>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cellXfs>
  <cellStyles count="53">
    <cellStyle name="Budget Authority" xfId="41"/>
    <cellStyle name="Comma" xfId="52" builtinId="3"/>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2">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1"/>
      <tableStyleElement type="totalRow" dxfId="190"/>
      <tableStyleElement type="firstColumn" dxfId="189"/>
      <tableStyleElement type="lastColumn" dxfId="188"/>
      <tableStyleElement type="firstRowStripe" dxfId="187"/>
      <tableStyleElement type="secondRowStripe" dxfId="186"/>
    </tableStyle>
  </tableStyles>
  <colors>
    <mruColors>
      <color rgb="FFAC162C"/>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192741</xdr:colOff>
      <xdr:row>0</xdr:row>
      <xdr:rowOff>78442</xdr:rowOff>
    </xdr:from>
    <xdr:to>
      <xdr:col>13</xdr:col>
      <xdr:colOff>2448891</xdr:colOff>
      <xdr:row>2</xdr:row>
      <xdr:rowOff>223178</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78442"/>
          <a:ext cx="2256150" cy="7543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243541</xdr:colOff>
      <xdr:row>0</xdr:row>
      <xdr:rowOff>65742</xdr:rowOff>
    </xdr:from>
    <xdr:to>
      <xdr:col>11</xdr:col>
      <xdr:colOff>1126145</xdr:colOff>
      <xdr:row>2</xdr:row>
      <xdr:rowOff>207303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00541" y="65742"/>
          <a:ext cx="2266904" cy="751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190500</xdr:colOff>
      <xdr:row>0</xdr:row>
      <xdr:rowOff>88900</xdr:rowOff>
    </xdr:from>
    <xdr:to>
      <xdr:col>13</xdr:col>
      <xdr:colOff>2446650</xdr:colOff>
      <xdr:row>2</xdr:row>
      <xdr:rowOff>233636</xdr:rowOff>
    </xdr:to>
    <xdr:pic>
      <xdr:nvPicPr>
        <xdr:cNvPr id="3" name="Picture 2">
          <a:extLst>
            <a:ext uri="{FF2B5EF4-FFF2-40B4-BE49-F238E27FC236}">
              <a16:creationId xmlns:a16="http://schemas.microsoft.com/office/drawing/2014/main" id="{FBE98868-BFCE-4F33-A432-7C241407FD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9600" y="88900"/>
          <a:ext cx="2256150" cy="7543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1841" y="91142"/>
          <a:ext cx="2259325" cy="751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192741</xdr:colOff>
      <xdr:row>0</xdr:row>
      <xdr:rowOff>91142</xdr:rowOff>
    </xdr:from>
    <xdr:to>
      <xdr:col>13</xdr:col>
      <xdr:colOff>2452066</xdr:colOff>
      <xdr:row>2</xdr:row>
      <xdr:rowOff>232703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62941" y="91142"/>
          <a:ext cx="2259325" cy="7511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zoomScale="75" zoomScaleNormal="75" zoomScaleSheetLayoutView="100" zoomScalePageLayoutView="75" workbookViewId="0">
      <selection activeCell="L4" sqref="L4"/>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
        <v>228</v>
      </c>
    </row>
    <row r="3" spans="1:14" ht="24" customHeight="1" x14ac:dyDescent="0.2"/>
    <row r="4" spans="1:14" ht="24" customHeight="1" x14ac:dyDescent="0.2">
      <c r="A4" s="8"/>
      <c r="C4" s="32" t="s">
        <v>0</v>
      </c>
      <c r="D4" s="114" t="s">
        <v>6</v>
      </c>
      <c r="E4" s="114"/>
      <c r="F4" s="9"/>
      <c r="G4" s="32" t="s">
        <v>216</v>
      </c>
      <c r="H4" s="98" t="s">
        <v>132</v>
      </c>
      <c r="I4"/>
      <c r="K4" s="32" t="s">
        <v>1</v>
      </c>
      <c r="L4" s="31">
        <v>2</v>
      </c>
      <c r="N4" s="124" t="s">
        <v>229</v>
      </c>
    </row>
    <row r="5" spans="1:14" ht="24" customHeight="1" thickBot="1" x14ac:dyDescent="0.25">
      <c r="A5" s="8"/>
      <c r="C5" s="32" t="s">
        <v>68</v>
      </c>
      <c r="D5" s="115" t="s">
        <v>230</v>
      </c>
      <c r="E5" s="115"/>
      <c r="F5" s="9"/>
      <c r="N5" s="125"/>
    </row>
    <row r="6" spans="1:14" ht="24" customHeight="1" x14ac:dyDescent="0.2">
      <c r="A6" s="8"/>
      <c r="C6" s="32" t="s">
        <v>69</v>
      </c>
      <c r="D6" s="114" t="s">
        <v>231</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Circuit Criminal</v>
      </c>
      <c r="E8" s="10"/>
      <c r="F8" s="130" t="s">
        <v>137</v>
      </c>
      <c r="G8" s="130"/>
      <c r="H8" s="102">
        <f ca="1">INDEX(LookupData!AA3:AA12,MATCH(D8,LookupData!Z3:Z12,0))</f>
        <v>0.09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42628.2</v>
      </c>
      <c r="F13" s="53">
        <f ca="1">SUMIFS(LookupData!J$3:J$2682,LookupData!$A$3:$A$2682,$D$4,LookupData!$B$3:$B$2682,$D$8,LookupData!$C$3:$C$2682,$A12)</f>
        <v>63175.43</v>
      </c>
      <c r="G13" s="53">
        <f ca="1">SUMIFS(LookupData!K$3:K$2682,LookupData!$A$3:$A$2682,$D$4,LookupData!$B$3:$B$2682,$D$8,LookupData!$C$3:$C$2682,$A12)</f>
        <v>86017.35</v>
      </c>
      <c r="H13" s="53">
        <f ca="1">SUMIFS(LookupData!L$3:L$2682,LookupData!$A$3:$A$2682,$D$4,LookupData!$B$3:$B$2682,$D$8,LookupData!$C$3:$C$2682,$A12)</f>
        <v>103042.19</v>
      </c>
      <c r="I13" s="43">
        <v>118471.69</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1268761.2</v>
      </c>
      <c r="F14" s="55">
        <f ca="1">SUMIFS(LookupData!E$3:E$2682,LookupData!$A$3:$A$2682,$D$4,LookupData!$B$3:$B$2682,$D$8,LookupData!$C$3:$C$2682,$A12)</f>
        <v>1262685.7</v>
      </c>
      <c r="G14" s="55">
        <f ca="1">SUMIFS(LookupData!F$3:F$2682,LookupData!$A$3:$A$2682,$D$4,LookupData!$B$3:$B$2682,$D$8,LookupData!$C$3:$C$2682,$A12)</f>
        <v>1262320.2</v>
      </c>
      <c r="H14" s="55">
        <f ca="1">SUMIFS(LookupData!G$3:G$2682,LookupData!$A$3:$A$2682,$D$4,LookupData!$B$3:$B$2682,$D$8,LookupData!$C$3:$C$2682,$A12)</f>
        <v>1262063.2</v>
      </c>
      <c r="I14" s="44">
        <v>1261756.2</v>
      </c>
      <c r="J14" s="137"/>
      <c r="K14" s="137"/>
      <c r="L14" s="137"/>
      <c r="M14" s="127"/>
      <c r="N14" s="129"/>
    </row>
    <row r="15" spans="1:14" ht="19.5" customHeight="1" thickTop="1" thickBot="1" x14ac:dyDescent="0.25">
      <c r="A15" s="120"/>
      <c r="B15" s="121"/>
      <c r="C15" s="134" t="s">
        <v>152</v>
      </c>
      <c r="D15" s="135"/>
      <c r="E15" s="71">
        <f ca="1">IFERROR(IF(E14=0,1,ROUND(E13/E14,4)),0)</f>
        <v>3.3599999999999998E-2</v>
      </c>
      <c r="F15" s="77">
        <f t="shared" ref="F15:I15" ca="1" si="0">IFERROR(IF(F14=0,1,ROUND(F13/F14,4)),0)</f>
        <v>0.05</v>
      </c>
      <c r="G15" s="77">
        <f t="shared" ca="1" si="0"/>
        <v>6.8099999999999994E-2</v>
      </c>
      <c r="H15" s="77">
        <f t="shared" ca="1" si="0"/>
        <v>8.1600000000000006E-2</v>
      </c>
      <c r="I15" s="78">
        <f t="shared" si="0"/>
        <v>9.3899999999999997E-2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43634.83</v>
      </c>
      <c r="G17" s="53">
        <f ca="1">SUMIFS(LookupData!J$3:J$2682,LookupData!$A$3:$A$2682,$D$4,LookupData!$B$3:$B$2682,$D$8,LookupData!$C$3:$C$2682,$A16)</f>
        <v>67205.59</v>
      </c>
      <c r="H17" s="53">
        <f ca="1">SUMIFS(LookupData!K$3:K$2682,LookupData!$A$3:$A$2682,$D$4,LookupData!$B$3:$B$2682,$D$8,LookupData!$C$3:$C$2682,$A16)</f>
        <v>87415.92</v>
      </c>
      <c r="I17" s="30">
        <v>108312.1</v>
      </c>
      <c r="J17" s="43">
        <v>132346.13</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1293894.45</v>
      </c>
      <c r="G18" s="55">
        <f ca="1">SUMIFS(LookupData!E$3:E$2682,LookupData!$A$3:$A$2682,$D$4,LookupData!$B$3:$B$2682,$D$8,LookupData!$C$3:$C$2682,$A16)</f>
        <v>1289040.45</v>
      </c>
      <c r="H18" s="55">
        <f ca="1">SUMIFS(LookupData!F$3:F$2682,LookupData!$A$3:$A$2682,$D$4,LookupData!$B$3:$B$2682,$D$8,LookupData!$C$3:$C$2682,$A16)</f>
        <v>1287923.45</v>
      </c>
      <c r="I18" s="38">
        <v>1287409.45</v>
      </c>
      <c r="J18" s="44">
        <v>1287184.45</v>
      </c>
      <c r="K18" s="151"/>
      <c r="L18" s="153"/>
      <c r="M18" s="162"/>
      <c r="N18" s="163"/>
    </row>
    <row r="19" spans="1:16" ht="20.25" customHeight="1" thickTop="1" thickBot="1" x14ac:dyDescent="0.25">
      <c r="A19" s="144"/>
      <c r="B19" s="145"/>
      <c r="C19" s="146" t="s">
        <v>152</v>
      </c>
      <c r="D19" s="147"/>
      <c r="E19" s="159"/>
      <c r="F19" s="73">
        <f ca="1">IFERROR(IF(F18=0,1,ROUND(F17/F18,4)),0)</f>
        <v>3.3700000000000001E-2</v>
      </c>
      <c r="G19" s="75">
        <f t="shared" ref="G19:J19" ca="1" si="1">IFERROR(IF(G18=0,1,ROUND(G17/G18,4)),0)</f>
        <v>5.21E-2</v>
      </c>
      <c r="H19" s="75">
        <f t="shared" ca="1" si="1"/>
        <v>6.7900000000000002E-2</v>
      </c>
      <c r="I19" s="75">
        <f t="shared" si="1"/>
        <v>8.4099999999999994E-2</v>
      </c>
      <c r="J19" s="76">
        <f t="shared" si="1"/>
        <v>0.1028</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42614.15</v>
      </c>
      <c r="H21" s="53">
        <f ca="1">SUMIFS(LookupData!J$3:J$2682,LookupData!$A$3:$A$2682,$D$4,LookupData!$B$3:$B$2682,$D$8,LookupData!$C$3:$C$2682,$A20)</f>
        <v>61928.05</v>
      </c>
      <c r="I21" s="30">
        <v>80086.13</v>
      </c>
      <c r="J21" s="30">
        <v>109898.32</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891894.26</v>
      </c>
      <c r="H22" s="55">
        <f ca="1">SUMIFS(LookupData!E$3:E$2682,LookupData!$A$3:$A$2682,$D$4,LookupData!$B$3:$B$2682,$D$8,LookupData!$C$3:$C$2682,$A20)</f>
        <v>887151.26</v>
      </c>
      <c r="I22" s="38">
        <v>886178.76</v>
      </c>
      <c r="J22" s="38">
        <v>885716.76</v>
      </c>
      <c r="K22" s="44"/>
      <c r="L22" s="151"/>
      <c r="M22" s="162"/>
      <c r="N22" s="163"/>
    </row>
    <row r="23" spans="1:16" ht="20.25" customHeight="1" thickTop="1" thickBot="1" x14ac:dyDescent="0.25">
      <c r="A23" s="120"/>
      <c r="B23" s="121"/>
      <c r="C23" s="134" t="s">
        <v>152</v>
      </c>
      <c r="D23" s="135"/>
      <c r="E23" s="160"/>
      <c r="F23" s="161"/>
      <c r="G23" s="71">
        <f t="shared" ref="G23:K23" ca="1" si="2">IFERROR(IF(G22=0,1,ROUND(G21/G22,4)),0)</f>
        <v>4.7800000000000002E-2</v>
      </c>
      <c r="H23" s="77">
        <f t="shared" ca="1" si="2"/>
        <v>6.9800000000000001E-2</v>
      </c>
      <c r="I23" s="77">
        <f t="shared" si="2"/>
        <v>9.0399999999999994E-2</v>
      </c>
      <c r="J23" s="77">
        <f t="shared" si="2"/>
        <v>0.1241</v>
      </c>
      <c r="K23" s="78">
        <f t="shared" si="2"/>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34682.01</v>
      </c>
      <c r="I25" s="30">
        <v>56711.89</v>
      </c>
      <c r="J25" s="30">
        <v>75800.55</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1113000.55</v>
      </c>
      <c r="I26" s="38">
        <v>1107876.55</v>
      </c>
      <c r="J26" s="38">
        <v>1105968.05</v>
      </c>
      <c r="K26" s="38"/>
      <c r="L26" s="44"/>
      <c r="M26" s="164"/>
      <c r="N26" s="166"/>
      <c r="O26"/>
      <c r="P26"/>
    </row>
    <row r="27" spans="1:16" ht="20.25" customHeight="1" thickTop="1" thickBot="1" x14ac:dyDescent="0.25">
      <c r="A27" s="144"/>
      <c r="B27" s="145"/>
      <c r="C27" s="146" t="s">
        <v>152</v>
      </c>
      <c r="D27" s="147"/>
      <c r="E27" s="154"/>
      <c r="F27" s="155"/>
      <c r="G27" s="156"/>
      <c r="H27" s="73">
        <f t="shared" ref="H27:L27" ca="1" si="3">IFERROR(IF(H26=0,1,ROUND(H25/H26,4)),0)</f>
        <v>3.1199999999999999E-2</v>
      </c>
      <c r="I27" s="75">
        <f t="shared" si="3"/>
        <v>5.1200000000000002E-2</v>
      </c>
      <c r="J27" s="75">
        <f t="shared" si="3"/>
        <v>6.8500000000000005E-2</v>
      </c>
      <c r="K27" s="75">
        <f t="shared" si="3"/>
        <v>1</v>
      </c>
      <c r="L27" s="76">
        <f t="shared" si="3"/>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32986.14</v>
      </c>
      <c r="J29" s="30">
        <v>50676.160000000003</v>
      </c>
      <c r="K29" s="30"/>
      <c r="L29" s="43"/>
      <c r="M29" s="160"/>
      <c r="N29" s="194"/>
      <c r="O29"/>
      <c r="P29"/>
    </row>
    <row r="30" spans="1:16" ht="20.25" customHeight="1" thickBot="1" x14ac:dyDescent="0.25">
      <c r="A30" s="118"/>
      <c r="B30" s="119"/>
      <c r="C30" s="134" t="s">
        <v>151</v>
      </c>
      <c r="D30" s="135"/>
      <c r="E30" s="151"/>
      <c r="F30" s="152"/>
      <c r="G30" s="152"/>
      <c r="H30" s="153"/>
      <c r="I30" s="37">
        <v>898984.65</v>
      </c>
      <c r="J30" s="38">
        <v>844196.15</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4">IFERROR(IF(I30=0,1,ROUND(I29/I30,4)),0)</f>
        <v>3.6700000000000003E-2</v>
      </c>
      <c r="J31" s="75">
        <f t="shared" si="4"/>
        <v>0.06</v>
      </c>
      <c r="K31" s="75">
        <f t="shared" si="4"/>
        <v>1</v>
      </c>
      <c r="L31" s="74">
        <f t="shared" si="4"/>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45023.79</v>
      </c>
      <c r="K33" s="30"/>
      <c r="L33" s="48"/>
      <c r="M33" s="184"/>
      <c r="N33" s="185"/>
      <c r="O33"/>
      <c r="P33"/>
    </row>
    <row r="34" spans="1:16" ht="20.25" customHeight="1" thickBot="1" x14ac:dyDescent="0.25">
      <c r="A34" s="142"/>
      <c r="B34" s="143"/>
      <c r="C34" s="134" t="s">
        <v>151</v>
      </c>
      <c r="D34" s="135"/>
      <c r="E34" s="151"/>
      <c r="F34" s="152"/>
      <c r="G34" s="152"/>
      <c r="H34" s="152"/>
      <c r="I34" s="153"/>
      <c r="J34" s="37">
        <v>1620671.45</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5">IFERROR(IF(J34=0,1,ROUND(J33/J34,4)),0)</f>
        <v>2.7799999999999998E-2</v>
      </c>
      <c r="K35" s="75">
        <f t="shared" si="5"/>
        <v>1</v>
      </c>
      <c r="L35" s="74">
        <f t="shared" si="5"/>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6">IFERROR(IF(K38=0,1,ROUND(K37/K38,4)),0)</f>
        <v>1</v>
      </c>
      <c r="L39" s="74">
        <f t="shared" si="6"/>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54" customHeight="1" x14ac:dyDescent="0.3">
      <c r="B45" s="168" t="s">
        <v>162</v>
      </c>
      <c r="C45" s="168"/>
      <c r="D45" s="178" t="s">
        <v>169</v>
      </c>
      <c r="E45" s="178"/>
      <c r="F45" s="178"/>
      <c r="G45" s="178"/>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ppQN/GSulFE06ME2K2WnCpZ+m05JlC7aA7FIh49o+MijCjR7PxNSQ8rmD6OhKBO+0OVoOyIEmkEVc0d/A/mCFA==" saltValue="kVEovH+wNpE7iJ7keJoLMA==" spinCount="100000" sheet="1" objects="1" scenarios="1" formatColumns="0" formatRows="0"/>
  <mergeCells count="81">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 ref="M16:M19"/>
    <mergeCell ref="N16:N19"/>
    <mergeCell ref="M20:M23"/>
    <mergeCell ref="N20:N23"/>
    <mergeCell ref="M24:M27"/>
    <mergeCell ref="N24:N27"/>
    <mergeCell ref="A40:B43"/>
    <mergeCell ref="C40:D40"/>
    <mergeCell ref="C41:D41"/>
    <mergeCell ref="C42:D42"/>
    <mergeCell ref="C43:D43"/>
    <mergeCell ref="E16:E19"/>
    <mergeCell ref="E20:F23"/>
    <mergeCell ref="E24:G27"/>
    <mergeCell ref="E28:H31"/>
    <mergeCell ref="E32:I35"/>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C25:D25"/>
    <mergeCell ref="C26:D26"/>
    <mergeCell ref="C27:D27"/>
    <mergeCell ref="A28:B31"/>
    <mergeCell ref="C28:D28"/>
    <mergeCell ref="C29:D29"/>
    <mergeCell ref="C30:D30"/>
    <mergeCell ref="C31:D31"/>
    <mergeCell ref="A16:B19"/>
    <mergeCell ref="C16:D16"/>
    <mergeCell ref="C17:D17"/>
    <mergeCell ref="C18:D18"/>
    <mergeCell ref="C19:D19"/>
    <mergeCell ref="A20:B23"/>
    <mergeCell ref="C20:D20"/>
    <mergeCell ref="C21:D21"/>
    <mergeCell ref="C22:D22"/>
    <mergeCell ref="C23:D23"/>
    <mergeCell ref="D4:E4"/>
    <mergeCell ref="D5:E5"/>
    <mergeCell ref="A12:B15"/>
    <mergeCell ref="C12:D12"/>
    <mergeCell ref="N4:N5"/>
    <mergeCell ref="M12:M15"/>
    <mergeCell ref="N12:N15"/>
    <mergeCell ref="D6:E6"/>
    <mergeCell ref="A8:C8"/>
    <mergeCell ref="F8:G8"/>
    <mergeCell ref="M10:N10"/>
    <mergeCell ref="C13:D13"/>
    <mergeCell ref="C14:D14"/>
    <mergeCell ref="C15:D15"/>
    <mergeCell ref="J12:L15"/>
  </mergeCells>
  <conditionalFormatting sqref="F14:I14">
    <cfRule type="expression" dxfId="185" priority="24">
      <formula>F14&gt;(MIN($E14:E14))</formula>
    </cfRule>
  </conditionalFormatting>
  <conditionalFormatting sqref="F13:I13">
    <cfRule type="expression" dxfId="184" priority="23">
      <formula>F13&lt;(MAX($E13:E13))</formula>
    </cfRule>
  </conditionalFormatting>
  <conditionalFormatting sqref="G17:J17">
    <cfRule type="expression" dxfId="183" priority="22">
      <formula>G17&lt;(MAX($F17:F17))</formula>
    </cfRule>
  </conditionalFormatting>
  <conditionalFormatting sqref="G18:J18">
    <cfRule type="expression" dxfId="182" priority="21">
      <formula>G18&gt;(MIN($F18:F18))</formula>
    </cfRule>
  </conditionalFormatting>
  <conditionalFormatting sqref="H22:K22">
    <cfRule type="expression" dxfId="181" priority="19">
      <formula>H22&gt;(MIN($G22:G22))</formula>
    </cfRule>
  </conditionalFormatting>
  <conditionalFormatting sqref="H21:K21">
    <cfRule type="expression" dxfId="180" priority="18">
      <formula>H21&lt;(MAX($G21:G21))</formula>
    </cfRule>
  </conditionalFormatting>
  <conditionalFormatting sqref="I26:L26">
    <cfRule type="expression" dxfId="179" priority="17">
      <formula>I26&gt;(MIN($H26:H26))</formula>
    </cfRule>
  </conditionalFormatting>
  <conditionalFormatting sqref="I25:L25">
    <cfRule type="expression" dxfId="178" priority="16">
      <formula>I25&lt;(MAX($H25:H25))</formula>
    </cfRule>
  </conditionalFormatting>
  <conditionalFormatting sqref="J30:L30">
    <cfRule type="expression" dxfId="177" priority="15">
      <formula>J30&gt;(MIN($I30:I30))</formula>
    </cfRule>
  </conditionalFormatting>
  <conditionalFormatting sqref="J29:L29">
    <cfRule type="expression" dxfId="176" priority="14">
      <formula>J29&lt;(MAX($I29:I29))</formula>
    </cfRule>
  </conditionalFormatting>
  <conditionalFormatting sqref="K34:L34">
    <cfRule type="expression" dxfId="175" priority="13">
      <formula>K34&gt;(MIN($J34:J34))</formula>
    </cfRule>
  </conditionalFormatting>
  <conditionalFormatting sqref="K33:L33">
    <cfRule type="expression" dxfId="174" priority="12">
      <formula>K33&lt;(MAX($J33:J33))</formula>
    </cfRule>
  </conditionalFormatting>
  <conditionalFormatting sqref="L38">
    <cfRule type="expression" dxfId="173" priority="11">
      <formula>L38&gt;(MIN($G38:K38))</formula>
    </cfRule>
  </conditionalFormatting>
  <conditionalFormatting sqref="L37">
    <cfRule type="expression" dxfId="172" priority="10">
      <formula>L37&lt;(MAX($K37:K37))</formula>
    </cfRule>
  </conditionalFormatting>
  <conditionalFormatting sqref="I15 J19 K23 L27">
    <cfRule type="expression" dxfId="171" priority="9">
      <formula>I15&lt;$H$8</formula>
    </cfRule>
  </conditionalFormatting>
  <conditionalFormatting sqref="M16:N19">
    <cfRule type="expression" dxfId="170" priority="4">
      <formula>$J$19&lt;$H$8</formula>
    </cfRule>
  </conditionalFormatting>
  <conditionalFormatting sqref="M20:N23">
    <cfRule type="expression" dxfId="169" priority="3">
      <formula>$K$23&lt;$H$8</formula>
    </cfRule>
  </conditionalFormatting>
  <conditionalFormatting sqref="M24:N27">
    <cfRule type="expression" dxfId="168" priority="2">
      <formula>$L$27&lt;$H$8</formula>
    </cfRule>
  </conditionalFormatting>
  <conditionalFormatting sqref="M12:N15">
    <cfRule type="expression" dxfId="16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LookupData!$T$3:$T$12</xm:f>
          </x14:formula1>
          <xm:sqref>L4</xm:sqref>
        </x14:dataValidation>
        <x14:dataValidation type="list" allowBlank="1" showInputMessage="1" showErrorMessage="1">
          <x14:formula1>
            <xm:f>LookupData!$S$3:$S$69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Civil Traffic</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t="s">
        <v>155</v>
      </c>
      <c r="N12" s="128" t="s">
        <v>232</v>
      </c>
    </row>
    <row r="13" spans="1:14" ht="19.5" customHeight="1" x14ac:dyDescent="0.2">
      <c r="A13" s="118"/>
      <c r="B13" s="119"/>
      <c r="C13" s="134" t="s">
        <v>150</v>
      </c>
      <c r="D13" s="135"/>
      <c r="E13" s="52">
        <f ca="1">SUMIFS(LookupData!I$3:I$2682,LookupData!$A$3:$A$2682,$D$4,LookupData!$B$3:$B$2682,$D$8,LookupData!$C$3:$C$2682,$A12)</f>
        <v>674256.37</v>
      </c>
      <c r="F13" s="53">
        <f ca="1">SUMIFS(LookupData!J$3:J$2682,LookupData!$A$3:$A$2682,$D$4,LookupData!$B$3:$B$2682,$D$8,LookupData!$C$3:$C$2682,$A12)</f>
        <v>1021917.7</v>
      </c>
      <c r="G13" s="53">
        <f ca="1">SUMIFS(LookupData!K$3:K$2682,LookupData!$A$3:$A$2682,$D$4,LookupData!$B$3:$B$2682,$D$8,LookupData!$C$3:$C$2682,$A12)</f>
        <v>1088118.19</v>
      </c>
      <c r="H13" s="53">
        <f ca="1">SUMIFS(LookupData!L$3:L$2682,LookupData!$A$3:$A$2682,$D$4,LookupData!$B$3:$B$2682,$D$8,LookupData!$C$3:$C$2682,$A12)</f>
        <v>1114400.6599999999</v>
      </c>
      <c r="I13" s="43">
        <v>1124988.24</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1334636.7</v>
      </c>
      <c r="F14" s="55">
        <f ca="1">SUMIFS(LookupData!E$3:E$2682,LookupData!$A$3:$A$2682,$D$4,LookupData!$B$3:$B$2682,$D$8,LookupData!$C$3:$C$2682,$A12)</f>
        <v>1273091.2</v>
      </c>
      <c r="G14" s="55">
        <f ca="1">SUMIFS(LookupData!F$3:F$2682,LookupData!$A$3:$A$2682,$D$4,LookupData!$B$3:$B$2682,$D$8,LookupData!$C$3:$C$2682,$A12)</f>
        <v>1268698.2</v>
      </c>
      <c r="H14" s="55">
        <f ca="1">SUMIFS(LookupData!G$3:G$2682,LookupData!$A$3:$A$2682,$D$4,LookupData!$B$3:$B$2682,$D$8,LookupData!$C$3:$C$2682,$A12)</f>
        <v>1268382.2</v>
      </c>
      <c r="I14" s="44">
        <v>1268384.74</v>
      </c>
      <c r="J14" s="137"/>
      <c r="K14" s="137"/>
      <c r="L14" s="137"/>
      <c r="M14" s="127"/>
      <c r="N14" s="129"/>
    </row>
    <row r="15" spans="1:14" ht="19.5" customHeight="1" thickTop="1" thickBot="1" x14ac:dyDescent="0.25">
      <c r="A15" s="120"/>
      <c r="B15" s="121"/>
      <c r="C15" s="134" t="s">
        <v>152</v>
      </c>
      <c r="D15" s="135"/>
      <c r="E15" s="71">
        <f ca="1">IFERROR(IF(E14=0,1,ROUND(E13/E14,4)),0)</f>
        <v>0.50519999999999998</v>
      </c>
      <c r="F15" s="77">
        <f t="shared" ref="F15:H15" ca="1" si="0">IFERROR(IF(F14=0,1,ROUND(F13/F14,4)),0)</f>
        <v>0.80269999999999997</v>
      </c>
      <c r="G15" s="77">
        <f t="shared" ca="1" si="0"/>
        <v>0.85770000000000002</v>
      </c>
      <c r="H15" s="77">
        <f t="shared" ca="1" si="0"/>
        <v>0.87860000000000005</v>
      </c>
      <c r="I15" s="78">
        <f t="shared" ref="I15" si="1">IFERROR(IF(I14=0,1,ROUND(I13/I14,4)),0)</f>
        <v>0.88690000000000002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853729.5</v>
      </c>
      <c r="G17" s="53">
        <f ca="1">SUMIFS(LookupData!J$3:J$2682,LookupData!$A$3:$A$2682,$D$4,LookupData!$B$3:$B$2682,$D$8,LookupData!$C$3:$C$2682,$A16)</f>
        <v>1265723.8999999999</v>
      </c>
      <c r="H17" s="53">
        <f ca="1">SUMIFS(LookupData!K$3:K$2682,LookupData!$A$3:$A$2682,$D$4,LookupData!$B$3:$B$2682,$D$8,LookupData!$C$3:$C$2682,$A16)</f>
        <v>1336948.06</v>
      </c>
      <c r="I17" s="30">
        <v>1365179.91</v>
      </c>
      <c r="J17" s="43">
        <v>1384638.91</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1615893.3</v>
      </c>
      <c r="G18" s="55">
        <f ca="1">SUMIFS(LookupData!E$3:E$2682,LookupData!$A$3:$A$2682,$D$4,LookupData!$B$3:$B$2682,$D$8,LookupData!$C$3:$C$2682,$A16)</f>
        <v>1539153.25</v>
      </c>
      <c r="H18" s="55">
        <f ca="1">SUMIFS(LookupData!F$3:F$2682,LookupData!$A$3:$A$2682,$D$4,LookupData!$B$3:$B$2682,$D$8,LookupData!$C$3:$C$2682,$A16)</f>
        <v>1535430.75</v>
      </c>
      <c r="I18" s="38">
        <v>1534309.25</v>
      </c>
      <c r="J18" s="44">
        <v>1534309.25</v>
      </c>
      <c r="K18" s="151"/>
      <c r="L18" s="153"/>
      <c r="M18" s="162"/>
      <c r="N18" s="163"/>
    </row>
    <row r="19" spans="1:16" ht="20.25" customHeight="1" thickTop="1" thickBot="1" x14ac:dyDescent="0.25">
      <c r="A19" s="144"/>
      <c r="B19" s="145"/>
      <c r="C19" s="146" t="s">
        <v>152</v>
      </c>
      <c r="D19" s="147"/>
      <c r="E19" s="159"/>
      <c r="F19" s="73">
        <f ca="1">IFERROR(IF(F18=0,1,ROUND(F17/F18,4)),0)</f>
        <v>0.52829999999999999</v>
      </c>
      <c r="G19" s="75">
        <f t="shared" ref="G19:H19" ca="1" si="2">IFERROR(IF(G18=0,1,ROUND(G17/G18,4)),0)</f>
        <v>0.82240000000000002</v>
      </c>
      <c r="H19" s="75">
        <f t="shared" ca="1" si="2"/>
        <v>0.87070000000000003</v>
      </c>
      <c r="I19" s="75">
        <f t="shared" ref="I19:J19" si="3">IFERROR(IF(I18=0,1,ROUND(I17/I18,4)),0)</f>
        <v>0.88980000000000004</v>
      </c>
      <c r="J19" s="76">
        <f t="shared" si="3"/>
        <v>0.90249999999999997</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807387.95</v>
      </c>
      <c r="H21" s="53">
        <f ca="1">SUMIFS(LookupData!J$3:J$2682,LookupData!$A$3:$A$2682,$D$4,LookupData!$B$3:$B$2682,$D$8,LookupData!$C$3:$C$2682,$A20)</f>
        <v>1200553.22</v>
      </c>
      <c r="I21" s="30">
        <v>1288076.08</v>
      </c>
      <c r="J21" s="30">
        <v>1329612.32</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1603833.15</v>
      </c>
      <c r="H22" s="55">
        <f ca="1">SUMIFS(LookupData!E$3:E$2682,LookupData!$A$3:$A$2682,$D$4,LookupData!$B$3:$B$2682,$D$8,LookupData!$C$3:$C$2682,$A20)</f>
        <v>1516749.4</v>
      </c>
      <c r="I22" s="38">
        <v>1507183.65</v>
      </c>
      <c r="J22" s="38">
        <v>1507079.79</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0.50339999999999996</v>
      </c>
      <c r="H23" s="77">
        <f t="shared" ca="1" si="4"/>
        <v>0.79149999999999998</v>
      </c>
      <c r="I23" s="77">
        <f t="shared" ref="I23:K23" si="5">IFERROR(IF(I22=0,1,ROUND(I21/I22,4)),0)</f>
        <v>0.85460000000000003</v>
      </c>
      <c r="J23" s="77">
        <f t="shared" si="5"/>
        <v>0.88219999999999998</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850438.4</v>
      </c>
      <c r="I25" s="30">
        <v>1212314.53</v>
      </c>
      <c r="J25" s="30">
        <v>1321314.45</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1624530.1</v>
      </c>
      <c r="I26" s="38">
        <v>1537007.35</v>
      </c>
      <c r="J26" s="38">
        <v>1530133.35</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0.52349999999999997</v>
      </c>
      <c r="I27" s="75">
        <f t="shared" ref="I27:L27" si="7">IFERROR(IF(I26=0,1,ROUND(I25/I26,4)),0)</f>
        <v>0.78869999999999996</v>
      </c>
      <c r="J27" s="75">
        <f t="shared" si="7"/>
        <v>0.86350000000000005</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799423.83</v>
      </c>
      <c r="J29" s="30">
        <v>1181159</v>
      </c>
      <c r="K29" s="30"/>
      <c r="L29" s="43"/>
      <c r="M29" s="160"/>
      <c r="N29" s="194"/>
      <c r="O29"/>
      <c r="P29"/>
    </row>
    <row r="30" spans="1:16" ht="20.25" customHeight="1" thickBot="1" x14ac:dyDescent="0.25">
      <c r="A30" s="118"/>
      <c r="B30" s="119"/>
      <c r="C30" s="134" t="s">
        <v>151</v>
      </c>
      <c r="D30" s="135"/>
      <c r="E30" s="151"/>
      <c r="F30" s="152"/>
      <c r="G30" s="152"/>
      <c r="H30" s="153"/>
      <c r="I30" s="37">
        <v>1547621.48</v>
      </c>
      <c r="J30" s="38">
        <v>1474773.83</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0.51649999999999996</v>
      </c>
      <c r="J31" s="75">
        <f t="shared" si="8"/>
        <v>0.80089999999999995</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839065.4</v>
      </c>
      <c r="K33" s="30"/>
      <c r="L33" s="48"/>
      <c r="M33" s="184"/>
      <c r="N33" s="185"/>
      <c r="O33"/>
      <c r="P33"/>
    </row>
    <row r="34" spans="1:16" ht="20.25" customHeight="1" thickBot="1" x14ac:dyDescent="0.25">
      <c r="A34" s="142"/>
      <c r="B34" s="143"/>
      <c r="C34" s="134" t="s">
        <v>151</v>
      </c>
      <c r="D34" s="135"/>
      <c r="E34" s="151"/>
      <c r="F34" s="152"/>
      <c r="G34" s="152"/>
      <c r="H34" s="152"/>
      <c r="I34" s="153"/>
      <c r="J34" s="37">
        <v>1549893.32</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0.54139999999999999</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8AGHVT1WCgLql6YxTM5X09+YUHFL0146IT6ZLrw54nDeOhN1ZyrNXTWdk3BPi0W+vUn+15abjlNpYl7J+S4fEw==" saltValue="vsEV149oL3YNXUI5tE0q2w=="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M16:N19">
    <cfRule type="expression" dxfId="18" priority="19">
      <formula>$J$19&lt;$H$8</formula>
    </cfRule>
  </conditionalFormatting>
  <conditionalFormatting sqref="M20:N23">
    <cfRule type="expression" dxfId="17" priority="18">
      <formula>$K$23&lt;$H$8</formula>
    </cfRule>
  </conditionalFormatting>
  <conditionalFormatting sqref="M24:N27">
    <cfRule type="expression" dxfId="16" priority="17">
      <formula>$L$27&lt;$H$8</formula>
    </cfRule>
  </conditionalFormatting>
  <conditionalFormatting sqref="F14:I14">
    <cfRule type="expression" dxfId="15" priority="16">
      <formula>F14&gt;(MIN($E14:E14))</formula>
    </cfRule>
  </conditionalFormatting>
  <conditionalFormatting sqref="F13:I13">
    <cfRule type="expression" dxfId="14" priority="15">
      <formula>F13&lt;(MAX($E13:E13))</formula>
    </cfRule>
  </conditionalFormatting>
  <conditionalFormatting sqref="G17:J17">
    <cfRule type="expression" dxfId="13" priority="14">
      <formula>G17&lt;(MAX($F17:F17))</formula>
    </cfRule>
  </conditionalFormatting>
  <conditionalFormatting sqref="G18:J18">
    <cfRule type="expression" dxfId="12" priority="13">
      <formula>G18&gt;(MIN($F18:F18))</formula>
    </cfRule>
  </conditionalFormatting>
  <conditionalFormatting sqref="H22:K22">
    <cfRule type="expression" dxfId="11" priority="12">
      <formula>H22&gt;(MIN($G22:G22))</formula>
    </cfRule>
  </conditionalFormatting>
  <conditionalFormatting sqref="H21:K21">
    <cfRule type="expression" dxfId="10" priority="11">
      <formula>H21&lt;(MAX($G21:G21))</formula>
    </cfRule>
  </conditionalFormatting>
  <conditionalFormatting sqref="I26:L26">
    <cfRule type="expression" dxfId="9" priority="10">
      <formula>I26&gt;(MIN($H26:H26))</formula>
    </cfRule>
  </conditionalFormatting>
  <conditionalFormatting sqref="I25:L25">
    <cfRule type="expression" dxfId="8" priority="9">
      <formula>I25&lt;(MAX($H25:H25))</formula>
    </cfRule>
  </conditionalFormatting>
  <conditionalFormatting sqref="J30:L30">
    <cfRule type="expression" dxfId="7" priority="8">
      <formula>J30&gt;(MIN($I30:I30))</formula>
    </cfRule>
  </conditionalFormatting>
  <conditionalFormatting sqref="J29:L29">
    <cfRule type="expression" dxfId="6" priority="7">
      <formula>J29&lt;(MAX($I29:I29))</formula>
    </cfRule>
  </conditionalFormatting>
  <conditionalFormatting sqref="K34:L34">
    <cfRule type="expression" dxfId="5" priority="6">
      <formula>K34&gt;(MIN($J34:J34))</formula>
    </cfRule>
  </conditionalFormatting>
  <conditionalFormatting sqref="K33:L33">
    <cfRule type="expression" dxfId="4" priority="5">
      <formula>K33&lt;(MAX($J33:J33))</formula>
    </cfRule>
  </conditionalFormatting>
  <conditionalFormatting sqref="L38">
    <cfRule type="expression" dxfId="3" priority="4">
      <formula>L38&gt;(MIN($G38:K38))</formula>
    </cfRule>
  </conditionalFormatting>
  <conditionalFormatting sqref="L37">
    <cfRule type="expression" dxfId="2" priority="3">
      <formula>L37&lt;(MAX($K37:K37))</formula>
    </cfRule>
  </conditionalFormatting>
  <conditionalFormatting sqref="I15 J19 K23 L27">
    <cfRule type="expression" dxfId="1" priority="2">
      <formula>I15&lt;$H$8</formula>
    </cfRule>
  </conditionalFormatting>
  <conditionalFormatting sqref="M12:N15">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workbookViewId="0">
      <pane ySplit="2" topLeftCell="A2344" activePane="bottomLeft" state="frozen"/>
      <selection pane="bottomLeft" activeCell="D2363" sqref="D2363"/>
    </sheetView>
  </sheetViews>
  <sheetFormatPr defaultColWidth="8.85546875" defaultRowHeight="12.75" x14ac:dyDescent="0.2"/>
  <cols>
    <col min="1" max="1" width="11.42578125" bestFit="1" customWidth="1"/>
    <col min="2" max="2" width="18.42578125" bestFit="1" customWidth="1"/>
    <col min="3" max="3" width="12.42578125" bestFit="1" customWidth="1"/>
    <col min="4" max="4" width="14.42578125" style="110" bestFit="1" customWidth="1"/>
    <col min="5" max="5" width="15.140625" style="110" bestFit="1" customWidth="1"/>
    <col min="6" max="7" width="14.7109375" style="110" bestFit="1" customWidth="1"/>
    <col min="8" max="8" width="14" style="110" bestFit="1" customWidth="1"/>
    <col min="9" max="9" width="12.85546875" style="110" bestFit="1" customWidth="1"/>
    <col min="10" max="13" width="14" style="110" bestFit="1" customWidth="1"/>
    <col min="15" max="15" width="6.42578125" customWidth="1"/>
    <col min="16" max="16" width="5.7109375" customWidth="1"/>
    <col min="17" max="19" width="11" bestFit="1" customWidth="1"/>
    <col min="20" max="20" width="7.42578125" bestFit="1" customWidth="1"/>
    <col min="21" max="21" width="12.85546875" bestFit="1" customWidth="1"/>
    <col min="23" max="23" width="10.85546875" bestFit="1" customWidth="1"/>
    <col min="24" max="24" width="13.28515625" bestFit="1" customWidth="1"/>
    <col min="25" max="25" width="17.28515625" bestFit="1" customWidth="1"/>
    <col min="26" max="26" width="18.42578125" bestFit="1" customWidth="1"/>
    <col min="27" max="27" width="8.140625" bestFit="1" customWidth="1"/>
    <col min="28" max="28" width="7.85546875" bestFit="1" customWidth="1"/>
  </cols>
  <sheetData>
    <row r="2" spans="1:28" ht="40.5" x14ac:dyDescent="0.25">
      <c r="A2" s="5" t="s">
        <v>170</v>
      </c>
      <c r="B2" s="5" t="s">
        <v>171</v>
      </c>
      <c r="C2" s="5" t="s">
        <v>172</v>
      </c>
      <c r="D2" s="109" t="s">
        <v>173</v>
      </c>
      <c r="E2" s="109" t="s">
        <v>174</v>
      </c>
      <c r="F2" s="109" t="s">
        <v>175</v>
      </c>
      <c r="G2" s="109" t="s">
        <v>176</v>
      </c>
      <c r="H2" s="109" t="s">
        <v>177</v>
      </c>
      <c r="I2" s="109" t="s">
        <v>178</v>
      </c>
      <c r="J2" s="109" t="s">
        <v>179</v>
      </c>
      <c r="K2" s="109" t="s">
        <v>180</v>
      </c>
      <c r="L2" s="109" t="s">
        <v>181</v>
      </c>
      <c r="M2" s="109" t="s">
        <v>182</v>
      </c>
      <c r="O2" s="64" t="s">
        <v>71</v>
      </c>
      <c r="P2" s="64" t="s">
        <v>72</v>
      </c>
      <c r="Q2" s="64" t="s">
        <v>73</v>
      </c>
      <c r="R2" s="64" t="s">
        <v>74</v>
      </c>
      <c r="S2" s="64" t="s">
        <v>75</v>
      </c>
      <c r="T2" s="5" t="s">
        <v>79</v>
      </c>
      <c r="U2" s="5" t="s">
        <v>130</v>
      </c>
      <c r="V2" s="5" t="s">
        <v>127</v>
      </c>
      <c r="W2" s="5" t="s">
        <v>128</v>
      </c>
      <c r="X2" s="5" t="s">
        <v>129</v>
      </c>
      <c r="Y2" s="5" t="s">
        <v>144</v>
      </c>
      <c r="Z2" s="5" t="s">
        <v>138</v>
      </c>
      <c r="AA2" s="5" t="s">
        <v>139</v>
      </c>
      <c r="AB2" s="5" t="s">
        <v>154</v>
      </c>
    </row>
    <row r="3" spans="1:28" ht="13.5" x14ac:dyDescent="0.25">
      <c r="A3" t="s">
        <v>2</v>
      </c>
      <c r="B3" t="s">
        <v>104</v>
      </c>
      <c r="C3" t="s">
        <v>220</v>
      </c>
      <c r="D3" s="110">
        <v>677982.84</v>
      </c>
      <c r="E3" s="110">
        <v>671354.89</v>
      </c>
      <c r="F3" s="110">
        <v>669309.89</v>
      </c>
      <c r="G3" s="110">
        <v>666404.86</v>
      </c>
      <c r="I3" s="110">
        <v>85824.41</v>
      </c>
      <c r="J3" s="110">
        <v>96321.58</v>
      </c>
      <c r="K3" s="110">
        <v>106136.27</v>
      </c>
      <c r="L3" s="110">
        <v>114048.94</v>
      </c>
      <c r="O3" s="65">
        <v>1</v>
      </c>
      <c r="P3" s="65">
        <v>1</v>
      </c>
      <c r="Q3" s="65" t="s">
        <v>2</v>
      </c>
      <c r="R3" s="65" t="s">
        <v>2</v>
      </c>
      <c r="S3" s="65" t="s">
        <v>2</v>
      </c>
      <c r="T3" s="2">
        <v>1</v>
      </c>
      <c r="U3" s="2" t="s">
        <v>131</v>
      </c>
      <c r="V3" s="2">
        <v>1920</v>
      </c>
      <c r="W3" s="2" t="str">
        <f>"CGE CQ1-"&amp;RIGHT(V$3,2)</f>
        <v>CGE CQ1-20</v>
      </c>
      <c r="X3" s="2" t="str">
        <f>"RPE 12/31/"&amp;LEFT(V$3-101,2)</f>
        <v>RPE 12/31/18</v>
      </c>
      <c r="Y3" t="str">
        <f>"10/01/"&amp;LEFT(V3-101,2)&amp;" - 12/31/"&amp;LEFT(V3-101,2)</f>
        <v>10/01/18 - 12/31/18</v>
      </c>
      <c r="Z3" t="s">
        <v>104</v>
      </c>
      <c r="AA3" s="33">
        <v>0.09</v>
      </c>
      <c r="AB3" s="56" t="s">
        <v>155</v>
      </c>
    </row>
    <row r="4" spans="1:28" ht="13.5" x14ac:dyDescent="0.25">
      <c r="A4" t="s">
        <v>2</v>
      </c>
      <c r="B4" t="s">
        <v>104</v>
      </c>
      <c r="C4" t="s">
        <v>221</v>
      </c>
      <c r="D4" s="110">
        <v>659483.36</v>
      </c>
      <c r="E4" s="110">
        <v>650347.79</v>
      </c>
      <c r="F4" s="110">
        <v>647725.80000000005</v>
      </c>
      <c r="I4" s="110">
        <v>149900.93</v>
      </c>
      <c r="J4" s="110">
        <v>157547.71</v>
      </c>
      <c r="K4" s="110">
        <v>166416.81</v>
      </c>
      <c r="O4" s="65">
        <v>2</v>
      </c>
      <c r="P4" s="65">
        <v>1</v>
      </c>
      <c r="Q4" s="65" t="s">
        <v>3</v>
      </c>
      <c r="R4" s="65" t="s">
        <v>3</v>
      </c>
      <c r="S4" s="65" t="s">
        <v>3</v>
      </c>
      <c r="T4" s="2">
        <v>2</v>
      </c>
      <c r="U4" s="2" t="s">
        <v>132</v>
      </c>
      <c r="V4" s="2"/>
      <c r="W4" s="2" t="str">
        <f>"CGE CQ2-"&amp;RIGHT(V$3,2)</f>
        <v>CGE CQ2-20</v>
      </c>
      <c r="X4" s="2" t="str">
        <f>"RPE 03/31/"&amp;LEFT(V$3,2)</f>
        <v>RPE 03/31/19</v>
      </c>
      <c r="Y4" t="str">
        <f>"01/01/"&amp;LEFT(V3,2)&amp;" - 03/31/"&amp;LEFT(V3,2)</f>
        <v>01/01/19 - 03/31/19</v>
      </c>
      <c r="Z4" t="s">
        <v>140</v>
      </c>
      <c r="AA4" s="34">
        <v>0</v>
      </c>
      <c r="AB4" s="56" t="s">
        <v>156</v>
      </c>
    </row>
    <row r="5" spans="1:28" ht="13.5" x14ac:dyDescent="0.25">
      <c r="A5" t="s">
        <v>2</v>
      </c>
      <c r="B5" t="s">
        <v>104</v>
      </c>
      <c r="C5" t="s">
        <v>222</v>
      </c>
      <c r="D5" s="110">
        <v>888803.81</v>
      </c>
      <c r="E5" s="110">
        <v>883135.38</v>
      </c>
      <c r="I5" s="110">
        <v>58783.01</v>
      </c>
      <c r="J5" s="110">
        <v>67029.83</v>
      </c>
      <c r="O5" s="65">
        <v>3</v>
      </c>
      <c r="P5" s="65">
        <v>1</v>
      </c>
      <c r="Q5" s="65" t="s">
        <v>4</v>
      </c>
      <c r="R5" s="65" t="s">
        <v>4</v>
      </c>
      <c r="S5" s="65" t="s">
        <v>4</v>
      </c>
      <c r="T5" s="2">
        <v>3</v>
      </c>
      <c r="U5" s="2" t="s">
        <v>133</v>
      </c>
      <c r="V5" s="2"/>
      <c r="W5" s="2" t="str">
        <f>"CGE CQ3-"&amp;RIGHT(V$3,2)</f>
        <v>CGE CQ3-20</v>
      </c>
      <c r="X5" s="2" t="str">
        <f>"RPE 06/30/"&amp;LEFT(V$3,2)</f>
        <v>RPE 06/30/19</v>
      </c>
      <c r="Y5" t="str">
        <f>"04/01/"&amp;LEFT(V3,2)&amp;" - 06/30/"&amp;LEFT(V3,2)</f>
        <v>04/01/19 - 06/30/19</v>
      </c>
      <c r="Z5" t="s">
        <v>105</v>
      </c>
      <c r="AA5" s="34">
        <v>0.4</v>
      </c>
    </row>
    <row r="6" spans="1:28" ht="13.5" x14ac:dyDescent="0.25">
      <c r="A6" t="s">
        <v>2</v>
      </c>
      <c r="B6" t="s">
        <v>104</v>
      </c>
      <c r="C6" t="s">
        <v>223</v>
      </c>
      <c r="D6" s="110">
        <v>1678450.92</v>
      </c>
      <c r="I6" s="110">
        <v>131906.93</v>
      </c>
      <c r="O6" s="65">
        <v>4</v>
      </c>
      <c r="P6" s="65">
        <v>1</v>
      </c>
      <c r="Q6" s="65" t="s">
        <v>5</v>
      </c>
      <c r="R6" s="65" t="s">
        <v>5</v>
      </c>
      <c r="S6" s="65" t="s">
        <v>5</v>
      </c>
      <c r="T6" s="2">
        <v>4</v>
      </c>
      <c r="U6" s="2" t="s">
        <v>134</v>
      </c>
      <c r="V6" s="2"/>
      <c r="W6" s="2" t="str">
        <f>"CGE CQ4-"&amp;RIGHT(V$3,2)</f>
        <v>CGE CQ4-20</v>
      </c>
      <c r="X6" s="2" t="str">
        <f>"RPE 09/30/"&amp;LEFT(V$3,2)</f>
        <v>RPE 09/30/19</v>
      </c>
      <c r="Y6" t="str">
        <f>"07/01/"&amp;LEFT(V3,2)&amp;" - 09/30/"&amp;LEFT(V3,2)</f>
        <v>07/01/19 - 09/30/19</v>
      </c>
      <c r="Z6" t="s">
        <v>111</v>
      </c>
      <c r="AA6" s="34">
        <v>0.09</v>
      </c>
    </row>
    <row r="7" spans="1:28" ht="13.5" x14ac:dyDescent="0.25">
      <c r="A7" t="s">
        <v>2</v>
      </c>
      <c r="B7" t="s">
        <v>140</v>
      </c>
      <c r="C7" t="s">
        <v>220</v>
      </c>
      <c r="D7" s="110">
        <v>213527</v>
      </c>
      <c r="E7" s="110">
        <v>213477</v>
      </c>
      <c r="F7" s="110">
        <v>213477</v>
      </c>
      <c r="G7" s="110">
        <v>213477</v>
      </c>
      <c r="I7" s="110">
        <v>25</v>
      </c>
      <c r="J7" s="110">
        <v>25</v>
      </c>
      <c r="K7" s="110">
        <v>25</v>
      </c>
      <c r="L7" s="110">
        <v>51.92</v>
      </c>
      <c r="O7" s="65">
        <v>5</v>
      </c>
      <c r="P7" s="65">
        <v>1</v>
      </c>
      <c r="Q7" s="65" t="s">
        <v>6</v>
      </c>
      <c r="R7" s="65" t="s">
        <v>6</v>
      </c>
      <c r="S7" s="65" t="s">
        <v>6</v>
      </c>
      <c r="T7" s="2">
        <v>5</v>
      </c>
      <c r="U7" s="2"/>
      <c r="V7" s="2"/>
      <c r="W7" s="2" t="str">
        <f>"CGE CQ1-"&amp;RIGHT(V$3+101,2)</f>
        <v>CGE CQ1-21</v>
      </c>
      <c r="X7" s="2" t="str">
        <f>"RPE 12/31/"&amp;LEFT(V$3,2)</f>
        <v>RPE 12/31/19</v>
      </c>
      <c r="Y7" t="str">
        <f>"10/01/"&amp;LEFT(V3,2)&amp;" - 12/31/"&amp;LEFT(V3,2)</f>
        <v>10/01/19 - 12/31/19</v>
      </c>
      <c r="Z7" t="s">
        <v>109</v>
      </c>
      <c r="AA7" s="34">
        <v>0.4</v>
      </c>
    </row>
    <row r="8" spans="1:28" ht="13.5" x14ac:dyDescent="0.25">
      <c r="A8" t="s">
        <v>2</v>
      </c>
      <c r="B8" t="s">
        <v>140</v>
      </c>
      <c r="C8" t="s">
        <v>221</v>
      </c>
      <c r="D8" s="110">
        <v>159849</v>
      </c>
      <c r="E8" s="110">
        <v>159849</v>
      </c>
      <c r="F8" s="110">
        <v>159849</v>
      </c>
      <c r="I8" s="110">
        <v>15</v>
      </c>
      <c r="J8" s="110">
        <v>15</v>
      </c>
      <c r="K8" s="110">
        <v>315.14999999999998</v>
      </c>
      <c r="O8" s="65">
        <v>6</v>
      </c>
      <c r="P8" s="65">
        <v>1</v>
      </c>
      <c r="Q8" s="65" t="s">
        <v>7</v>
      </c>
      <c r="R8" s="65" t="s">
        <v>7</v>
      </c>
      <c r="S8" s="65" t="s">
        <v>7</v>
      </c>
      <c r="T8" s="2">
        <v>6</v>
      </c>
      <c r="U8" s="2"/>
      <c r="V8" s="2"/>
      <c r="W8" s="2" t="str">
        <f>"CGE CQ2-"&amp;RIGHT(V$3+101,2)</f>
        <v>CGE CQ2-21</v>
      </c>
      <c r="X8" s="2" t="str">
        <f>"RPE 03/31/"&amp;RIGHT(V$3,2)</f>
        <v>RPE 03/31/20</v>
      </c>
      <c r="Y8" t="str">
        <f>"01/01/"&amp;LEFT(V3+101,2)&amp;" - 03/31/"&amp;LEFT(V3+101,2)</f>
        <v>01/01/20 - 03/31/20</v>
      </c>
      <c r="Z8" t="s">
        <v>106</v>
      </c>
      <c r="AA8" s="34">
        <v>0.9</v>
      </c>
    </row>
    <row r="9" spans="1:28" ht="13.5" x14ac:dyDescent="0.25">
      <c r="A9" t="s">
        <v>2</v>
      </c>
      <c r="B9" t="s">
        <v>140</v>
      </c>
      <c r="C9" t="s">
        <v>222</v>
      </c>
      <c r="D9" s="110">
        <v>476573.5</v>
      </c>
      <c r="E9" s="110">
        <v>476573.5</v>
      </c>
      <c r="I9" s="110">
        <v>15</v>
      </c>
      <c r="J9" s="110">
        <v>15</v>
      </c>
      <c r="O9" s="65">
        <v>7</v>
      </c>
      <c r="P9" s="65">
        <v>1</v>
      </c>
      <c r="Q9" s="65" t="s">
        <v>8</v>
      </c>
      <c r="R9" s="65" t="s">
        <v>8</v>
      </c>
      <c r="S9" s="65" t="s">
        <v>8</v>
      </c>
      <c r="T9" s="2">
        <v>7</v>
      </c>
      <c r="U9" s="2"/>
      <c r="V9" s="2"/>
      <c r="W9" s="2" t="str">
        <f>"CGE CQ3-"&amp;RIGHT(V$3+101,2)</f>
        <v>CGE CQ3-21</v>
      </c>
      <c r="X9" s="2" t="str">
        <f>"RPE 06/30/"&amp;RIGHT(V$3,2)</f>
        <v>RPE 06/30/20</v>
      </c>
      <c r="Y9" t="str">
        <f>"04/01/"&amp;LEFT(V3+101,2)&amp;" - 06/30/"&amp;LEFT(V3+101,2)</f>
        <v>04/01/20 - 06/30/20</v>
      </c>
      <c r="Z9" t="s">
        <v>107</v>
      </c>
      <c r="AA9" s="34">
        <v>0.9</v>
      </c>
    </row>
    <row r="10" spans="1:28" ht="13.5" x14ac:dyDescent="0.25">
      <c r="A10" t="s">
        <v>2</v>
      </c>
      <c r="B10" t="s">
        <v>140</v>
      </c>
      <c r="C10" t="s">
        <v>223</v>
      </c>
      <c r="D10" s="110">
        <v>1183320</v>
      </c>
      <c r="I10" s="110">
        <v>16</v>
      </c>
      <c r="O10" s="65">
        <v>8</v>
      </c>
      <c r="P10" s="65">
        <v>1</v>
      </c>
      <c r="Q10" s="65" t="s">
        <v>9</v>
      </c>
      <c r="R10" s="65" t="s">
        <v>9</v>
      </c>
      <c r="S10" s="65" t="s">
        <v>9</v>
      </c>
      <c r="T10" s="2">
        <v>8</v>
      </c>
      <c r="U10" s="2"/>
      <c r="V10" s="2"/>
      <c r="W10" s="2" t="str">
        <f>"CGE CQ4-"&amp;RIGHT(V$3+101,2)</f>
        <v>CGE CQ4-21</v>
      </c>
      <c r="X10" s="2" t="str">
        <f>"RPE 09/30/"&amp;RIGHT(V$3,2)</f>
        <v>RPE 09/30/20</v>
      </c>
      <c r="Y10" t="str">
        <f>"07/01/"&amp;LEFT(V3+101,2)&amp;" - 09/30/"&amp;LEFT(V3+101,2)</f>
        <v>07/01/20 - 09/30/20</v>
      </c>
      <c r="Z10" t="s">
        <v>110</v>
      </c>
      <c r="AA10" s="34">
        <v>0.9</v>
      </c>
    </row>
    <row r="11" spans="1:28" ht="13.5" x14ac:dyDescent="0.25">
      <c r="A11" t="s">
        <v>2</v>
      </c>
      <c r="B11" t="s">
        <v>105</v>
      </c>
      <c r="C11" t="s">
        <v>220</v>
      </c>
      <c r="D11" s="110">
        <v>135330.46</v>
      </c>
      <c r="E11" s="110">
        <v>136536.38</v>
      </c>
      <c r="F11" s="110">
        <v>134925.88</v>
      </c>
      <c r="G11" s="110">
        <v>133086.88</v>
      </c>
      <c r="I11" s="110">
        <v>25149.62</v>
      </c>
      <c r="J11" s="110">
        <v>39327.85</v>
      </c>
      <c r="K11" s="110">
        <v>46704.92</v>
      </c>
      <c r="L11" s="110">
        <v>54527.24</v>
      </c>
      <c r="O11" s="65">
        <v>9</v>
      </c>
      <c r="P11" s="65">
        <v>1</v>
      </c>
      <c r="Q11" s="65" t="s">
        <v>10</v>
      </c>
      <c r="R11" s="65" t="s">
        <v>10</v>
      </c>
      <c r="S11" s="65" t="s">
        <v>10</v>
      </c>
      <c r="T11" s="2">
        <v>9</v>
      </c>
      <c r="U11" s="2"/>
      <c r="V11" s="2"/>
      <c r="W11" s="2"/>
      <c r="X11" s="2"/>
      <c r="Z11" t="s">
        <v>108</v>
      </c>
      <c r="AA11" s="34">
        <v>0.9</v>
      </c>
    </row>
    <row r="12" spans="1:28" ht="13.5" x14ac:dyDescent="0.25">
      <c r="A12" t="s">
        <v>2</v>
      </c>
      <c r="B12" t="s">
        <v>105</v>
      </c>
      <c r="C12" t="s">
        <v>221</v>
      </c>
      <c r="D12" s="110">
        <v>163323.79999999999</v>
      </c>
      <c r="E12" s="110">
        <v>160539.79999999999</v>
      </c>
      <c r="F12" s="110">
        <v>158669.79999999999</v>
      </c>
      <c r="I12" s="110">
        <v>43835.65</v>
      </c>
      <c r="J12" s="110">
        <v>57654.48</v>
      </c>
      <c r="K12" s="110">
        <v>64286.97</v>
      </c>
      <c r="O12" s="65">
        <v>10</v>
      </c>
      <c r="P12" s="65">
        <v>1</v>
      </c>
      <c r="Q12" s="65" t="s">
        <v>11</v>
      </c>
      <c r="R12" s="65" t="s">
        <v>11</v>
      </c>
      <c r="S12" s="65" t="s">
        <v>11</v>
      </c>
      <c r="T12" s="2">
        <v>10</v>
      </c>
      <c r="U12" s="2"/>
      <c r="V12" s="2"/>
      <c r="W12" s="2"/>
      <c r="X12" s="2"/>
      <c r="Z12" t="s">
        <v>70</v>
      </c>
      <c r="AA12" s="34">
        <v>0.75</v>
      </c>
    </row>
    <row r="13" spans="1:28" ht="13.5" x14ac:dyDescent="0.25">
      <c r="A13" t="s">
        <v>2</v>
      </c>
      <c r="B13" t="s">
        <v>105</v>
      </c>
      <c r="C13" t="s">
        <v>222</v>
      </c>
      <c r="D13" s="110">
        <v>136586.54</v>
      </c>
      <c r="E13" s="110">
        <v>133100.19</v>
      </c>
      <c r="I13" s="110">
        <v>27352.84</v>
      </c>
      <c r="J13" s="110">
        <v>40246.949999999997</v>
      </c>
      <c r="O13" s="65">
        <v>11</v>
      </c>
      <c r="P13" s="65">
        <v>1</v>
      </c>
      <c r="Q13" s="65" t="s">
        <v>12</v>
      </c>
      <c r="R13" s="65" t="s">
        <v>12</v>
      </c>
      <c r="S13" s="65" t="s">
        <v>12</v>
      </c>
      <c r="T13" s="2"/>
      <c r="U13" s="2"/>
      <c r="V13" s="2"/>
      <c r="W13" s="2"/>
      <c r="X13" s="2"/>
    </row>
    <row r="14" spans="1:28" ht="13.5" x14ac:dyDescent="0.25">
      <c r="A14" t="s">
        <v>2</v>
      </c>
      <c r="B14" t="s">
        <v>105</v>
      </c>
      <c r="C14" t="s">
        <v>223</v>
      </c>
      <c r="D14" s="110">
        <v>131756.64000000001</v>
      </c>
      <c r="I14" s="110">
        <v>26984.14</v>
      </c>
      <c r="O14" s="65">
        <v>12</v>
      </c>
      <c r="P14" s="65">
        <v>1</v>
      </c>
      <c r="Q14" s="65" t="s">
        <v>13</v>
      </c>
      <c r="R14" s="65" t="s">
        <v>13</v>
      </c>
      <c r="S14" s="65" t="s">
        <v>13</v>
      </c>
      <c r="T14" s="2"/>
      <c r="U14" s="2"/>
      <c r="V14" s="2"/>
      <c r="W14" s="2"/>
      <c r="X14" s="2"/>
    </row>
    <row r="15" spans="1:28" ht="13.5" x14ac:dyDescent="0.25">
      <c r="A15" t="s">
        <v>2</v>
      </c>
      <c r="B15" t="s">
        <v>111</v>
      </c>
      <c r="C15" t="s">
        <v>220</v>
      </c>
      <c r="D15" s="110">
        <v>26318.5</v>
      </c>
      <c r="E15" s="110">
        <v>25968.5</v>
      </c>
      <c r="F15" s="110">
        <v>25618.5</v>
      </c>
      <c r="G15" s="110">
        <v>25098.5</v>
      </c>
      <c r="I15" s="110">
        <v>395</v>
      </c>
      <c r="J15" s="110">
        <v>1045.5</v>
      </c>
      <c r="K15" s="110">
        <v>1345.5</v>
      </c>
      <c r="L15" s="110">
        <v>1495</v>
      </c>
      <c r="O15" s="65">
        <v>14</v>
      </c>
      <c r="P15" s="65">
        <v>1</v>
      </c>
      <c r="Q15" s="65" t="s">
        <v>218</v>
      </c>
      <c r="R15" s="65" t="s">
        <v>218</v>
      </c>
      <c r="S15" s="65" t="s">
        <v>217</v>
      </c>
      <c r="T15" s="2"/>
      <c r="U15" s="2"/>
      <c r="V15" s="2"/>
      <c r="W15" s="2"/>
      <c r="X15" s="2"/>
    </row>
    <row r="16" spans="1:28" ht="13.5" x14ac:dyDescent="0.25">
      <c r="A16" t="s">
        <v>2</v>
      </c>
      <c r="B16" t="s">
        <v>111</v>
      </c>
      <c r="C16" t="s">
        <v>221</v>
      </c>
      <c r="D16" s="110">
        <v>38152</v>
      </c>
      <c r="E16" s="110">
        <v>37552</v>
      </c>
      <c r="F16" s="110">
        <v>37302</v>
      </c>
      <c r="I16" s="110">
        <v>262</v>
      </c>
      <c r="J16" s="110">
        <v>262</v>
      </c>
      <c r="K16" s="110">
        <v>312</v>
      </c>
      <c r="O16" s="65">
        <v>15</v>
      </c>
      <c r="P16" s="65">
        <v>1</v>
      </c>
      <c r="Q16" s="65" t="s">
        <v>15</v>
      </c>
      <c r="R16" s="65" t="s">
        <v>15</v>
      </c>
      <c r="S16" s="65" t="s">
        <v>15</v>
      </c>
      <c r="T16" s="2"/>
      <c r="U16" s="2"/>
      <c r="V16" s="2"/>
      <c r="W16" s="2"/>
      <c r="X16" s="2"/>
    </row>
    <row r="17" spans="1:24" ht="13.5" x14ac:dyDescent="0.25">
      <c r="A17" t="s">
        <v>2</v>
      </c>
      <c r="B17" t="s">
        <v>111</v>
      </c>
      <c r="C17" t="s">
        <v>222</v>
      </c>
      <c r="D17" s="110">
        <v>20407.79</v>
      </c>
      <c r="E17" s="110">
        <v>20257.79</v>
      </c>
      <c r="I17" s="110">
        <v>274.79000000000002</v>
      </c>
      <c r="J17" s="110">
        <v>474.79</v>
      </c>
      <c r="O17" s="65">
        <v>16</v>
      </c>
      <c r="P17" s="65">
        <v>1</v>
      </c>
      <c r="Q17" s="65" t="s">
        <v>16</v>
      </c>
      <c r="R17" s="65" t="s">
        <v>16</v>
      </c>
      <c r="S17" s="65" t="s">
        <v>16</v>
      </c>
      <c r="T17" s="2"/>
      <c r="U17" s="2"/>
      <c r="V17" s="2"/>
      <c r="W17" s="2"/>
      <c r="X17" s="2"/>
    </row>
    <row r="18" spans="1:24" ht="13.5" x14ac:dyDescent="0.25">
      <c r="A18" t="s">
        <v>2</v>
      </c>
      <c r="B18" t="s">
        <v>111</v>
      </c>
      <c r="C18" t="s">
        <v>223</v>
      </c>
      <c r="D18" s="110">
        <v>19723</v>
      </c>
      <c r="I18" s="110">
        <v>523</v>
      </c>
      <c r="O18" s="65">
        <v>17</v>
      </c>
      <c r="P18" s="65">
        <v>1</v>
      </c>
      <c r="Q18" s="65" t="s">
        <v>17</v>
      </c>
      <c r="R18" s="65" t="s">
        <v>17</v>
      </c>
      <c r="S18" s="65" t="s">
        <v>17</v>
      </c>
    </row>
    <row r="19" spans="1:24" ht="13.5" x14ac:dyDescent="0.25">
      <c r="A19" t="s">
        <v>2</v>
      </c>
      <c r="B19" t="s">
        <v>109</v>
      </c>
      <c r="C19" t="s">
        <v>220</v>
      </c>
      <c r="D19" s="110">
        <v>219251.29</v>
      </c>
      <c r="E19" s="110">
        <v>221059.29</v>
      </c>
      <c r="F19" s="110">
        <v>218626.29</v>
      </c>
      <c r="G19" s="110">
        <v>219719.29</v>
      </c>
      <c r="I19" s="110">
        <v>62167.63</v>
      </c>
      <c r="J19" s="110">
        <v>85614.38</v>
      </c>
      <c r="K19" s="110">
        <v>107273.11</v>
      </c>
      <c r="L19" s="110">
        <v>130766.62</v>
      </c>
      <c r="O19" s="65">
        <v>18</v>
      </c>
      <c r="P19" s="65">
        <v>1</v>
      </c>
      <c r="Q19" s="65" t="s">
        <v>18</v>
      </c>
      <c r="R19" s="65" t="s">
        <v>18</v>
      </c>
      <c r="S19" s="65" t="s">
        <v>18</v>
      </c>
    </row>
    <row r="20" spans="1:24" ht="13.5" x14ac:dyDescent="0.25">
      <c r="A20" t="s">
        <v>2</v>
      </c>
      <c r="B20" t="s">
        <v>109</v>
      </c>
      <c r="C20" t="s">
        <v>221</v>
      </c>
      <c r="D20" s="110">
        <v>180647.64</v>
      </c>
      <c r="E20" s="110">
        <v>180187.64</v>
      </c>
      <c r="F20" s="110">
        <v>177614.64</v>
      </c>
      <c r="I20" s="110">
        <v>47512.6</v>
      </c>
      <c r="J20" s="110">
        <v>68793.69</v>
      </c>
      <c r="K20" s="110">
        <v>80750.84</v>
      </c>
      <c r="O20" s="65">
        <v>19</v>
      </c>
      <c r="P20" s="65">
        <v>1</v>
      </c>
      <c r="Q20" s="65" t="s">
        <v>19</v>
      </c>
      <c r="R20" s="65" t="s">
        <v>19</v>
      </c>
      <c r="S20" s="65" t="s">
        <v>19</v>
      </c>
    </row>
    <row r="21" spans="1:24" ht="13.5" x14ac:dyDescent="0.25">
      <c r="A21" t="s">
        <v>2</v>
      </c>
      <c r="B21" t="s">
        <v>109</v>
      </c>
      <c r="C21" t="s">
        <v>222</v>
      </c>
      <c r="D21" s="110">
        <v>178324.22</v>
      </c>
      <c r="E21" s="110">
        <v>175822.57</v>
      </c>
      <c r="I21" s="110">
        <v>50849.52</v>
      </c>
      <c r="J21" s="110">
        <v>72031.289999999994</v>
      </c>
      <c r="O21" s="65">
        <v>20</v>
      </c>
      <c r="P21" s="65">
        <v>1</v>
      </c>
      <c r="Q21" s="65" t="s">
        <v>20</v>
      </c>
      <c r="R21" s="65" t="s">
        <v>20</v>
      </c>
      <c r="S21" s="65" t="s">
        <v>20</v>
      </c>
    </row>
    <row r="22" spans="1:24" ht="13.5" x14ac:dyDescent="0.25">
      <c r="A22" t="s">
        <v>2</v>
      </c>
      <c r="B22" t="s">
        <v>109</v>
      </c>
      <c r="C22" t="s">
        <v>223</v>
      </c>
      <c r="D22" s="110">
        <v>181101.81</v>
      </c>
      <c r="I22" s="110">
        <v>55984.959999999999</v>
      </c>
      <c r="O22" s="65">
        <v>21</v>
      </c>
      <c r="P22" s="65">
        <v>1</v>
      </c>
      <c r="Q22" s="65" t="s">
        <v>21</v>
      </c>
      <c r="R22" s="65" t="s">
        <v>21</v>
      </c>
      <c r="S22" s="65" t="s">
        <v>21</v>
      </c>
    </row>
    <row r="23" spans="1:24" ht="13.5" x14ac:dyDescent="0.25">
      <c r="A23" t="s">
        <v>2</v>
      </c>
      <c r="B23" t="s">
        <v>106</v>
      </c>
      <c r="C23" t="s">
        <v>220</v>
      </c>
      <c r="D23" s="110">
        <v>416649</v>
      </c>
      <c r="E23" s="110">
        <v>416239.75</v>
      </c>
      <c r="F23" s="110">
        <v>415264.75</v>
      </c>
      <c r="G23" s="110">
        <v>415264.75</v>
      </c>
      <c r="I23" s="110">
        <v>411816.97</v>
      </c>
      <c r="J23" s="110">
        <v>412992.47</v>
      </c>
      <c r="K23" s="110">
        <v>413113.25</v>
      </c>
      <c r="L23" s="110">
        <v>413113.25</v>
      </c>
      <c r="O23" s="65">
        <v>22</v>
      </c>
      <c r="P23" s="65">
        <v>1</v>
      </c>
      <c r="Q23" s="65" t="s">
        <v>22</v>
      </c>
      <c r="R23" s="65" t="s">
        <v>22</v>
      </c>
      <c r="S23" s="65" t="s">
        <v>22</v>
      </c>
    </row>
    <row r="24" spans="1:24" ht="13.5" x14ac:dyDescent="0.25">
      <c r="A24" t="s">
        <v>2</v>
      </c>
      <c r="B24" t="s">
        <v>106</v>
      </c>
      <c r="C24" t="s">
        <v>221</v>
      </c>
      <c r="D24" s="110">
        <v>383230.36</v>
      </c>
      <c r="E24" s="110">
        <v>383200.36</v>
      </c>
      <c r="F24" s="110">
        <v>383240.36</v>
      </c>
      <c r="I24" s="110">
        <v>375521.86</v>
      </c>
      <c r="J24" s="110">
        <v>378732.36</v>
      </c>
      <c r="K24" s="110">
        <v>378872.36</v>
      </c>
      <c r="O24" s="65">
        <v>23</v>
      </c>
      <c r="P24" s="65">
        <v>1</v>
      </c>
      <c r="Q24" s="65" t="s">
        <v>23</v>
      </c>
      <c r="R24" s="65" t="s">
        <v>23</v>
      </c>
      <c r="S24" s="65" t="s">
        <v>23</v>
      </c>
    </row>
    <row r="25" spans="1:24" ht="13.5" x14ac:dyDescent="0.25">
      <c r="A25" t="s">
        <v>2</v>
      </c>
      <c r="B25" t="s">
        <v>106</v>
      </c>
      <c r="C25" t="s">
        <v>222</v>
      </c>
      <c r="D25" s="110">
        <v>408297.1</v>
      </c>
      <c r="E25" s="110">
        <v>406287.1</v>
      </c>
      <c r="I25" s="110">
        <v>398651.5</v>
      </c>
      <c r="J25" s="110">
        <v>400030.2</v>
      </c>
      <c r="O25" s="65">
        <v>24</v>
      </c>
      <c r="P25" s="65">
        <v>1</v>
      </c>
      <c r="Q25" s="65" t="s">
        <v>24</v>
      </c>
      <c r="R25" s="65" t="s">
        <v>24</v>
      </c>
      <c r="S25" s="65" t="s">
        <v>24</v>
      </c>
    </row>
    <row r="26" spans="1:24" ht="13.5" x14ac:dyDescent="0.25">
      <c r="A26" t="s">
        <v>2</v>
      </c>
      <c r="B26" t="s">
        <v>106</v>
      </c>
      <c r="C26" t="s">
        <v>223</v>
      </c>
      <c r="D26" s="110">
        <v>375459.62</v>
      </c>
      <c r="I26" s="110">
        <v>372721.12</v>
      </c>
      <c r="O26" s="65">
        <v>25</v>
      </c>
      <c r="P26" s="65">
        <v>1</v>
      </c>
      <c r="Q26" s="65" t="s">
        <v>25</v>
      </c>
      <c r="R26" s="65" t="s">
        <v>25</v>
      </c>
      <c r="S26" s="65" t="s">
        <v>25</v>
      </c>
    </row>
    <row r="27" spans="1:24" ht="13.5" x14ac:dyDescent="0.25">
      <c r="A27" t="s">
        <v>2</v>
      </c>
      <c r="B27" t="s">
        <v>107</v>
      </c>
      <c r="C27" t="s">
        <v>220</v>
      </c>
      <c r="D27" s="110">
        <v>317442.7</v>
      </c>
      <c r="E27" s="110">
        <v>313158.7</v>
      </c>
      <c r="F27" s="110">
        <v>313158.7</v>
      </c>
      <c r="G27" s="110">
        <v>313158.7</v>
      </c>
      <c r="I27" s="110">
        <v>312370.21999999997</v>
      </c>
      <c r="J27" s="110">
        <v>312446.7</v>
      </c>
      <c r="K27" s="110">
        <v>312446.7</v>
      </c>
      <c r="L27" s="110">
        <v>312496.7</v>
      </c>
      <c r="O27" s="65">
        <v>26</v>
      </c>
      <c r="P27" s="65">
        <v>1</v>
      </c>
      <c r="Q27" s="65" t="s">
        <v>26</v>
      </c>
      <c r="R27" s="65" t="s">
        <v>26</v>
      </c>
      <c r="S27" s="65" t="s">
        <v>26</v>
      </c>
    </row>
    <row r="28" spans="1:24" ht="13.5" x14ac:dyDescent="0.25">
      <c r="A28" t="s">
        <v>2</v>
      </c>
      <c r="B28" t="s">
        <v>107</v>
      </c>
      <c r="C28" t="s">
        <v>221</v>
      </c>
      <c r="D28" s="110">
        <v>324920.64</v>
      </c>
      <c r="E28" s="110">
        <v>322882.94</v>
      </c>
      <c r="F28" s="110">
        <v>322812.94</v>
      </c>
      <c r="I28" s="110">
        <v>320152.61</v>
      </c>
      <c r="J28" s="110">
        <v>321595.94</v>
      </c>
      <c r="K28" s="110">
        <v>322015.94</v>
      </c>
      <c r="O28" s="65">
        <v>27</v>
      </c>
      <c r="P28" s="65">
        <v>1</v>
      </c>
      <c r="Q28" s="65" t="s">
        <v>27</v>
      </c>
      <c r="R28" s="65" t="s">
        <v>27</v>
      </c>
      <c r="S28" s="65" t="s">
        <v>27</v>
      </c>
    </row>
    <row r="29" spans="1:24" ht="13.5" x14ac:dyDescent="0.25">
      <c r="A29" t="s">
        <v>2</v>
      </c>
      <c r="B29" t="s">
        <v>107</v>
      </c>
      <c r="C29" t="s">
        <v>222</v>
      </c>
      <c r="D29" s="110">
        <v>286822.61</v>
      </c>
      <c r="E29" s="110">
        <v>286152.61</v>
      </c>
      <c r="I29" s="110">
        <v>280561.11</v>
      </c>
      <c r="J29" s="110">
        <v>284254.61</v>
      </c>
      <c r="O29" s="65">
        <v>28</v>
      </c>
      <c r="P29" s="65">
        <v>1</v>
      </c>
      <c r="Q29" s="65" t="s">
        <v>28</v>
      </c>
      <c r="R29" s="65" t="s">
        <v>28</v>
      </c>
      <c r="S29" s="65" t="s">
        <v>28</v>
      </c>
    </row>
    <row r="30" spans="1:24" ht="13.5" x14ac:dyDescent="0.25">
      <c r="A30" t="s">
        <v>2</v>
      </c>
      <c r="B30" t="s">
        <v>107</v>
      </c>
      <c r="C30" t="s">
        <v>223</v>
      </c>
      <c r="D30" s="110">
        <v>351490</v>
      </c>
      <c r="I30" s="110">
        <v>345888.14</v>
      </c>
      <c r="O30" s="65">
        <v>29</v>
      </c>
      <c r="P30" s="65">
        <v>1</v>
      </c>
      <c r="Q30" s="65" t="s">
        <v>29</v>
      </c>
      <c r="R30" s="65" t="s">
        <v>29</v>
      </c>
      <c r="S30" s="65" t="s">
        <v>29</v>
      </c>
    </row>
    <row r="31" spans="1:24" ht="13.5" x14ac:dyDescent="0.25">
      <c r="A31" t="s">
        <v>2</v>
      </c>
      <c r="B31" t="s">
        <v>108</v>
      </c>
      <c r="C31" t="s">
        <v>220</v>
      </c>
      <c r="D31" s="110">
        <v>54623.68</v>
      </c>
      <c r="E31" s="110">
        <v>51497.68</v>
      </c>
      <c r="F31" s="110">
        <v>51497.68</v>
      </c>
      <c r="G31" s="110">
        <v>51497.68</v>
      </c>
      <c r="I31" s="110">
        <v>50832.68</v>
      </c>
      <c r="J31" s="110">
        <v>51262.68</v>
      </c>
      <c r="K31" s="110">
        <v>51262.68</v>
      </c>
      <c r="L31" s="110">
        <v>51262.68</v>
      </c>
      <c r="O31" s="65">
        <v>30</v>
      </c>
      <c r="P31" s="65">
        <v>1</v>
      </c>
      <c r="Q31" s="65" t="s">
        <v>30</v>
      </c>
      <c r="R31" s="65" t="s">
        <v>30</v>
      </c>
      <c r="S31" s="65" t="s">
        <v>30</v>
      </c>
    </row>
    <row r="32" spans="1:24" ht="13.5" x14ac:dyDescent="0.25">
      <c r="A32" t="s">
        <v>2</v>
      </c>
      <c r="B32" t="s">
        <v>108</v>
      </c>
      <c r="C32" t="s">
        <v>221</v>
      </c>
      <c r="D32" s="110">
        <v>63505.67</v>
      </c>
      <c r="E32" s="110">
        <v>63274.67</v>
      </c>
      <c r="F32" s="110">
        <v>63274.67</v>
      </c>
      <c r="I32" s="110">
        <v>63134.67</v>
      </c>
      <c r="J32" s="110">
        <v>63134.67</v>
      </c>
      <c r="K32" s="110">
        <v>63134.67</v>
      </c>
      <c r="O32" s="65">
        <v>31</v>
      </c>
      <c r="P32" s="65">
        <v>1</v>
      </c>
      <c r="Q32" s="65" t="s">
        <v>31</v>
      </c>
      <c r="R32" s="65" t="s">
        <v>31</v>
      </c>
      <c r="S32" s="65" t="s">
        <v>31</v>
      </c>
    </row>
    <row r="33" spans="1:19" ht="13.5" x14ac:dyDescent="0.25">
      <c r="A33" t="s">
        <v>2</v>
      </c>
      <c r="B33" t="s">
        <v>108</v>
      </c>
      <c r="C33" t="s">
        <v>222</v>
      </c>
      <c r="D33" s="110">
        <v>69164.91</v>
      </c>
      <c r="E33" s="110">
        <v>68764.91</v>
      </c>
      <c r="I33" s="110">
        <v>66903.91</v>
      </c>
      <c r="J33" s="110">
        <v>67573.91</v>
      </c>
      <c r="O33" s="65">
        <v>32</v>
      </c>
      <c r="P33" s="65">
        <v>1</v>
      </c>
      <c r="Q33" s="65" t="s">
        <v>32</v>
      </c>
      <c r="R33" s="65" t="s">
        <v>32</v>
      </c>
      <c r="S33" s="65" t="s">
        <v>32</v>
      </c>
    </row>
    <row r="34" spans="1:19" ht="13.5" x14ac:dyDescent="0.25">
      <c r="A34" t="s">
        <v>2</v>
      </c>
      <c r="B34" t="s">
        <v>108</v>
      </c>
      <c r="C34" t="s">
        <v>223</v>
      </c>
      <c r="D34" s="110">
        <v>76825.41</v>
      </c>
      <c r="I34" s="110">
        <v>73213.91</v>
      </c>
      <c r="O34" s="65">
        <v>33</v>
      </c>
      <c r="P34" s="65">
        <v>1</v>
      </c>
      <c r="Q34" s="65" t="s">
        <v>33</v>
      </c>
      <c r="R34" s="65" t="s">
        <v>33</v>
      </c>
      <c r="S34" s="65" t="s">
        <v>33</v>
      </c>
    </row>
    <row r="35" spans="1:19" ht="13.5" x14ac:dyDescent="0.25">
      <c r="A35" t="s">
        <v>2</v>
      </c>
      <c r="B35" t="s">
        <v>70</v>
      </c>
      <c r="C35" t="s">
        <v>220</v>
      </c>
      <c r="D35" s="110">
        <v>114932.72</v>
      </c>
      <c r="E35" s="110">
        <v>110682.72</v>
      </c>
      <c r="F35" s="110">
        <v>110562.72</v>
      </c>
      <c r="G35" s="110">
        <v>110562.72</v>
      </c>
      <c r="I35" s="110">
        <v>97989.72</v>
      </c>
      <c r="J35" s="110">
        <v>102479.72</v>
      </c>
      <c r="K35" s="110">
        <v>103035.72</v>
      </c>
      <c r="L35" s="110">
        <v>103095.72</v>
      </c>
      <c r="O35" s="65">
        <v>34</v>
      </c>
      <c r="P35" s="65">
        <v>1</v>
      </c>
      <c r="Q35" s="65" t="s">
        <v>34</v>
      </c>
      <c r="R35" s="65" t="s">
        <v>34</v>
      </c>
      <c r="S35" s="65" t="s">
        <v>34</v>
      </c>
    </row>
    <row r="36" spans="1:19" ht="13.5" x14ac:dyDescent="0.25">
      <c r="A36" t="s">
        <v>2</v>
      </c>
      <c r="B36" t="s">
        <v>70</v>
      </c>
      <c r="C36" t="s">
        <v>221</v>
      </c>
      <c r="D36" s="110">
        <v>133145.92000000001</v>
      </c>
      <c r="E36" s="110">
        <v>132507.92000000001</v>
      </c>
      <c r="F36" s="110">
        <v>132267.92000000001</v>
      </c>
      <c r="I36" s="110">
        <v>117924.42</v>
      </c>
      <c r="J36" s="110">
        <v>123518.92</v>
      </c>
      <c r="K36" s="110">
        <v>123823.92</v>
      </c>
      <c r="O36" s="65">
        <v>35</v>
      </c>
      <c r="P36" s="65">
        <v>1</v>
      </c>
      <c r="Q36" s="65" t="s">
        <v>35</v>
      </c>
      <c r="R36" s="65" t="s">
        <v>35</v>
      </c>
      <c r="S36" s="65" t="s">
        <v>35</v>
      </c>
    </row>
    <row r="37" spans="1:19" ht="13.5" x14ac:dyDescent="0.25">
      <c r="A37" t="s">
        <v>2</v>
      </c>
      <c r="B37" t="s">
        <v>70</v>
      </c>
      <c r="C37" t="s">
        <v>222</v>
      </c>
      <c r="D37" s="110">
        <v>126262.92</v>
      </c>
      <c r="E37" s="110">
        <v>122660.92</v>
      </c>
      <c r="I37" s="110">
        <v>107020.37</v>
      </c>
      <c r="J37" s="110">
        <v>111624.37</v>
      </c>
      <c r="O37" s="65">
        <v>36</v>
      </c>
      <c r="P37" s="65">
        <v>1</v>
      </c>
      <c r="Q37" s="65" t="s">
        <v>36</v>
      </c>
      <c r="R37" s="65" t="s">
        <v>36</v>
      </c>
      <c r="S37" s="65" t="s">
        <v>36</v>
      </c>
    </row>
    <row r="38" spans="1:19" ht="13.5" x14ac:dyDescent="0.25">
      <c r="A38" t="s">
        <v>2</v>
      </c>
      <c r="B38" t="s">
        <v>70</v>
      </c>
      <c r="C38" t="s">
        <v>223</v>
      </c>
      <c r="D38" s="110">
        <v>141106.98000000001</v>
      </c>
      <c r="I38" s="110">
        <v>122741.48</v>
      </c>
      <c r="O38" s="65">
        <v>37</v>
      </c>
      <c r="P38" s="65">
        <v>1</v>
      </c>
      <c r="Q38" s="65" t="s">
        <v>37</v>
      </c>
      <c r="R38" s="65" t="s">
        <v>37</v>
      </c>
      <c r="S38" s="65" t="s">
        <v>37</v>
      </c>
    </row>
    <row r="39" spans="1:19" ht="13.5" x14ac:dyDescent="0.25">
      <c r="A39" t="s">
        <v>2</v>
      </c>
      <c r="B39" t="s">
        <v>110</v>
      </c>
      <c r="C39" t="s">
        <v>220</v>
      </c>
      <c r="D39" s="110">
        <v>938595.12</v>
      </c>
      <c r="E39" s="110">
        <v>882744.95</v>
      </c>
      <c r="F39" s="110">
        <v>876073.33</v>
      </c>
      <c r="G39" s="110">
        <v>875425.89</v>
      </c>
      <c r="I39" s="110">
        <v>475990.44</v>
      </c>
      <c r="J39" s="110">
        <v>783009.26</v>
      </c>
      <c r="K39" s="110">
        <v>830394.45</v>
      </c>
      <c r="L39" s="110">
        <v>842818.56000000006</v>
      </c>
      <c r="O39" s="65">
        <v>38</v>
      </c>
      <c r="P39" s="65">
        <v>1</v>
      </c>
      <c r="Q39" s="65" t="s">
        <v>38</v>
      </c>
      <c r="R39" s="65" t="s">
        <v>38</v>
      </c>
      <c r="S39" s="65" t="s">
        <v>38</v>
      </c>
    </row>
    <row r="40" spans="1:19" ht="13.5" x14ac:dyDescent="0.25">
      <c r="A40" t="s">
        <v>2</v>
      </c>
      <c r="B40" t="s">
        <v>110</v>
      </c>
      <c r="C40" t="s">
        <v>221</v>
      </c>
      <c r="D40" s="110">
        <v>1141921.8799999999</v>
      </c>
      <c r="E40" s="110">
        <v>1065183.74</v>
      </c>
      <c r="F40" s="110">
        <v>1058824.97</v>
      </c>
      <c r="I40" s="110">
        <v>635942.51</v>
      </c>
      <c r="J40" s="110">
        <v>957570.7</v>
      </c>
      <c r="K40" s="110">
        <v>1007488.63</v>
      </c>
      <c r="O40" s="65">
        <v>39</v>
      </c>
      <c r="P40" s="65">
        <v>1</v>
      </c>
      <c r="Q40" s="65" t="s">
        <v>39</v>
      </c>
      <c r="R40" s="65" t="s">
        <v>39</v>
      </c>
      <c r="S40" s="65" t="s">
        <v>39</v>
      </c>
    </row>
    <row r="41" spans="1:19" ht="13.5" x14ac:dyDescent="0.25">
      <c r="A41" t="s">
        <v>2</v>
      </c>
      <c r="B41" t="s">
        <v>110</v>
      </c>
      <c r="C41" t="s">
        <v>222</v>
      </c>
      <c r="D41" s="110">
        <v>1028818.23</v>
      </c>
      <c r="E41" s="110">
        <v>970825.8</v>
      </c>
      <c r="I41" s="110">
        <v>525315.66</v>
      </c>
      <c r="J41" s="110">
        <v>855941.51</v>
      </c>
      <c r="O41" s="65">
        <v>40</v>
      </c>
      <c r="P41" s="65">
        <v>1</v>
      </c>
      <c r="Q41" s="65" t="s">
        <v>40</v>
      </c>
      <c r="R41" s="65" t="s">
        <v>40</v>
      </c>
      <c r="S41" s="65" t="s">
        <v>40</v>
      </c>
    </row>
    <row r="42" spans="1:19" ht="13.5" x14ac:dyDescent="0.25">
      <c r="A42" t="s">
        <v>2</v>
      </c>
      <c r="B42" t="s">
        <v>110</v>
      </c>
      <c r="C42" t="s">
        <v>223</v>
      </c>
      <c r="D42" s="110">
        <v>1019933.92</v>
      </c>
      <c r="I42" s="110">
        <v>527658.9</v>
      </c>
      <c r="O42" s="65">
        <v>41</v>
      </c>
      <c r="P42" s="65">
        <v>1</v>
      </c>
      <c r="Q42" s="65" t="s">
        <v>41</v>
      </c>
      <c r="R42" s="65" t="s">
        <v>41</v>
      </c>
      <c r="S42" s="65" t="s">
        <v>41</v>
      </c>
    </row>
    <row r="43" spans="1:19" ht="13.5" x14ac:dyDescent="0.25">
      <c r="A43" t="s">
        <v>3</v>
      </c>
      <c r="B43" t="s">
        <v>104</v>
      </c>
      <c r="C43" t="s">
        <v>220</v>
      </c>
      <c r="D43" s="110">
        <v>83859.360000000001</v>
      </c>
      <c r="E43" s="110">
        <v>83859.360000000001</v>
      </c>
      <c r="F43" s="110">
        <v>83859.360000000001</v>
      </c>
      <c r="G43" s="110">
        <v>83859.360000000001</v>
      </c>
      <c r="I43" s="110">
        <v>2873.3</v>
      </c>
      <c r="J43" s="110">
        <v>10308.620000000001</v>
      </c>
      <c r="K43" s="110">
        <v>12016.11</v>
      </c>
      <c r="L43" s="110">
        <v>14648.96</v>
      </c>
      <c r="O43" s="65">
        <v>42</v>
      </c>
      <c r="P43" s="65">
        <v>1</v>
      </c>
      <c r="Q43" s="65" t="s">
        <v>42</v>
      </c>
      <c r="R43" s="65" t="s">
        <v>42</v>
      </c>
      <c r="S43" s="65" t="s">
        <v>42</v>
      </c>
    </row>
    <row r="44" spans="1:19" ht="13.5" x14ac:dyDescent="0.25">
      <c r="A44" t="s">
        <v>3</v>
      </c>
      <c r="B44" t="s">
        <v>104</v>
      </c>
      <c r="C44" t="s">
        <v>221</v>
      </c>
      <c r="D44" s="110">
        <v>77756.88</v>
      </c>
      <c r="E44" s="110">
        <v>77756.88</v>
      </c>
      <c r="F44" s="110">
        <v>77756.88</v>
      </c>
      <c r="I44" s="110">
        <v>1834.63</v>
      </c>
      <c r="J44" s="110">
        <v>3506.29</v>
      </c>
      <c r="K44" s="110">
        <v>5625.61</v>
      </c>
      <c r="O44" s="65">
        <v>43</v>
      </c>
      <c r="P44" s="65">
        <v>1</v>
      </c>
      <c r="Q44" s="65" t="s">
        <v>43</v>
      </c>
      <c r="R44" s="65" t="s">
        <v>43</v>
      </c>
      <c r="S44" s="65" t="s">
        <v>43</v>
      </c>
    </row>
    <row r="45" spans="1:19" ht="13.5" x14ac:dyDescent="0.25">
      <c r="A45" t="s">
        <v>3</v>
      </c>
      <c r="B45" t="s">
        <v>104</v>
      </c>
      <c r="C45" t="s">
        <v>222</v>
      </c>
      <c r="D45" s="110">
        <v>71958.77</v>
      </c>
      <c r="E45" s="110">
        <v>71958.77</v>
      </c>
      <c r="I45" s="110">
        <v>625.78</v>
      </c>
      <c r="J45" s="110">
        <v>2929.33</v>
      </c>
      <c r="O45" s="65">
        <v>13</v>
      </c>
      <c r="P45" s="65">
        <v>1</v>
      </c>
      <c r="Q45" s="65" t="s">
        <v>14</v>
      </c>
      <c r="R45" s="65" t="s">
        <v>76</v>
      </c>
      <c r="S45" s="65" t="s">
        <v>76</v>
      </c>
    </row>
    <row r="46" spans="1:19" ht="13.5" x14ac:dyDescent="0.25">
      <c r="A46" t="s">
        <v>3</v>
      </c>
      <c r="B46" t="s">
        <v>104</v>
      </c>
      <c r="C46" t="s">
        <v>223</v>
      </c>
      <c r="D46" s="110">
        <v>76821.19</v>
      </c>
      <c r="I46" s="110">
        <v>1893.48</v>
      </c>
      <c r="O46" s="65">
        <v>44</v>
      </c>
      <c r="P46" s="65">
        <v>1</v>
      </c>
      <c r="Q46" s="65" t="s">
        <v>44</v>
      </c>
      <c r="R46" s="65" t="s">
        <v>44</v>
      </c>
      <c r="S46" s="65" t="s">
        <v>44</v>
      </c>
    </row>
    <row r="47" spans="1:19" ht="13.5" x14ac:dyDescent="0.25">
      <c r="A47" t="s">
        <v>3</v>
      </c>
      <c r="B47" t="s">
        <v>140</v>
      </c>
      <c r="C47" t="s">
        <v>220</v>
      </c>
      <c r="E47" s="110">
        <v>0</v>
      </c>
      <c r="F47" s="110">
        <v>0</v>
      </c>
      <c r="G47" s="110">
        <v>0</v>
      </c>
      <c r="J47" s="110">
        <v>0</v>
      </c>
      <c r="K47" s="110">
        <v>0</v>
      </c>
      <c r="L47" s="110">
        <v>0</v>
      </c>
      <c r="O47" s="65">
        <v>45</v>
      </c>
      <c r="P47" s="65">
        <v>1</v>
      </c>
      <c r="Q47" s="65" t="s">
        <v>45</v>
      </c>
      <c r="R47" s="65" t="s">
        <v>45</v>
      </c>
      <c r="S47" s="65" t="s">
        <v>45</v>
      </c>
    </row>
    <row r="48" spans="1:19" ht="13.5" x14ac:dyDescent="0.25">
      <c r="A48" t="s">
        <v>3</v>
      </c>
      <c r="B48" t="s">
        <v>140</v>
      </c>
      <c r="C48" t="s">
        <v>221</v>
      </c>
      <c r="D48" s="110">
        <v>0</v>
      </c>
      <c r="E48" s="110">
        <v>0</v>
      </c>
      <c r="F48" s="110">
        <v>0</v>
      </c>
      <c r="I48" s="110">
        <v>0</v>
      </c>
      <c r="J48" s="110">
        <v>0</v>
      </c>
      <c r="K48" s="110">
        <v>0</v>
      </c>
      <c r="O48" s="65">
        <v>46</v>
      </c>
      <c r="P48" s="65">
        <v>1</v>
      </c>
      <c r="Q48" s="65" t="s">
        <v>46</v>
      </c>
      <c r="R48" s="65" t="s">
        <v>46</v>
      </c>
      <c r="S48" s="65" t="s">
        <v>46</v>
      </c>
    </row>
    <row r="49" spans="1:19" ht="13.5" x14ac:dyDescent="0.25">
      <c r="A49" t="s">
        <v>3</v>
      </c>
      <c r="B49" t="s">
        <v>140</v>
      </c>
      <c r="C49" t="s">
        <v>222</v>
      </c>
      <c r="D49" s="110">
        <v>0</v>
      </c>
      <c r="E49" s="110">
        <v>0</v>
      </c>
      <c r="I49" s="110">
        <v>0</v>
      </c>
      <c r="J49" s="110">
        <v>0</v>
      </c>
      <c r="O49" s="65">
        <v>47</v>
      </c>
      <c r="P49" s="65">
        <v>1</v>
      </c>
      <c r="Q49" s="65" t="s">
        <v>47</v>
      </c>
      <c r="R49" s="65" t="s">
        <v>47</v>
      </c>
      <c r="S49" s="65" t="s">
        <v>47</v>
      </c>
    </row>
    <row r="50" spans="1:19" ht="13.5" x14ac:dyDescent="0.25">
      <c r="A50" t="s">
        <v>3</v>
      </c>
      <c r="B50" t="s">
        <v>140</v>
      </c>
      <c r="C50" t="s">
        <v>223</v>
      </c>
      <c r="D50" s="110">
        <v>30</v>
      </c>
      <c r="I50" s="110">
        <v>0</v>
      </c>
      <c r="O50" s="65">
        <v>48</v>
      </c>
      <c r="P50" s="65">
        <v>1</v>
      </c>
      <c r="Q50" s="65" t="s">
        <v>48</v>
      </c>
      <c r="R50" s="65" t="s">
        <v>48</v>
      </c>
      <c r="S50" s="65" t="s">
        <v>48</v>
      </c>
    </row>
    <row r="51" spans="1:19" ht="13.5" x14ac:dyDescent="0.25">
      <c r="A51" t="s">
        <v>3</v>
      </c>
      <c r="B51" t="s">
        <v>105</v>
      </c>
      <c r="C51" t="s">
        <v>220</v>
      </c>
      <c r="D51" s="110">
        <v>46087</v>
      </c>
      <c r="E51" s="110">
        <v>45977</v>
      </c>
      <c r="F51" s="110">
        <v>45977</v>
      </c>
      <c r="G51" s="110">
        <v>45977</v>
      </c>
      <c r="I51" s="110">
        <v>3541.5</v>
      </c>
      <c r="J51" s="110">
        <v>10764.75</v>
      </c>
      <c r="K51" s="110">
        <v>13923.25</v>
      </c>
      <c r="L51" s="110">
        <v>16084.25</v>
      </c>
      <c r="O51" s="65">
        <v>49</v>
      </c>
      <c r="P51" s="65">
        <v>1</v>
      </c>
      <c r="Q51" s="65" t="s">
        <v>49</v>
      </c>
      <c r="R51" s="65" t="s">
        <v>49</v>
      </c>
      <c r="S51" s="65" t="s">
        <v>49</v>
      </c>
    </row>
    <row r="52" spans="1:19" ht="13.5" x14ac:dyDescent="0.25">
      <c r="A52" t="s">
        <v>3</v>
      </c>
      <c r="B52" t="s">
        <v>105</v>
      </c>
      <c r="C52" t="s">
        <v>221</v>
      </c>
      <c r="D52" s="110">
        <v>31930.25</v>
      </c>
      <c r="E52" s="110">
        <v>31905.25</v>
      </c>
      <c r="F52" s="110">
        <v>31905.25</v>
      </c>
      <c r="I52" s="110">
        <v>5372.1</v>
      </c>
      <c r="J52" s="110">
        <v>10840.35</v>
      </c>
      <c r="K52" s="110">
        <v>11946.75</v>
      </c>
      <c r="O52" s="65">
        <v>50</v>
      </c>
      <c r="P52" s="65">
        <v>1</v>
      </c>
      <c r="Q52" s="65" t="s">
        <v>50</v>
      </c>
      <c r="R52" s="65" t="s">
        <v>50</v>
      </c>
      <c r="S52" s="65" t="s">
        <v>50</v>
      </c>
    </row>
    <row r="53" spans="1:19" ht="13.5" x14ac:dyDescent="0.25">
      <c r="A53" t="s">
        <v>3</v>
      </c>
      <c r="B53" t="s">
        <v>105</v>
      </c>
      <c r="C53" t="s">
        <v>222</v>
      </c>
      <c r="D53" s="110">
        <v>44256.25</v>
      </c>
      <c r="E53" s="110">
        <v>44256.25</v>
      </c>
      <c r="I53" s="110">
        <v>9113</v>
      </c>
      <c r="J53" s="110">
        <v>15306</v>
      </c>
      <c r="O53" s="65">
        <v>51</v>
      </c>
      <c r="P53" s="65">
        <v>1</v>
      </c>
      <c r="Q53" s="65" t="s">
        <v>51</v>
      </c>
      <c r="R53" s="65" t="s">
        <v>51</v>
      </c>
      <c r="S53" s="65" t="s">
        <v>51</v>
      </c>
    </row>
    <row r="54" spans="1:19" ht="13.5" x14ac:dyDescent="0.25">
      <c r="A54" t="s">
        <v>3</v>
      </c>
      <c r="B54" t="s">
        <v>105</v>
      </c>
      <c r="C54" t="s">
        <v>223</v>
      </c>
      <c r="D54" s="110">
        <v>51479</v>
      </c>
      <c r="I54" s="110">
        <v>4883.1000000000004</v>
      </c>
      <c r="O54" s="65">
        <v>52</v>
      </c>
      <c r="P54" s="65">
        <v>1</v>
      </c>
      <c r="Q54" s="65" t="s">
        <v>52</v>
      </c>
      <c r="R54" s="65" t="s">
        <v>52</v>
      </c>
      <c r="S54" s="65" t="s">
        <v>52</v>
      </c>
    </row>
    <row r="55" spans="1:19" ht="13.5" x14ac:dyDescent="0.25">
      <c r="A55" t="s">
        <v>3</v>
      </c>
      <c r="B55" t="s">
        <v>111</v>
      </c>
      <c r="C55" t="s">
        <v>220</v>
      </c>
      <c r="D55" s="110">
        <v>1548.5</v>
      </c>
      <c r="E55" s="110">
        <v>1548.5</v>
      </c>
      <c r="F55" s="110">
        <v>1548.5</v>
      </c>
      <c r="G55" s="110">
        <v>1548.5</v>
      </c>
      <c r="I55" s="110">
        <v>3.5</v>
      </c>
      <c r="J55" s="110">
        <v>276.5</v>
      </c>
      <c r="K55" s="110">
        <v>346.5</v>
      </c>
      <c r="L55" s="110">
        <v>619.5</v>
      </c>
      <c r="O55" s="65">
        <v>53</v>
      </c>
      <c r="P55" s="65">
        <v>1</v>
      </c>
      <c r="Q55" s="65" t="s">
        <v>53</v>
      </c>
      <c r="R55" s="65" t="s">
        <v>53</v>
      </c>
      <c r="S55" s="65" t="s">
        <v>53</v>
      </c>
    </row>
    <row r="56" spans="1:19" ht="13.5" x14ac:dyDescent="0.25">
      <c r="A56" t="s">
        <v>3</v>
      </c>
      <c r="B56" t="s">
        <v>111</v>
      </c>
      <c r="C56" t="s">
        <v>221</v>
      </c>
      <c r="D56" s="110">
        <v>1769.5</v>
      </c>
      <c r="E56" s="110">
        <v>1769.5</v>
      </c>
      <c r="F56" s="110">
        <v>1769.5</v>
      </c>
      <c r="I56" s="110">
        <v>57</v>
      </c>
      <c r="J56" s="110">
        <v>230</v>
      </c>
      <c r="K56" s="110">
        <v>240.5</v>
      </c>
      <c r="O56" s="65">
        <v>54</v>
      </c>
      <c r="P56" s="65">
        <v>1</v>
      </c>
      <c r="Q56" s="65" t="s">
        <v>54</v>
      </c>
      <c r="R56" s="65" t="s">
        <v>54</v>
      </c>
      <c r="S56" s="65" t="s">
        <v>54</v>
      </c>
    </row>
    <row r="57" spans="1:19" ht="13.5" x14ac:dyDescent="0.25">
      <c r="A57" t="s">
        <v>3</v>
      </c>
      <c r="B57" t="s">
        <v>111</v>
      </c>
      <c r="C57" t="s">
        <v>222</v>
      </c>
      <c r="D57" s="110">
        <v>3106.5</v>
      </c>
      <c r="E57" s="110">
        <v>3106.5</v>
      </c>
      <c r="I57" s="110">
        <v>3.5</v>
      </c>
      <c r="J57" s="110">
        <v>226.5</v>
      </c>
      <c r="O57" s="65">
        <v>58</v>
      </c>
      <c r="P57" s="65">
        <v>1</v>
      </c>
      <c r="Q57" s="65" t="s">
        <v>58</v>
      </c>
      <c r="R57" s="65" t="s">
        <v>77</v>
      </c>
      <c r="S57" s="65" t="s">
        <v>77</v>
      </c>
    </row>
    <row r="58" spans="1:19" ht="13.5" x14ac:dyDescent="0.25">
      <c r="A58" t="s">
        <v>3</v>
      </c>
      <c r="B58" t="s">
        <v>111</v>
      </c>
      <c r="C58" t="s">
        <v>223</v>
      </c>
      <c r="D58" s="110">
        <v>3556</v>
      </c>
      <c r="I58" s="110">
        <v>844.34</v>
      </c>
      <c r="O58" s="65">
        <v>59</v>
      </c>
      <c r="P58" s="65">
        <v>1</v>
      </c>
      <c r="Q58" s="65" t="s">
        <v>59</v>
      </c>
      <c r="R58" s="65" t="s">
        <v>78</v>
      </c>
      <c r="S58" s="65" t="s">
        <v>78</v>
      </c>
    </row>
    <row r="59" spans="1:19" ht="13.5" x14ac:dyDescent="0.25">
      <c r="A59" t="s">
        <v>3</v>
      </c>
      <c r="B59" t="s">
        <v>109</v>
      </c>
      <c r="C59" t="s">
        <v>220</v>
      </c>
      <c r="D59" s="110">
        <v>43541.88</v>
      </c>
      <c r="E59" s="110">
        <v>43541.88</v>
      </c>
      <c r="F59" s="110">
        <v>43541.88</v>
      </c>
      <c r="G59" s="110">
        <v>43541.88</v>
      </c>
      <c r="I59" s="110">
        <v>6800.4</v>
      </c>
      <c r="J59" s="110">
        <v>18551.5</v>
      </c>
      <c r="K59" s="110">
        <v>23995.38</v>
      </c>
      <c r="L59" s="110">
        <v>24983.5</v>
      </c>
      <c r="O59" s="65">
        <v>55</v>
      </c>
      <c r="P59" s="65">
        <v>1</v>
      </c>
      <c r="Q59" s="65" t="s">
        <v>55</v>
      </c>
      <c r="R59" s="65" t="s">
        <v>55</v>
      </c>
      <c r="S59" s="65" t="s">
        <v>55</v>
      </c>
    </row>
    <row r="60" spans="1:19" ht="13.5" x14ac:dyDescent="0.25">
      <c r="A60" t="s">
        <v>3</v>
      </c>
      <c r="B60" t="s">
        <v>109</v>
      </c>
      <c r="C60" t="s">
        <v>221</v>
      </c>
      <c r="D60" s="110">
        <v>31705.5</v>
      </c>
      <c r="E60" s="110">
        <v>31705.5</v>
      </c>
      <c r="F60" s="110">
        <v>31705.5</v>
      </c>
      <c r="I60" s="110">
        <v>7473.34</v>
      </c>
      <c r="J60" s="110">
        <v>12877.84</v>
      </c>
      <c r="K60" s="110">
        <v>15232.84</v>
      </c>
      <c r="O60" s="65">
        <v>56</v>
      </c>
      <c r="P60" s="65">
        <v>1</v>
      </c>
      <c r="Q60" s="65" t="s">
        <v>56</v>
      </c>
      <c r="R60" s="65" t="s">
        <v>56</v>
      </c>
      <c r="S60" s="65" t="s">
        <v>56</v>
      </c>
    </row>
    <row r="61" spans="1:19" ht="13.5" x14ac:dyDescent="0.25">
      <c r="A61" t="s">
        <v>3</v>
      </c>
      <c r="B61" t="s">
        <v>109</v>
      </c>
      <c r="C61" t="s">
        <v>222</v>
      </c>
      <c r="D61" s="110">
        <v>48996</v>
      </c>
      <c r="E61" s="110">
        <v>48996</v>
      </c>
      <c r="I61" s="110">
        <v>11936.47</v>
      </c>
      <c r="J61" s="110">
        <v>20847.82</v>
      </c>
      <c r="O61" s="65">
        <v>57</v>
      </c>
      <c r="P61" s="65">
        <v>1</v>
      </c>
      <c r="Q61" s="65" t="s">
        <v>57</v>
      </c>
      <c r="R61" s="65" t="s">
        <v>57</v>
      </c>
      <c r="S61" s="65" t="s">
        <v>57</v>
      </c>
    </row>
    <row r="62" spans="1:19" ht="13.5" x14ac:dyDescent="0.25">
      <c r="A62" t="s">
        <v>3</v>
      </c>
      <c r="B62" t="s">
        <v>109</v>
      </c>
      <c r="C62" t="s">
        <v>223</v>
      </c>
      <c r="D62" s="110">
        <v>34389</v>
      </c>
      <c r="I62" s="110">
        <v>7922.5</v>
      </c>
      <c r="O62" s="65">
        <v>60</v>
      </c>
      <c r="P62" s="65">
        <v>1</v>
      </c>
      <c r="Q62" s="65" t="s">
        <v>60</v>
      </c>
      <c r="R62" s="65" t="s">
        <v>60</v>
      </c>
      <c r="S62" s="65" t="s">
        <v>60</v>
      </c>
    </row>
    <row r="63" spans="1:19" ht="13.5" x14ac:dyDescent="0.25">
      <c r="A63" t="s">
        <v>3</v>
      </c>
      <c r="B63" t="s">
        <v>106</v>
      </c>
      <c r="C63" t="s">
        <v>220</v>
      </c>
      <c r="D63" s="110">
        <v>24930.93</v>
      </c>
      <c r="E63" s="110">
        <v>24930.93</v>
      </c>
      <c r="F63" s="110">
        <v>24930.93</v>
      </c>
      <c r="G63" s="110">
        <v>24930.93</v>
      </c>
      <c r="I63" s="110">
        <v>24505.93</v>
      </c>
      <c r="J63" s="110">
        <v>24505.93</v>
      </c>
      <c r="K63" s="110">
        <v>24505.93</v>
      </c>
      <c r="L63" s="110">
        <v>24505.93</v>
      </c>
      <c r="O63" s="65">
        <v>61</v>
      </c>
      <c r="P63" s="65">
        <v>1</v>
      </c>
      <c r="Q63" s="65" t="s">
        <v>61</v>
      </c>
      <c r="R63" s="65" t="s">
        <v>61</v>
      </c>
      <c r="S63" s="65" t="s">
        <v>61</v>
      </c>
    </row>
    <row r="64" spans="1:19" ht="13.5" x14ac:dyDescent="0.25">
      <c r="A64" t="s">
        <v>3</v>
      </c>
      <c r="B64" t="s">
        <v>106</v>
      </c>
      <c r="C64" t="s">
        <v>221</v>
      </c>
      <c r="D64" s="110">
        <v>29879.8</v>
      </c>
      <c r="E64" s="110">
        <v>29879.8</v>
      </c>
      <c r="F64" s="110">
        <v>29879.8</v>
      </c>
      <c r="I64" s="110">
        <v>29869.8</v>
      </c>
      <c r="J64" s="110">
        <v>29869.8</v>
      </c>
      <c r="K64" s="110">
        <v>29869.8</v>
      </c>
      <c r="O64" s="65">
        <v>62</v>
      </c>
      <c r="P64" s="65">
        <v>1</v>
      </c>
      <c r="Q64" s="65" t="s">
        <v>62</v>
      </c>
      <c r="R64" s="65" t="s">
        <v>62</v>
      </c>
      <c r="S64" s="65" t="s">
        <v>62</v>
      </c>
    </row>
    <row r="65" spans="1:19" ht="13.5" x14ac:dyDescent="0.25">
      <c r="A65" t="s">
        <v>3</v>
      </c>
      <c r="B65" t="s">
        <v>106</v>
      </c>
      <c r="C65" t="s">
        <v>222</v>
      </c>
      <c r="D65" s="110">
        <v>25457.07</v>
      </c>
      <c r="E65" s="110">
        <v>25457.07</v>
      </c>
      <c r="I65" s="110">
        <v>25457.07</v>
      </c>
      <c r="J65" s="110">
        <v>25457.07</v>
      </c>
      <c r="O65" s="65">
        <v>63</v>
      </c>
      <c r="P65" s="65">
        <v>1</v>
      </c>
      <c r="Q65" s="65" t="s">
        <v>63</v>
      </c>
      <c r="R65" s="65" t="s">
        <v>63</v>
      </c>
      <c r="S65" s="65" t="s">
        <v>63</v>
      </c>
    </row>
    <row r="66" spans="1:19" ht="13.5" x14ac:dyDescent="0.25">
      <c r="A66" t="s">
        <v>3</v>
      </c>
      <c r="B66" t="s">
        <v>106</v>
      </c>
      <c r="C66" t="s">
        <v>223</v>
      </c>
      <c r="D66" s="110">
        <v>23389.52</v>
      </c>
      <c r="I66" s="110">
        <v>22989.52</v>
      </c>
      <c r="O66" s="65">
        <v>64</v>
      </c>
      <c r="P66" s="65">
        <v>1</v>
      </c>
      <c r="Q66" s="65" t="s">
        <v>64</v>
      </c>
      <c r="R66" s="65" t="s">
        <v>64</v>
      </c>
      <c r="S66" s="65" t="s">
        <v>64</v>
      </c>
    </row>
    <row r="67" spans="1:19" ht="13.5" x14ac:dyDescent="0.25">
      <c r="A67" t="s">
        <v>3</v>
      </c>
      <c r="B67" t="s">
        <v>107</v>
      </c>
      <c r="C67" t="s">
        <v>220</v>
      </c>
      <c r="D67" s="110">
        <v>21812</v>
      </c>
      <c r="E67" s="110">
        <v>21812</v>
      </c>
      <c r="F67" s="110">
        <v>21812</v>
      </c>
      <c r="G67" s="110">
        <v>21812</v>
      </c>
      <c r="I67" s="110">
        <v>21812</v>
      </c>
      <c r="J67" s="110">
        <v>21812</v>
      </c>
      <c r="K67" s="110">
        <v>21812</v>
      </c>
      <c r="L67" s="110">
        <v>21812</v>
      </c>
      <c r="O67" s="65">
        <v>65</v>
      </c>
      <c r="P67" s="65">
        <v>1</v>
      </c>
      <c r="Q67" s="65" t="s">
        <v>65</v>
      </c>
      <c r="R67" s="65" t="s">
        <v>65</v>
      </c>
      <c r="S67" s="65" t="s">
        <v>65</v>
      </c>
    </row>
    <row r="68" spans="1:19" ht="13.5" x14ac:dyDescent="0.25">
      <c r="A68" t="s">
        <v>3</v>
      </c>
      <c r="B68" t="s">
        <v>107</v>
      </c>
      <c r="C68" t="s">
        <v>221</v>
      </c>
      <c r="D68" s="110">
        <v>28155</v>
      </c>
      <c r="E68" s="110">
        <v>28155</v>
      </c>
      <c r="F68" s="110">
        <v>28155</v>
      </c>
      <c r="I68" s="110">
        <v>27550</v>
      </c>
      <c r="J68" s="110">
        <v>27550</v>
      </c>
      <c r="K68" s="110">
        <v>27550</v>
      </c>
      <c r="O68" s="65">
        <v>66</v>
      </c>
      <c r="P68" s="65">
        <v>1</v>
      </c>
      <c r="Q68" s="65" t="s">
        <v>66</v>
      </c>
      <c r="R68" s="65" t="s">
        <v>66</v>
      </c>
      <c r="S68" s="65" t="s">
        <v>66</v>
      </c>
    </row>
    <row r="69" spans="1:19" ht="13.5" x14ac:dyDescent="0.25">
      <c r="A69" t="s">
        <v>3</v>
      </c>
      <c r="B69" t="s">
        <v>107</v>
      </c>
      <c r="C69" t="s">
        <v>222</v>
      </c>
      <c r="D69" s="110">
        <v>30381.5</v>
      </c>
      <c r="E69" s="110">
        <v>30381.5</v>
      </c>
      <c r="I69" s="110">
        <v>30381.5</v>
      </c>
      <c r="J69" s="110">
        <v>30381.5</v>
      </c>
      <c r="O69" s="65">
        <v>67</v>
      </c>
      <c r="P69" s="65">
        <v>1</v>
      </c>
      <c r="Q69" s="65" t="s">
        <v>67</v>
      </c>
      <c r="R69" s="65" t="s">
        <v>67</v>
      </c>
      <c r="S69" s="65" t="s">
        <v>67</v>
      </c>
    </row>
    <row r="70" spans="1:19" x14ac:dyDescent="0.2">
      <c r="A70" t="s">
        <v>3</v>
      </c>
      <c r="B70" t="s">
        <v>107</v>
      </c>
      <c r="C70" t="s">
        <v>223</v>
      </c>
      <c r="D70" s="110">
        <v>27819</v>
      </c>
      <c r="I70" s="110">
        <v>27819</v>
      </c>
    </row>
    <row r="71" spans="1:19" x14ac:dyDescent="0.2">
      <c r="A71" t="s">
        <v>3</v>
      </c>
      <c r="B71" t="s">
        <v>108</v>
      </c>
      <c r="C71" t="s">
        <v>220</v>
      </c>
      <c r="D71" s="110">
        <v>6590</v>
      </c>
      <c r="E71" s="110">
        <v>6590</v>
      </c>
      <c r="F71" s="110">
        <v>6590</v>
      </c>
      <c r="G71" s="110">
        <v>6590</v>
      </c>
      <c r="I71" s="110">
        <v>6590</v>
      </c>
      <c r="J71" s="110">
        <v>6590</v>
      </c>
      <c r="K71" s="110">
        <v>6590</v>
      </c>
      <c r="L71" s="110">
        <v>6590</v>
      </c>
    </row>
    <row r="72" spans="1:19" x14ac:dyDescent="0.2">
      <c r="A72" t="s">
        <v>3</v>
      </c>
      <c r="B72" t="s">
        <v>108</v>
      </c>
      <c r="C72" t="s">
        <v>221</v>
      </c>
      <c r="D72" s="110">
        <v>11312</v>
      </c>
      <c r="E72" s="110">
        <v>11312</v>
      </c>
      <c r="F72" s="110">
        <v>11312</v>
      </c>
      <c r="I72" s="110">
        <v>11312</v>
      </c>
      <c r="J72" s="110">
        <v>11312</v>
      </c>
      <c r="K72" s="110">
        <v>11312</v>
      </c>
    </row>
    <row r="73" spans="1:19" x14ac:dyDescent="0.2">
      <c r="A73" t="s">
        <v>3</v>
      </c>
      <c r="B73" t="s">
        <v>108</v>
      </c>
      <c r="C73" t="s">
        <v>222</v>
      </c>
      <c r="D73" s="110">
        <v>6743</v>
      </c>
      <c r="E73" s="110">
        <v>6743</v>
      </c>
      <c r="I73" s="110">
        <v>6743</v>
      </c>
      <c r="J73" s="110">
        <v>6743</v>
      </c>
    </row>
    <row r="74" spans="1:19" x14ac:dyDescent="0.2">
      <c r="A74" t="s">
        <v>3</v>
      </c>
      <c r="B74" t="s">
        <v>108</v>
      </c>
      <c r="C74" t="s">
        <v>223</v>
      </c>
      <c r="D74" s="110">
        <v>5202</v>
      </c>
      <c r="I74" s="110">
        <v>5202</v>
      </c>
    </row>
    <row r="75" spans="1:19" x14ac:dyDescent="0.2">
      <c r="A75" t="s">
        <v>3</v>
      </c>
      <c r="B75" t="s">
        <v>70</v>
      </c>
      <c r="C75" t="s">
        <v>220</v>
      </c>
      <c r="D75" s="110">
        <v>12006</v>
      </c>
      <c r="E75" s="110">
        <v>12006</v>
      </c>
      <c r="F75" s="110">
        <v>12006</v>
      </c>
      <c r="G75" s="110">
        <v>12006</v>
      </c>
      <c r="I75" s="110">
        <v>12006</v>
      </c>
      <c r="J75" s="110">
        <v>12006</v>
      </c>
      <c r="K75" s="110">
        <v>12006</v>
      </c>
      <c r="L75" s="110">
        <v>12006</v>
      </c>
    </row>
    <row r="76" spans="1:19" x14ac:dyDescent="0.2">
      <c r="A76" t="s">
        <v>3</v>
      </c>
      <c r="B76" t="s">
        <v>70</v>
      </c>
      <c r="C76" t="s">
        <v>221</v>
      </c>
      <c r="D76" s="110">
        <v>24066</v>
      </c>
      <c r="E76" s="110">
        <v>24066</v>
      </c>
      <c r="F76" s="110">
        <v>24066</v>
      </c>
      <c r="I76" s="110">
        <v>23008</v>
      </c>
      <c r="J76" s="110">
        <v>23248</v>
      </c>
      <c r="K76" s="110">
        <v>23248</v>
      </c>
    </row>
    <row r="77" spans="1:19" x14ac:dyDescent="0.2">
      <c r="A77" t="s">
        <v>3</v>
      </c>
      <c r="B77" t="s">
        <v>70</v>
      </c>
      <c r="C77" t="s">
        <v>222</v>
      </c>
      <c r="D77" s="110">
        <v>19149</v>
      </c>
      <c r="E77" s="110">
        <v>19149</v>
      </c>
      <c r="I77" s="110">
        <v>18681</v>
      </c>
      <c r="J77" s="110">
        <v>18681</v>
      </c>
    </row>
    <row r="78" spans="1:19" x14ac:dyDescent="0.2">
      <c r="A78" t="s">
        <v>3</v>
      </c>
      <c r="B78" t="s">
        <v>70</v>
      </c>
      <c r="C78" t="s">
        <v>223</v>
      </c>
      <c r="D78" s="110">
        <v>22049</v>
      </c>
      <c r="I78" s="110">
        <v>21631</v>
      </c>
    </row>
    <row r="79" spans="1:19" x14ac:dyDescent="0.2">
      <c r="A79" t="s">
        <v>3</v>
      </c>
      <c r="B79" t="s">
        <v>110</v>
      </c>
      <c r="C79" t="s">
        <v>220</v>
      </c>
      <c r="D79" s="110">
        <v>79099.600000000006</v>
      </c>
      <c r="E79" s="110">
        <v>75520.600000000006</v>
      </c>
      <c r="F79" s="110">
        <v>73638.100000000006</v>
      </c>
      <c r="G79" s="110">
        <v>72702.100000000006</v>
      </c>
      <c r="I79" s="110">
        <v>14861.1</v>
      </c>
      <c r="J79" s="110">
        <v>49755.1</v>
      </c>
      <c r="K79" s="110">
        <v>55911.1</v>
      </c>
      <c r="L79" s="110">
        <v>57225.1</v>
      </c>
    </row>
    <row r="80" spans="1:19" x14ac:dyDescent="0.2">
      <c r="A80" t="s">
        <v>3</v>
      </c>
      <c r="B80" t="s">
        <v>110</v>
      </c>
      <c r="C80" t="s">
        <v>221</v>
      </c>
      <c r="D80" s="110">
        <v>82264.600000000006</v>
      </c>
      <c r="E80" s="110">
        <v>78734.899999999994</v>
      </c>
      <c r="F80" s="110">
        <v>76744.899999999994</v>
      </c>
      <c r="I80" s="110">
        <v>21152.6</v>
      </c>
      <c r="J80" s="110">
        <v>57495.55</v>
      </c>
      <c r="K80" s="110">
        <v>62553.8</v>
      </c>
    </row>
    <row r="81" spans="1:12" x14ac:dyDescent="0.2">
      <c r="A81" t="s">
        <v>3</v>
      </c>
      <c r="B81" t="s">
        <v>110</v>
      </c>
      <c r="C81" t="s">
        <v>222</v>
      </c>
      <c r="D81" s="110">
        <v>1036684.6</v>
      </c>
      <c r="E81" s="110">
        <v>93537.5</v>
      </c>
      <c r="I81" s="110">
        <v>20962.25</v>
      </c>
      <c r="J81" s="110">
        <v>63292.5</v>
      </c>
    </row>
    <row r="82" spans="1:12" x14ac:dyDescent="0.2">
      <c r="A82" t="s">
        <v>3</v>
      </c>
      <c r="B82" t="s">
        <v>110</v>
      </c>
      <c r="C82" t="s">
        <v>223</v>
      </c>
      <c r="D82" s="110">
        <v>70017.3</v>
      </c>
      <c r="I82" s="110">
        <v>19644.099999999999</v>
      </c>
    </row>
    <row r="83" spans="1:12" x14ac:dyDescent="0.2">
      <c r="A83" t="s">
        <v>4</v>
      </c>
      <c r="B83" t="s">
        <v>104</v>
      </c>
      <c r="C83" t="s">
        <v>220</v>
      </c>
      <c r="D83" s="110">
        <v>959914.11</v>
      </c>
      <c r="E83" s="110">
        <v>959559.61</v>
      </c>
      <c r="F83" s="110">
        <v>957859.61</v>
      </c>
      <c r="G83" s="110">
        <v>960380.61</v>
      </c>
      <c r="I83" s="110">
        <v>26337.49</v>
      </c>
      <c r="J83" s="110">
        <v>43183.11</v>
      </c>
      <c r="K83" s="110">
        <v>54403.17</v>
      </c>
      <c r="L83" s="110">
        <v>64834.38</v>
      </c>
    </row>
    <row r="84" spans="1:12" x14ac:dyDescent="0.2">
      <c r="A84" t="s">
        <v>4</v>
      </c>
      <c r="B84" t="s">
        <v>104</v>
      </c>
      <c r="C84" t="s">
        <v>221</v>
      </c>
      <c r="D84" s="110">
        <v>1252611.53</v>
      </c>
      <c r="E84" s="110">
        <v>1252575.53</v>
      </c>
      <c r="F84" s="110">
        <v>1273468.53</v>
      </c>
      <c r="I84" s="110">
        <v>31186.74</v>
      </c>
      <c r="J84" s="110">
        <v>50073.61</v>
      </c>
      <c r="K84" s="110">
        <v>64858.29</v>
      </c>
    </row>
    <row r="85" spans="1:12" x14ac:dyDescent="0.2">
      <c r="A85" t="s">
        <v>4</v>
      </c>
      <c r="B85" t="s">
        <v>104</v>
      </c>
      <c r="C85" t="s">
        <v>222</v>
      </c>
      <c r="D85" s="110">
        <v>1311808.47</v>
      </c>
      <c r="E85" s="110">
        <v>1359863.87</v>
      </c>
      <c r="I85" s="110">
        <v>31276.16</v>
      </c>
      <c r="J85" s="110">
        <v>52046.28</v>
      </c>
    </row>
    <row r="86" spans="1:12" x14ac:dyDescent="0.2">
      <c r="A86" t="s">
        <v>4</v>
      </c>
      <c r="B86" t="s">
        <v>104</v>
      </c>
      <c r="C86" t="s">
        <v>223</v>
      </c>
      <c r="D86" s="110">
        <v>2189516.5299999998</v>
      </c>
      <c r="I86" s="110">
        <v>30731.32</v>
      </c>
    </row>
    <row r="87" spans="1:12" x14ac:dyDescent="0.2">
      <c r="A87" t="s">
        <v>4</v>
      </c>
      <c r="B87" t="s">
        <v>140</v>
      </c>
      <c r="C87" t="s">
        <v>220</v>
      </c>
      <c r="D87" s="110">
        <v>104608</v>
      </c>
      <c r="E87" s="110">
        <v>104608</v>
      </c>
      <c r="F87" s="110">
        <v>104608</v>
      </c>
      <c r="G87" s="110">
        <v>104608</v>
      </c>
      <c r="I87" s="110">
        <v>50</v>
      </c>
      <c r="J87" s="110">
        <v>57</v>
      </c>
      <c r="K87" s="110">
        <v>57</v>
      </c>
      <c r="L87" s="110">
        <v>57</v>
      </c>
    </row>
    <row r="88" spans="1:12" x14ac:dyDescent="0.2">
      <c r="A88" t="s">
        <v>4</v>
      </c>
      <c r="B88" t="s">
        <v>140</v>
      </c>
      <c r="C88" t="s">
        <v>221</v>
      </c>
      <c r="D88" s="110">
        <v>200116</v>
      </c>
      <c r="E88" s="110">
        <v>200116</v>
      </c>
      <c r="F88" s="110">
        <v>200116</v>
      </c>
      <c r="I88" s="110">
        <v>46</v>
      </c>
      <c r="J88" s="110">
        <v>53</v>
      </c>
      <c r="K88" s="110">
        <v>53</v>
      </c>
    </row>
    <row r="89" spans="1:12" x14ac:dyDescent="0.2">
      <c r="A89" t="s">
        <v>4</v>
      </c>
      <c r="B89" t="s">
        <v>140</v>
      </c>
      <c r="C89" t="s">
        <v>222</v>
      </c>
      <c r="D89" s="110">
        <v>153828</v>
      </c>
      <c r="E89" s="110">
        <v>153828</v>
      </c>
      <c r="I89" s="110">
        <v>150.66</v>
      </c>
      <c r="J89" s="110">
        <v>237.66</v>
      </c>
    </row>
    <row r="90" spans="1:12" x14ac:dyDescent="0.2">
      <c r="A90" t="s">
        <v>4</v>
      </c>
      <c r="B90" t="s">
        <v>140</v>
      </c>
      <c r="C90" t="s">
        <v>223</v>
      </c>
      <c r="D90" s="110">
        <v>1188939</v>
      </c>
      <c r="I90" s="110">
        <v>25</v>
      </c>
    </row>
    <row r="91" spans="1:12" x14ac:dyDescent="0.2">
      <c r="A91" t="s">
        <v>4</v>
      </c>
      <c r="B91" t="s">
        <v>105</v>
      </c>
      <c r="C91" t="s">
        <v>220</v>
      </c>
      <c r="D91" s="110">
        <v>535384.29</v>
      </c>
      <c r="E91" s="110">
        <v>536539.4</v>
      </c>
      <c r="F91" s="110">
        <v>535454.4</v>
      </c>
      <c r="G91" s="110">
        <v>534478.4</v>
      </c>
      <c r="I91" s="110">
        <v>36816.61</v>
      </c>
      <c r="J91" s="110">
        <v>81096.11</v>
      </c>
      <c r="K91" s="110">
        <v>111064.61</v>
      </c>
      <c r="L91" s="110">
        <v>131975.67999999999</v>
      </c>
    </row>
    <row r="92" spans="1:12" x14ac:dyDescent="0.2">
      <c r="A92" t="s">
        <v>4</v>
      </c>
      <c r="B92" t="s">
        <v>105</v>
      </c>
      <c r="C92" t="s">
        <v>221</v>
      </c>
      <c r="D92" s="110">
        <v>745702.25</v>
      </c>
      <c r="E92" s="110">
        <v>746913.25</v>
      </c>
      <c r="F92" s="110">
        <v>743621.25</v>
      </c>
      <c r="I92" s="110">
        <v>58938.03</v>
      </c>
      <c r="J92" s="110">
        <v>105452.82</v>
      </c>
      <c r="K92" s="110">
        <v>149445.37</v>
      </c>
    </row>
    <row r="93" spans="1:12" x14ac:dyDescent="0.2">
      <c r="A93" t="s">
        <v>4</v>
      </c>
      <c r="B93" t="s">
        <v>105</v>
      </c>
      <c r="C93" t="s">
        <v>222</v>
      </c>
      <c r="D93" s="110">
        <v>759769.35</v>
      </c>
      <c r="E93" s="110">
        <v>762277.75</v>
      </c>
      <c r="I93" s="110">
        <v>63298.25</v>
      </c>
      <c r="J93" s="110">
        <v>115249.92</v>
      </c>
    </row>
    <row r="94" spans="1:12" x14ac:dyDescent="0.2">
      <c r="A94" t="s">
        <v>4</v>
      </c>
      <c r="B94" t="s">
        <v>105</v>
      </c>
      <c r="C94" t="s">
        <v>223</v>
      </c>
      <c r="D94" s="110">
        <v>656006.75</v>
      </c>
      <c r="I94" s="110">
        <v>67551.600000000006</v>
      </c>
    </row>
    <row r="95" spans="1:12" x14ac:dyDescent="0.2">
      <c r="A95" t="s">
        <v>4</v>
      </c>
      <c r="B95" t="s">
        <v>111</v>
      </c>
      <c r="C95" t="s">
        <v>220</v>
      </c>
      <c r="D95" s="110">
        <v>4189</v>
      </c>
      <c r="E95" s="110">
        <v>4189</v>
      </c>
      <c r="F95" s="110">
        <v>4239</v>
      </c>
      <c r="G95" s="110">
        <v>4239</v>
      </c>
      <c r="I95" s="110">
        <v>811</v>
      </c>
      <c r="J95" s="110">
        <v>1268</v>
      </c>
      <c r="K95" s="110">
        <v>1589</v>
      </c>
      <c r="L95" s="110">
        <v>2003</v>
      </c>
    </row>
    <row r="96" spans="1:12" x14ac:dyDescent="0.2">
      <c r="A96" t="s">
        <v>4</v>
      </c>
      <c r="B96" t="s">
        <v>111</v>
      </c>
      <c r="C96" t="s">
        <v>221</v>
      </c>
      <c r="D96" s="110">
        <v>5914</v>
      </c>
      <c r="E96" s="110">
        <v>5886</v>
      </c>
      <c r="F96" s="110">
        <v>5786</v>
      </c>
      <c r="I96" s="110">
        <v>983</v>
      </c>
      <c r="J96" s="110">
        <v>1369</v>
      </c>
      <c r="K96" s="110">
        <v>1502</v>
      </c>
    </row>
    <row r="97" spans="1:12" x14ac:dyDescent="0.2">
      <c r="A97" t="s">
        <v>4</v>
      </c>
      <c r="B97" t="s">
        <v>111</v>
      </c>
      <c r="C97" t="s">
        <v>222</v>
      </c>
      <c r="D97" s="110">
        <v>9535</v>
      </c>
      <c r="E97" s="110">
        <v>9385</v>
      </c>
      <c r="I97" s="110">
        <v>1763</v>
      </c>
      <c r="J97" s="110">
        <v>2998</v>
      </c>
    </row>
    <row r="98" spans="1:12" x14ac:dyDescent="0.2">
      <c r="A98" t="s">
        <v>4</v>
      </c>
      <c r="B98" t="s">
        <v>111</v>
      </c>
      <c r="C98" t="s">
        <v>223</v>
      </c>
      <c r="D98" s="110">
        <v>7609</v>
      </c>
      <c r="I98" s="110">
        <v>2561</v>
      </c>
    </row>
    <row r="99" spans="1:12" x14ac:dyDescent="0.2">
      <c r="A99" t="s">
        <v>4</v>
      </c>
      <c r="B99" t="s">
        <v>109</v>
      </c>
      <c r="C99" t="s">
        <v>220</v>
      </c>
      <c r="D99" s="110">
        <v>349992.5</v>
      </c>
      <c r="E99" s="110">
        <v>351128.75</v>
      </c>
      <c r="F99" s="110">
        <v>350907</v>
      </c>
      <c r="G99" s="110">
        <v>349825.25</v>
      </c>
      <c r="I99" s="110">
        <v>60455</v>
      </c>
      <c r="J99" s="110">
        <v>119404.25</v>
      </c>
      <c r="K99" s="110">
        <v>153649.23000000001</v>
      </c>
      <c r="L99" s="110">
        <v>178429.48</v>
      </c>
    </row>
    <row r="100" spans="1:12" x14ac:dyDescent="0.2">
      <c r="A100" t="s">
        <v>4</v>
      </c>
      <c r="B100" t="s">
        <v>109</v>
      </c>
      <c r="C100" t="s">
        <v>221</v>
      </c>
      <c r="D100" s="110">
        <v>463313.75</v>
      </c>
      <c r="E100" s="110">
        <v>463630.25</v>
      </c>
      <c r="F100" s="110">
        <v>462300.5</v>
      </c>
      <c r="I100" s="110">
        <v>106179.93</v>
      </c>
      <c r="J100" s="110">
        <v>157234.19</v>
      </c>
      <c r="K100" s="110">
        <v>198320.94</v>
      </c>
    </row>
    <row r="101" spans="1:12" x14ac:dyDescent="0.2">
      <c r="A101" t="s">
        <v>4</v>
      </c>
      <c r="B101" t="s">
        <v>109</v>
      </c>
      <c r="C101" t="s">
        <v>222</v>
      </c>
      <c r="D101" s="110">
        <v>516735.5</v>
      </c>
      <c r="E101" s="110">
        <v>515666.75</v>
      </c>
      <c r="I101" s="110">
        <v>114424.25</v>
      </c>
      <c r="J101" s="110">
        <v>176751.75</v>
      </c>
    </row>
    <row r="102" spans="1:12" x14ac:dyDescent="0.2">
      <c r="A102" t="s">
        <v>4</v>
      </c>
      <c r="B102" t="s">
        <v>109</v>
      </c>
      <c r="C102" t="s">
        <v>223</v>
      </c>
      <c r="D102" s="110">
        <v>506237.5</v>
      </c>
      <c r="I102" s="110">
        <v>104249</v>
      </c>
    </row>
    <row r="103" spans="1:12" x14ac:dyDescent="0.2">
      <c r="A103" t="s">
        <v>4</v>
      </c>
      <c r="B103" t="s">
        <v>106</v>
      </c>
      <c r="C103" t="s">
        <v>220</v>
      </c>
      <c r="D103" s="110">
        <v>157056.51999999999</v>
      </c>
      <c r="E103" s="110">
        <v>157412.51999999999</v>
      </c>
      <c r="F103" s="110">
        <v>157412.51999999999</v>
      </c>
      <c r="G103" s="110">
        <v>158917.51999999999</v>
      </c>
      <c r="I103" s="110">
        <v>156240.51999999999</v>
      </c>
      <c r="J103" s="110">
        <v>156606.51999999999</v>
      </c>
      <c r="K103" s="110">
        <v>156606.51999999999</v>
      </c>
      <c r="L103" s="110">
        <v>158111.51999999999</v>
      </c>
    </row>
    <row r="104" spans="1:12" x14ac:dyDescent="0.2">
      <c r="A104" t="s">
        <v>4</v>
      </c>
      <c r="B104" t="s">
        <v>106</v>
      </c>
      <c r="C104" t="s">
        <v>221</v>
      </c>
      <c r="D104" s="110">
        <v>471140.33</v>
      </c>
      <c r="E104" s="110">
        <v>471753.83</v>
      </c>
      <c r="F104" s="110">
        <v>471753.83</v>
      </c>
      <c r="I104" s="110">
        <v>470325.83</v>
      </c>
      <c r="J104" s="110">
        <v>470425.83</v>
      </c>
      <c r="K104" s="110">
        <v>470475.83</v>
      </c>
    </row>
    <row r="105" spans="1:12" x14ac:dyDescent="0.2">
      <c r="A105" t="s">
        <v>4</v>
      </c>
      <c r="B105" t="s">
        <v>106</v>
      </c>
      <c r="C105" t="s">
        <v>222</v>
      </c>
      <c r="D105" s="110">
        <v>738236.6</v>
      </c>
      <c r="E105" s="110">
        <v>738236.6</v>
      </c>
      <c r="I105" s="110">
        <v>736066.6</v>
      </c>
      <c r="J105" s="110">
        <v>736296.49</v>
      </c>
    </row>
    <row r="106" spans="1:12" x14ac:dyDescent="0.2">
      <c r="A106" t="s">
        <v>4</v>
      </c>
      <c r="B106" t="s">
        <v>106</v>
      </c>
      <c r="C106" t="s">
        <v>223</v>
      </c>
      <c r="D106" s="110">
        <v>641284.46</v>
      </c>
      <c r="I106" s="110">
        <v>639062.96</v>
      </c>
    </row>
    <row r="107" spans="1:12" x14ac:dyDescent="0.2">
      <c r="A107" t="s">
        <v>4</v>
      </c>
      <c r="B107" t="s">
        <v>107</v>
      </c>
      <c r="C107" t="s">
        <v>220</v>
      </c>
      <c r="D107" s="110">
        <v>226008.52</v>
      </c>
      <c r="E107" s="110">
        <v>225628.52</v>
      </c>
      <c r="F107" s="110">
        <v>225628.52</v>
      </c>
      <c r="G107" s="110">
        <v>225333.52</v>
      </c>
      <c r="I107" s="110">
        <v>224714.47</v>
      </c>
      <c r="J107" s="110">
        <v>224629.47</v>
      </c>
      <c r="K107" s="110">
        <v>224629.47</v>
      </c>
      <c r="L107" s="110">
        <v>224629.47</v>
      </c>
    </row>
    <row r="108" spans="1:12" x14ac:dyDescent="0.2">
      <c r="A108" t="s">
        <v>4</v>
      </c>
      <c r="B108" t="s">
        <v>107</v>
      </c>
      <c r="C108" t="s">
        <v>221</v>
      </c>
      <c r="D108" s="110">
        <v>295253.03999999998</v>
      </c>
      <c r="E108" s="110">
        <v>295342.03999999998</v>
      </c>
      <c r="F108" s="110">
        <v>295342.03999999998</v>
      </c>
      <c r="I108" s="110">
        <v>295167.03999999998</v>
      </c>
      <c r="J108" s="110">
        <v>295167.03999999998</v>
      </c>
      <c r="K108" s="110">
        <v>295167.03999999998</v>
      </c>
    </row>
    <row r="109" spans="1:12" x14ac:dyDescent="0.2">
      <c r="A109" t="s">
        <v>4</v>
      </c>
      <c r="B109" t="s">
        <v>107</v>
      </c>
      <c r="C109" t="s">
        <v>222</v>
      </c>
      <c r="D109" s="110">
        <v>397397.06</v>
      </c>
      <c r="E109" s="110">
        <v>396512.06</v>
      </c>
      <c r="I109" s="110">
        <v>397036.06</v>
      </c>
      <c r="J109" s="110">
        <v>396151.06</v>
      </c>
    </row>
    <row r="110" spans="1:12" x14ac:dyDescent="0.2">
      <c r="A110" t="s">
        <v>4</v>
      </c>
      <c r="B110" t="s">
        <v>107</v>
      </c>
      <c r="C110" t="s">
        <v>223</v>
      </c>
      <c r="D110" s="110">
        <v>293803.58</v>
      </c>
      <c r="I110" s="110">
        <v>293488.58</v>
      </c>
    </row>
    <row r="111" spans="1:12" x14ac:dyDescent="0.2">
      <c r="A111" t="s">
        <v>4</v>
      </c>
      <c r="B111" t="s">
        <v>108</v>
      </c>
      <c r="C111" t="s">
        <v>220</v>
      </c>
      <c r="D111" s="110">
        <v>44904</v>
      </c>
      <c r="E111" s="110">
        <v>44904</v>
      </c>
      <c r="F111" s="110">
        <v>44559</v>
      </c>
      <c r="G111" s="110">
        <v>44559</v>
      </c>
      <c r="I111" s="110">
        <v>44442</v>
      </c>
      <c r="J111" s="110">
        <v>44673</v>
      </c>
      <c r="K111" s="110">
        <v>44328</v>
      </c>
      <c r="L111" s="110">
        <v>44328</v>
      </c>
    </row>
    <row r="112" spans="1:12" x14ac:dyDescent="0.2">
      <c r="A112" t="s">
        <v>4</v>
      </c>
      <c r="B112" t="s">
        <v>108</v>
      </c>
      <c r="C112" t="s">
        <v>221</v>
      </c>
      <c r="D112" s="110">
        <v>81452.31</v>
      </c>
      <c r="E112" s="110">
        <v>81448.31</v>
      </c>
      <c r="F112" s="110">
        <v>81448.31</v>
      </c>
      <c r="I112" s="110">
        <v>80700.31</v>
      </c>
      <c r="J112" s="110">
        <v>80755.31</v>
      </c>
      <c r="K112" s="110">
        <v>80755.31</v>
      </c>
    </row>
    <row r="113" spans="1:12" x14ac:dyDescent="0.2">
      <c r="A113" t="s">
        <v>4</v>
      </c>
      <c r="B113" t="s">
        <v>108</v>
      </c>
      <c r="C113" t="s">
        <v>222</v>
      </c>
      <c r="D113" s="110">
        <v>80761</v>
      </c>
      <c r="E113" s="110">
        <v>80761</v>
      </c>
      <c r="I113" s="110">
        <v>80289</v>
      </c>
      <c r="J113" s="110">
        <v>80524</v>
      </c>
    </row>
    <row r="114" spans="1:12" x14ac:dyDescent="0.2">
      <c r="A114" t="s">
        <v>4</v>
      </c>
      <c r="B114" t="s">
        <v>108</v>
      </c>
      <c r="C114" t="s">
        <v>223</v>
      </c>
      <c r="D114" s="110">
        <v>75967.5</v>
      </c>
      <c r="I114" s="110">
        <v>75105.5</v>
      </c>
    </row>
    <row r="115" spans="1:12" x14ac:dyDescent="0.2">
      <c r="A115" t="s">
        <v>4</v>
      </c>
      <c r="B115" t="s">
        <v>70</v>
      </c>
      <c r="C115" t="s">
        <v>220</v>
      </c>
      <c r="D115" s="110">
        <v>86069.5</v>
      </c>
      <c r="E115" s="110">
        <v>85612</v>
      </c>
      <c r="F115" s="110">
        <v>85612</v>
      </c>
      <c r="G115" s="110">
        <v>85612</v>
      </c>
      <c r="I115" s="110">
        <v>85538.5</v>
      </c>
      <c r="J115" s="110">
        <v>85580.5</v>
      </c>
      <c r="K115" s="110">
        <v>85580.5</v>
      </c>
      <c r="L115" s="110">
        <v>85580.5</v>
      </c>
    </row>
    <row r="116" spans="1:12" x14ac:dyDescent="0.2">
      <c r="A116" t="s">
        <v>4</v>
      </c>
      <c r="B116" t="s">
        <v>70</v>
      </c>
      <c r="C116" t="s">
        <v>221</v>
      </c>
      <c r="D116" s="110">
        <v>127683</v>
      </c>
      <c r="E116" s="110">
        <v>127733</v>
      </c>
      <c r="F116" s="110">
        <v>127722.5</v>
      </c>
      <c r="I116" s="110">
        <v>125150</v>
      </c>
      <c r="J116" s="110">
        <v>125314.2</v>
      </c>
      <c r="K116" s="110">
        <v>125593.47</v>
      </c>
    </row>
    <row r="117" spans="1:12" x14ac:dyDescent="0.2">
      <c r="A117" t="s">
        <v>4</v>
      </c>
      <c r="B117" t="s">
        <v>70</v>
      </c>
      <c r="C117" t="s">
        <v>222</v>
      </c>
      <c r="D117" s="110">
        <v>124722.35</v>
      </c>
      <c r="E117" s="110">
        <v>124327.35</v>
      </c>
      <c r="I117" s="110">
        <v>122442.85</v>
      </c>
      <c r="J117" s="110">
        <v>122958.35</v>
      </c>
    </row>
    <row r="118" spans="1:12" x14ac:dyDescent="0.2">
      <c r="A118" t="s">
        <v>4</v>
      </c>
      <c r="B118" t="s">
        <v>70</v>
      </c>
      <c r="C118" t="s">
        <v>223</v>
      </c>
      <c r="D118" s="110">
        <v>120439.5</v>
      </c>
      <c r="I118" s="110">
        <v>118504.5</v>
      </c>
    </row>
    <row r="119" spans="1:12" x14ac:dyDescent="0.2">
      <c r="A119" t="s">
        <v>4</v>
      </c>
      <c r="B119" t="s">
        <v>110</v>
      </c>
      <c r="C119" t="s">
        <v>220</v>
      </c>
      <c r="D119" s="110">
        <v>399701.99</v>
      </c>
      <c r="E119" s="110">
        <v>370808.94</v>
      </c>
      <c r="F119" s="110">
        <v>369757.94</v>
      </c>
      <c r="G119" s="110">
        <v>369114.94</v>
      </c>
      <c r="I119" s="110">
        <v>162680.93</v>
      </c>
      <c r="J119" s="110">
        <v>277683.94</v>
      </c>
      <c r="K119" s="110">
        <v>301313.94</v>
      </c>
      <c r="L119" s="110">
        <v>307544.94</v>
      </c>
    </row>
    <row r="120" spans="1:12" x14ac:dyDescent="0.2">
      <c r="A120" t="s">
        <v>4</v>
      </c>
      <c r="B120" t="s">
        <v>110</v>
      </c>
      <c r="C120" t="s">
        <v>221</v>
      </c>
      <c r="D120" s="110">
        <v>764415.08</v>
      </c>
      <c r="E120" s="110">
        <v>726901.48</v>
      </c>
      <c r="F120" s="110">
        <v>725541.48</v>
      </c>
      <c r="I120" s="110">
        <v>314295.53999999998</v>
      </c>
      <c r="J120" s="110">
        <v>553896.68999999994</v>
      </c>
      <c r="K120" s="110">
        <v>587200.09</v>
      </c>
    </row>
    <row r="121" spans="1:12" x14ac:dyDescent="0.2">
      <c r="A121" t="s">
        <v>4</v>
      </c>
      <c r="B121" t="s">
        <v>110</v>
      </c>
      <c r="C121" t="s">
        <v>222</v>
      </c>
      <c r="D121" s="110">
        <v>814034.2</v>
      </c>
      <c r="E121" s="110">
        <v>781231.5</v>
      </c>
      <c r="I121" s="110">
        <v>387674.4</v>
      </c>
      <c r="J121" s="110">
        <v>595596.85</v>
      </c>
    </row>
    <row r="122" spans="1:12" x14ac:dyDescent="0.2">
      <c r="A122" t="s">
        <v>4</v>
      </c>
      <c r="B122" t="s">
        <v>110</v>
      </c>
      <c r="C122" t="s">
        <v>223</v>
      </c>
      <c r="D122" s="110">
        <v>775400.95</v>
      </c>
      <c r="I122" s="110">
        <v>370273.55</v>
      </c>
    </row>
    <row r="123" spans="1:12" x14ac:dyDescent="0.2">
      <c r="A123" t="s">
        <v>5</v>
      </c>
      <c r="B123" t="s">
        <v>104</v>
      </c>
      <c r="C123" t="s">
        <v>220</v>
      </c>
      <c r="D123" s="110">
        <v>88841</v>
      </c>
      <c r="E123" s="110">
        <v>88841</v>
      </c>
      <c r="F123" s="110">
        <v>88841</v>
      </c>
      <c r="G123" s="110">
        <v>88841</v>
      </c>
      <c r="I123" s="110">
        <v>3876</v>
      </c>
      <c r="J123" s="110">
        <v>6880.52</v>
      </c>
      <c r="K123" s="110">
        <v>9216.7000000000007</v>
      </c>
      <c r="L123" s="110">
        <v>12245.42</v>
      </c>
    </row>
    <row r="124" spans="1:12" x14ac:dyDescent="0.2">
      <c r="A124" t="s">
        <v>5</v>
      </c>
      <c r="B124" t="s">
        <v>104</v>
      </c>
      <c r="C124" t="s">
        <v>221</v>
      </c>
      <c r="D124" s="110">
        <v>79717</v>
      </c>
      <c r="E124" s="110">
        <v>79767</v>
      </c>
      <c r="F124" s="110">
        <v>79717</v>
      </c>
      <c r="I124" s="110">
        <v>5178.3999999999996</v>
      </c>
      <c r="J124" s="110">
        <v>8205.3700000000008</v>
      </c>
      <c r="K124" s="110">
        <v>10385.68</v>
      </c>
    </row>
    <row r="125" spans="1:12" x14ac:dyDescent="0.2">
      <c r="A125" t="s">
        <v>5</v>
      </c>
      <c r="B125" t="s">
        <v>104</v>
      </c>
      <c r="C125" t="s">
        <v>222</v>
      </c>
      <c r="D125" s="110">
        <v>82300</v>
      </c>
      <c r="E125" s="110">
        <v>80414</v>
      </c>
      <c r="I125" s="110">
        <v>2826.23</v>
      </c>
      <c r="J125" s="110">
        <v>6215.33</v>
      </c>
    </row>
    <row r="126" spans="1:12" x14ac:dyDescent="0.2">
      <c r="A126" t="s">
        <v>5</v>
      </c>
      <c r="B126" t="s">
        <v>104</v>
      </c>
      <c r="C126" t="s">
        <v>223</v>
      </c>
      <c r="D126" s="110">
        <v>91413.92</v>
      </c>
      <c r="I126" s="110">
        <v>2255.9899999999998</v>
      </c>
    </row>
    <row r="127" spans="1:12" x14ac:dyDescent="0.2">
      <c r="A127" t="s">
        <v>5</v>
      </c>
      <c r="B127" t="s">
        <v>140</v>
      </c>
      <c r="C127" t="s">
        <v>220</v>
      </c>
      <c r="D127" s="110">
        <v>0</v>
      </c>
      <c r="E127" s="110">
        <v>0</v>
      </c>
      <c r="F127" s="110">
        <v>0</v>
      </c>
      <c r="G127" s="110">
        <v>0</v>
      </c>
      <c r="I127" s="110">
        <v>0</v>
      </c>
      <c r="J127" s="110">
        <v>0</v>
      </c>
      <c r="K127" s="110">
        <v>0</v>
      </c>
      <c r="L127" s="110">
        <v>0</v>
      </c>
    </row>
    <row r="128" spans="1:12" x14ac:dyDescent="0.2">
      <c r="A128" t="s">
        <v>5</v>
      </c>
      <c r="B128" t="s">
        <v>140</v>
      </c>
      <c r="C128" t="s">
        <v>221</v>
      </c>
      <c r="D128" s="110">
        <v>0</v>
      </c>
      <c r="E128" s="110">
        <v>0</v>
      </c>
      <c r="F128" s="110">
        <v>0</v>
      </c>
      <c r="I128" s="110">
        <v>0</v>
      </c>
      <c r="J128" s="110">
        <v>0</v>
      </c>
      <c r="K128" s="110">
        <v>0</v>
      </c>
    </row>
    <row r="129" spans="1:12" x14ac:dyDescent="0.2">
      <c r="A129" t="s">
        <v>5</v>
      </c>
      <c r="B129" t="s">
        <v>140</v>
      </c>
      <c r="C129" t="s">
        <v>222</v>
      </c>
      <c r="D129" s="110">
        <v>0</v>
      </c>
      <c r="E129" s="110">
        <v>0</v>
      </c>
      <c r="I129" s="110">
        <v>0</v>
      </c>
      <c r="J129" s="110">
        <v>0</v>
      </c>
    </row>
    <row r="130" spans="1:12" x14ac:dyDescent="0.2">
      <c r="A130" t="s">
        <v>5</v>
      </c>
      <c r="B130" t="s">
        <v>140</v>
      </c>
      <c r="C130" t="s">
        <v>223</v>
      </c>
      <c r="D130" s="110">
        <v>396</v>
      </c>
      <c r="I130" s="110">
        <v>0</v>
      </c>
    </row>
    <row r="131" spans="1:12" x14ac:dyDescent="0.2">
      <c r="A131" t="s">
        <v>5</v>
      </c>
      <c r="B131" t="s">
        <v>105</v>
      </c>
      <c r="C131" t="s">
        <v>220</v>
      </c>
      <c r="D131" s="110">
        <v>39743.75</v>
      </c>
      <c r="E131" s="110">
        <v>39393.25</v>
      </c>
      <c r="F131" s="110">
        <v>39343.25</v>
      </c>
      <c r="G131" s="110">
        <v>38270.5</v>
      </c>
      <c r="I131" s="110">
        <v>3137.5</v>
      </c>
      <c r="J131" s="110">
        <v>5257</v>
      </c>
      <c r="K131" s="110">
        <v>8054.5</v>
      </c>
      <c r="L131" s="110">
        <v>10004.75</v>
      </c>
    </row>
    <row r="132" spans="1:12" x14ac:dyDescent="0.2">
      <c r="A132" t="s">
        <v>5</v>
      </c>
      <c r="B132" t="s">
        <v>105</v>
      </c>
      <c r="C132" t="s">
        <v>221</v>
      </c>
      <c r="D132" s="110">
        <v>36734.75</v>
      </c>
      <c r="E132" s="110">
        <v>36734.75</v>
      </c>
      <c r="F132" s="110">
        <v>36734.75</v>
      </c>
      <c r="I132" s="110">
        <v>3708.75</v>
      </c>
      <c r="J132" s="110">
        <v>7363.5</v>
      </c>
      <c r="K132" s="110">
        <v>9191.5</v>
      </c>
    </row>
    <row r="133" spans="1:12" x14ac:dyDescent="0.2">
      <c r="A133" t="s">
        <v>5</v>
      </c>
      <c r="B133" t="s">
        <v>105</v>
      </c>
      <c r="C133" t="s">
        <v>222</v>
      </c>
      <c r="D133" s="110">
        <v>33155.75</v>
      </c>
      <c r="E133" s="110">
        <v>33155.75</v>
      </c>
      <c r="I133" s="110">
        <v>2375.5</v>
      </c>
      <c r="J133" s="110">
        <v>4734.75</v>
      </c>
    </row>
    <row r="134" spans="1:12" x14ac:dyDescent="0.2">
      <c r="A134" t="s">
        <v>5</v>
      </c>
      <c r="B134" t="s">
        <v>105</v>
      </c>
      <c r="C134" t="s">
        <v>223</v>
      </c>
      <c r="D134" s="110">
        <v>41762.5</v>
      </c>
      <c r="I134" s="110">
        <v>4698.5</v>
      </c>
    </row>
    <row r="135" spans="1:12" x14ac:dyDescent="0.2">
      <c r="A135" t="s">
        <v>5</v>
      </c>
      <c r="B135" t="s">
        <v>111</v>
      </c>
      <c r="C135" t="s">
        <v>220</v>
      </c>
      <c r="D135" s="110">
        <v>670</v>
      </c>
      <c r="E135" s="110">
        <v>670</v>
      </c>
      <c r="F135" s="110">
        <v>670</v>
      </c>
      <c r="G135" s="110">
        <v>670</v>
      </c>
      <c r="I135" s="110">
        <v>470</v>
      </c>
      <c r="J135" s="110">
        <v>670</v>
      </c>
      <c r="K135" s="110">
        <v>670</v>
      </c>
      <c r="L135" s="110">
        <v>670</v>
      </c>
    </row>
    <row r="136" spans="1:12" x14ac:dyDescent="0.2">
      <c r="A136" t="s">
        <v>5</v>
      </c>
      <c r="B136" t="s">
        <v>111</v>
      </c>
      <c r="C136" t="s">
        <v>221</v>
      </c>
      <c r="D136" s="110">
        <v>2624</v>
      </c>
      <c r="E136" s="110">
        <v>2624</v>
      </c>
      <c r="F136" s="110">
        <v>2624</v>
      </c>
      <c r="I136" s="110">
        <v>924</v>
      </c>
      <c r="J136" s="110">
        <v>1516</v>
      </c>
      <c r="K136" s="110">
        <v>1936</v>
      </c>
    </row>
    <row r="137" spans="1:12" x14ac:dyDescent="0.2">
      <c r="A137" t="s">
        <v>5</v>
      </c>
      <c r="B137" t="s">
        <v>111</v>
      </c>
      <c r="C137" t="s">
        <v>222</v>
      </c>
      <c r="D137" s="110">
        <v>522</v>
      </c>
      <c r="E137" s="110">
        <v>497</v>
      </c>
      <c r="I137" s="110">
        <v>172</v>
      </c>
      <c r="J137" s="110">
        <v>275</v>
      </c>
    </row>
    <row r="138" spans="1:12" x14ac:dyDescent="0.2">
      <c r="A138" t="s">
        <v>5</v>
      </c>
      <c r="B138" t="s">
        <v>111</v>
      </c>
      <c r="C138" t="s">
        <v>223</v>
      </c>
      <c r="D138" s="110">
        <v>3536</v>
      </c>
      <c r="I138" s="110">
        <v>420</v>
      </c>
    </row>
    <row r="139" spans="1:12" x14ac:dyDescent="0.2">
      <c r="A139" t="s">
        <v>5</v>
      </c>
      <c r="B139" t="s">
        <v>109</v>
      </c>
      <c r="C139" t="s">
        <v>220</v>
      </c>
      <c r="D139" s="110">
        <v>40750.25</v>
      </c>
      <c r="E139" s="110">
        <v>40650.25</v>
      </c>
      <c r="F139" s="110">
        <v>40600.25</v>
      </c>
      <c r="G139" s="110">
        <v>40550.25</v>
      </c>
      <c r="I139" s="110">
        <v>7979.75</v>
      </c>
      <c r="J139" s="110">
        <v>13000.5</v>
      </c>
      <c r="K139" s="110">
        <v>15680.5</v>
      </c>
      <c r="L139" s="110">
        <v>17067</v>
      </c>
    </row>
    <row r="140" spans="1:12" x14ac:dyDescent="0.2">
      <c r="A140" t="s">
        <v>5</v>
      </c>
      <c r="B140" t="s">
        <v>109</v>
      </c>
      <c r="C140" t="s">
        <v>221</v>
      </c>
      <c r="D140" s="110">
        <v>43925.75</v>
      </c>
      <c r="E140" s="110">
        <v>43500.25</v>
      </c>
      <c r="F140" s="110">
        <v>43049.75</v>
      </c>
      <c r="I140" s="110">
        <v>5409</v>
      </c>
      <c r="J140" s="110">
        <v>15004.75</v>
      </c>
      <c r="K140" s="110">
        <v>22315.75</v>
      </c>
    </row>
    <row r="141" spans="1:12" x14ac:dyDescent="0.2">
      <c r="A141" t="s">
        <v>5</v>
      </c>
      <c r="B141" t="s">
        <v>109</v>
      </c>
      <c r="C141" t="s">
        <v>222</v>
      </c>
      <c r="D141" s="110">
        <v>51030.75</v>
      </c>
      <c r="E141" s="110">
        <v>50605.25</v>
      </c>
      <c r="I141" s="110">
        <v>6600.75</v>
      </c>
      <c r="J141" s="110">
        <v>14432.5</v>
      </c>
    </row>
    <row r="142" spans="1:12" x14ac:dyDescent="0.2">
      <c r="A142" t="s">
        <v>5</v>
      </c>
      <c r="B142" t="s">
        <v>109</v>
      </c>
      <c r="C142" t="s">
        <v>223</v>
      </c>
      <c r="D142" s="110">
        <v>39794.17</v>
      </c>
      <c r="I142" s="110">
        <v>3131.25</v>
      </c>
    </row>
    <row r="143" spans="1:12" x14ac:dyDescent="0.2">
      <c r="A143" t="s">
        <v>5</v>
      </c>
      <c r="B143" t="s">
        <v>106</v>
      </c>
      <c r="C143" t="s">
        <v>220</v>
      </c>
      <c r="D143" s="110">
        <v>35465</v>
      </c>
      <c r="E143" s="110">
        <v>35465</v>
      </c>
      <c r="F143" s="110">
        <v>35465</v>
      </c>
      <c r="G143" s="110">
        <v>35465</v>
      </c>
      <c r="I143" s="110">
        <v>33435</v>
      </c>
      <c r="J143" s="110">
        <v>33435</v>
      </c>
      <c r="K143" s="110">
        <v>33435</v>
      </c>
      <c r="L143" s="110">
        <v>33435</v>
      </c>
    </row>
    <row r="144" spans="1:12" x14ac:dyDescent="0.2">
      <c r="A144" t="s">
        <v>5</v>
      </c>
      <c r="B144" t="s">
        <v>106</v>
      </c>
      <c r="C144" t="s">
        <v>221</v>
      </c>
      <c r="D144" s="110">
        <v>32650</v>
      </c>
      <c r="E144" s="110">
        <v>32650</v>
      </c>
      <c r="F144" s="110">
        <v>32650</v>
      </c>
      <c r="I144" s="110">
        <v>30476</v>
      </c>
      <c r="J144" s="110">
        <v>31850</v>
      </c>
      <c r="K144" s="110">
        <v>31850</v>
      </c>
    </row>
    <row r="145" spans="1:12" x14ac:dyDescent="0.2">
      <c r="A145" t="s">
        <v>5</v>
      </c>
      <c r="B145" t="s">
        <v>106</v>
      </c>
      <c r="C145" t="s">
        <v>222</v>
      </c>
      <c r="D145" s="110">
        <v>27602</v>
      </c>
      <c r="E145" s="110">
        <v>28002</v>
      </c>
      <c r="I145" s="110">
        <v>23976</v>
      </c>
      <c r="J145" s="110">
        <v>24396</v>
      </c>
    </row>
    <row r="146" spans="1:12" x14ac:dyDescent="0.2">
      <c r="A146" t="s">
        <v>5</v>
      </c>
      <c r="B146" t="s">
        <v>106</v>
      </c>
      <c r="C146" t="s">
        <v>223</v>
      </c>
      <c r="D146" s="110">
        <v>31019</v>
      </c>
      <c r="I146" s="110">
        <v>28609</v>
      </c>
    </row>
    <row r="147" spans="1:12" x14ac:dyDescent="0.2">
      <c r="A147" t="s">
        <v>5</v>
      </c>
      <c r="B147" t="s">
        <v>107</v>
      </c>
      <c r="C147" t="s">
        <v>220</v>
      </c>
      <c r="D147" s="110">
        <v>36662</v>
      </c>
      <c r="E147" s="110">
        <v>36662</v>
      </c>
      <c r="F147" s="110">
        <v>36662</v>
      </c>
      <c r="G147" s="110">
        <v>36662</v>
      </c>
      <c r="I147" s="110">
        <v>36167</v>
      </c>
      <c r="J147" s="110">
        <v>36662</v>
      </c>
      <c r="K147" s="110">
        <v>36662</v>
      </c>
      <c r="L147" s="110">
        <v>36662</v>
      </c>
    </row>
    <row r="148" spans="1:12" x14ac:dyDescent="0.2">
      <c r="A148" t="s">
        <v>5</v>
      </c>
      <c r="B148" t="s">
        <v>107</v>
      </c>
      <c r="C148" t="s">
        <v>221</v>
      </c>
      <c r="D148" s="110">
        <v>38654</v>
      </c>
      <c r="E148" s="110">
        <v>38654</v>
      </c>
      <c r="F148" s="110">
        <v>36654</v>
      </c>
      <c r="I148" s="110">
        <v>38349</v>
      </c>
      <c r="J148" s="110">
        <v>38349</v>
      </c>
      <c r="K148" s="110">
        <v>38349</v>
      </c>
    </row>
    <row r="149" spans="1:12" x14ac:dyDescent="0.2">
      <c r="A149" t="s">
        <v>5</v>
      </c>
      <c r="B149" t="s">
        <v>107</v>
      </c>
      <c r="C149" t="s">
        <v>222</v>
      </c>
      <c r="D149" s="110">
        <v>35060</v>
      </c>
      <c r="E149" s="110">
        <v>35060</v>
      </c>
      <c r="I149" s="110">
        <v>34750</v>
      </c>
      <c r="J149" s="110">
        <v>35060</v>
      </c>
    </row>
    <row r="150" spans="1:12" x14ac:dyDescent="0.2">
      <c r="A150" t="s">
        <v>5</v>
      </c>
      <c r="B150" t="s">
        <v>107</v>
      </c>
      <c r="C150" t="s">
        <v>223</v>
      </c>
      <c r="D150" s="110">
        <v>40625</v>
      </c>
      <c r="I150" s="110">
        <v>40000</v>
      </c>
    </row>
    <row r="151" spans="1:12" x14ac:dyDescent="0.2">
      <c r="A151" t="s">
        <v>5</v>
      </c>
      <c r="B151" t="s">
        <v>108</v>
      </c>
      <c r="C151" t="s">
        <v>220</v>
      </c>
      <c r="D151" s="110">
        <v>6255</v>
      </c>
      <c r="E151" s="110">
        <v>6255</v>
      </c>
      <c r="F151" s="110">
        <v>6255</v>
      </c>
      <c r="G151" s="110">
        <v>6255</v>
      </c>
      <c r="I151" s="110">
        <v>6020</v>
      </c>
      <c r="J151" s="110">
        <v>6251</v>
      </c>
      <c r="K151" s="110">
        <v>6251</v>
      </c>
      <c r="L151" s="110">
        <v>6251</v>
      </c>
    </row>
    <row r="152" spans="1:12" x14ac:dyDescent="0.2">
      <c r="A152" t="s">
        <v>5</v>
      </c>
      <c r="B152" t="s">
        <v>108</v>
      </c>
      <c r="C152" t="s">
        <v>221</v>
      </c>
      <c r="D152" s="110">
        <v>10791</v>
      </c>
      <c r="E152" s="110">
        <v>10791</v>
      </c>
      <c r="F152" s="110">
        <v>10791</v>
      </c>
      <c r="I152" s="110">
        <v>10791</v>
      </c>
      <c r="J152" s="110">
        <v>10791</v>
      </c>
      <c r="K152" s="110">
        <v>10791</v>
      </c>
    </row>
    <row r="153" spans="1:12" x14ac:dyDescent="0.2">
      <c r="A153" t="s">
        <v>5</v>
      </c>
      <c r="B153" t="s">
        <v>108</v>
      </c>
      <c r="C153" t="s">
        <v>222</v>
      </c>
      <c r="D153" s="110">
        <v>8506</v>
      </c>
      <c r="E153" s="110">
        <v>8506</v>
      </c>
      <c r="I153" s="110">
        <v>8506</v>
      </c>
      <c r="J153" s="110">
        <v>8506</v>
      </c>
    </row>
    <row r="154" spans="1:12" x14ac:dyDescent="0.2">
      <c r="A154" t="s">
        <v>5</v>
      </c>
      <c r="B154" t="s">
        <v>108</v>
      </c>
      <c r="C154" t="s">
        <v>223</v>
      </c>
      <c r="D154" s="110">
        <v>6585</v>
      </c>
      <c r="I154" s="110">
        <v>6585</v>
      </c>
    </row>
    <row r="155" spans="1:12" x14ac:dyDescent="0.2">
      <c r="A155" t="s">
        <v>5</v>
      </c>
      <c r="B155" t="s">
        <v>70</v>
      </c>
      <c r="C155" t="s">
        <v>220</v>
      </c>
      <c r="D155" s="110">
        <v>13449.5</v>
      </c>
      <c r="E155" s="110">
        <v>13557.5</v>
      </c>
      <c r="F155" s="110">
        <v>13557.5</v>
      </c>
      <c r="G155" s="110">
        <v>13557.5</v>
      </c>
      <c r="I155" s="110">
        <v>11923.5</v>
      </c>
      <c r="J155" s="110">
        <v>11923.5</v>
      </c>
      <c r="K155" s="110">
        <v>11923.5</v>
      </c>
      <c r="L155" s="110">
        <v>11923.5</v>
      </c>
    </row>
    <row r="156" spans="1:12" x14ac:dyDescent="0.2">
      <c r="A156" t="s">
        <v>5</v>
      </c>
      <c r="B156" t="s">
        <v>70</v>
      </c>
      <c r="C156" t="s">
        <v>221</v>
      </c>
      <c r="D156" s="110">
        <v>18327.66</v>
      </c>
      <c r="E156" s="110">
        <v>17609.66</v>
      </c>
      <c r="F156" s="110">
        <v>17609.66</v>
      </c>
      <c r="I156" s="110">
        <v>16311.16</v>
      </c>
      <c r="J156" s="110">
        <v>16789.16</v>
      </c>
      <c r="K156" s="110">
        <v>16789.16</v>
      </c>
    </row>
    <row r="157" spans="1:12" x14ac:dyDescent="0.2">
      <c r="A157" t="s">
        <v>5</v>
      </c>
      <c r="B157" t="s">
        <v>70</v>
      </c>
      <c r="C157" t="s">
        <v>222</v>
      </c>
      <c r="D157" s="110">
        <v>20444</v>
      </c>
      <c r="E157" s="110">
        <v>20444</v>
      </c>
      <c r="I157" s="110">
        <v>18489.5</v>
      </c>
      <c r="J157" s="110">
        <v>18689.5</v>
      </c>
    </row>
    <row r="158" spans="1:12" x14ac:dyDescent="0.2">
      <c r="A158" t="s">
        <v>5</v>
      </c>
      <c r="B158" t="s">
        <v>70</v>
      </c>
      <c r="C158" t="s">
        <v>223</v>
      </c>
      <c r="D158" s="110">
        <v>15497.5</v>
      </c>
      <c r="I158" s="110">
        <v>15089.5</v>
      </c>
    </row>
    <row r="159" spans="1:12" x14ac:dyDescent="0.2">
      <c r="A159" t="s">
        <v>5</v>
      </c>
      <c r="B159" t="s">
        <v>110</v>
      </c>
      <c r="C159" t="s">
        <v>220</v>
      </c>
      <c r="D159" s="110">
        <v>362410</v>
      </c>
      <c r="E159" s="110">
        <v>358238</v>
      </c>
      <c r="F159" s="110">
        <v>356242</v>
      </c>
      <c r="G159" s="110">
        <v>355900</v>
      </c>
      <c r="I159" s="110">
        <v>117524</v>
      </c>
      <c r="J159" s="110">
        <v>287402</v>
      </c>
      <c r="K159" s="110">
        <v>316632</v>
      </c>
      <c r="L159" s="110">
        <v>325014</v>
      </c>
    </row>
    <row r="160" spans="1:12" x14ac:dyDescent="0.2">
      <c r="A160" t="s">
        <v>5</v>
      </c>
      <c r="B160" t="s">
        <v>110</v>
      </c>
      <c r="C160" t="s">
        <v>221</v>
      </c>
      <c r="D160" s="110">
        <v>436249.05</v>
      </c>
      <c r="E160" s="110">
        <v>425232.88</v>
      </c>
      <c r="F160" s="110">
        <v>424824.38</v>
      </c>
      <c r="I160" s="110">
        <v>145393.56</v>
      </c>
      <c r="J160" s="110">
        <v>341022.14</v>
      </c>
      <c r="K160" s="110">
        <v>380334.89</v>
      </c>
    </row>
    <row r="161" spans="1:12" x14ac:dyDescent="0.2">
      <c r="A161" t="s">
        <v>5</v>
      </c>
      <c r="B161" t="s">
        <v>110</v>
      </c>
      <c r="C161" t="s">
        <v>222</v>
      </c>
      <c r="D161" s="110">
        <v>433598.82</v>
      </c>
      <c r="E161" s="110">
        <v>429201.97</v>
      </c>
      <c r="I161" s="110">
        <v>134832.97</v>
      </c>
      <c r="J161" s="110">
        <v>328177.71999999997</v>
      </c>
    </row>
    <row r="162" spans="1:12" x14ac:dyDescent="0.2">
      <c r="A162" t="s">
        <v>5</v>
      </c>
      <c r="B162" t="s">
        <v>110</v>
      </c>
      <c r="C162" t="s">
        <v>223</v>
      </c>
      <c r="D162" s="110">
        <v>367057.55</v>
      </c>
      <c r="I162" s="110">
        <v>103283.05</v>
      </c>
    </row>
    <row r="163" spans="1:12" x14ac:dyDescent="0.2">
      <c r="A163" t="s">
        <v>6</v>
      </c>
      <c r="B163" t="s">
        <v>104</v>
      </c>
      <c r="C163" t="s">
        <v>220</v>
      </c>
      <c r="D163" s="110">
        <v>1268761.2</v>
      </c>
      <c r="E163" s="110">
        <v>1262685.7</v>
      </c>
      <c r="F163" s="110">
        <v>1262320.2</v>
      </c>
      <c r="G163" s="110">
        <v>1262063.2</v>
      </c>
      <c r="I163" s="110">
        <v>42628.2</v>
      </c>
      <c r="J163" s="110">
        <v>63175.43</v>
      </c>
      <c r="K163" s="110">
        <v>86017.35</v>
      </c>
      <c r="L163" s="110">
        <v>103042.19</v>
      </c>
    </row>
    <row r="164" spans="1:12" x14ac:dyDescent="0.2">
      <c r="A164" t="s">
        <v>6</v>
      </c>
      <c r="B164" t="s">
        <v>104</v>
      </c>
      <c r="C164" t="s">
        <v>221</v>
      </c>
      <c r="D164" s="110">
        <v>1293894.45</v>
      </c>
      <c r="E164" s="110">
        <v>1289040.45</v>
      </c>
      <c r="F164" s="110">
        <v>1287923.45</v>
      </c>
      <c r="I164" s="110">
        <v>43634.83</v>
      </c>
      <c r="J164" s="110">
        <v>67205.59</v>
      </c>
      <c r="K164" s="110">
        <v>87415.92</v>
      </c>
    </row>
    <row r="165" spans="1:12" x14ac:dyDescent="0.2">
      <c r="A165" t="s">
        <v>6</v>
      </c>
      <c r="B165" t="s">
        <v>104</v>
      </c>
      <c r="C165" t="s">
        <v>222</v>
      </c>
      <c r="D165" s="110">
        <v>891894.26</v>
      </c>
      <c r="E165" s="110">
        <v>887151.26</v>
      </c>
      <c r="I165" s="110">
        <v>42614.15</v>
      </c>
      <c r="J165" s="110">
        <v>61928.05</v>
      </c>
    </row>
    <row r="166" spans="1:12" x14ac:dyDescent="0.2">
      <c r="A166" t="s">
        <v>6</v>
      </c>
      <c r="B166" t="s">
        <v>104</v>
      </c>
      <c r="C166" t="s">
        <v>223</v>
      </c>
      <c r="D166" s="110">
        <v>1113000.55</v>
      </c>
      <c r="I166" s="110">
        <v>34682.01</v>
      </c>
    </row>
    <row r="167" spans="1:12" x14ac:dyDescent="0.2">
      <c r="A167" t="s">
        <v>6</v>
      </c>
      <c r="B167" t="s">
        <v>140</v>
      </c>
      <c r="C167" t="s">
        <v>220</v>
      </c>
      <c r="D167" s="110">
        <v>527003</v>
      </c>
      <c r="E167" s="110">
        <v>527003</v>
      </c>
      <c r="F167" s="110">
        <v>527003</v>
      </c>
      <c r="G167" s="110">
        <v>527003</v>
      </c>
      <c r="I167" s="110">
        <v>224</v>
      </c>
      <c r="J167" s="110">
        <v>317.98</v>
      </c>
      <c r="K167" s="110">
        <v>324.98</v>
      </c>
      <c r="L167" s="110">
        <v>324.98</v>
      </c>
    </row>
    <row r="168" spans="1:12" x14ac:dyDescent="0.2">
      <c r="A168" t="s">
        <v>6</v>
      </c>
      <c r="B168" t="s">
        <v>140</v>
      </c>
      <c r="C168" t="s">
        <v>221</v>
      </c>
      <c r="D168" s="110">
        <v>173944.5</v>
      </c>
      <c r="E168" s="110">
        <v>173944.5</v>
      </c>
      <c r="F168" s="110">
        <v>173844.5</v>
      </c>
      <c r="I168" s="110">
        <v>316</v>
      </c>
      <c r="J168" s="110">
        <v>323</v>
      </c>
      <c r="K168" s="110">
        <v>323</v>
      </c>
    </row>
    <row r="169" spans="1:12" x14ac:dyDescent="0.2">
      <c r="A169" t="s">
        <v>6</v>
      </c>
      <c r="B169" t="s">
        <v>140</v>
      </c>
      <c r="C169" t="s">
        <v>222</v>
      </c>
      <c r="D169" s="110">
        <v>107661</v>
      </c>
      <c r="E169" s="110">
        <v>107661</v>
      </c>
      <c r="I169" s="110">
        <v>380</v>
      </c>
      <c r="J169" s="110">
        <v>400</v>
      </c>
    </row>
    <row r="170" spans="1:12" x14ac:dyDescent="0.2">
      <c r="A170" t="s">
        <v>6</v>
      </c>
      <c r="B170" t="s">
        <v>140</v>
      </c>
      <c r="C170" t="s">
        <v>223</v>
      </c>
      <c r="D170" s="110">
        <v>267654</v>
      </c>
      <c r="I170" s="110">
        <v>285</v>
      </c>
    </row>
    <row r="171" spans="1:12" x14ac:dyDescent="0.2">
      <c r="A171" t="s">
        <v>6</v>
      </c>
      <c r="B171" t="s">
        <v>105</v>
      </c>
      <c r="C171" t="s">
        <v>220</v>
      </c>
      <c r="D171" s="110">
        <v>532791.19999999995</v>
      </c>
      <c r="E171" s="110">
        <v>525804.19999999995</v>
      </c>
      <c r="F171" s="110">
        <v>524930.19999999995</v>
      </c>
      <c r="G171" s="110">
        <v>524511.19999999995</v>
      </c>
      <c r="I171" s="110">
        <v>72813.91</v>
      </c>
      <c r="J171" s="110">
        <v>116359.84</v>
      </c>
      <c r="K171" s="110">
        <v>152319.07999999999</v>
      </c>
      <c r="L171" s="110">
        <v>176221.88</v>
      </c>
    </row>
    <row r="172" spans="1:12" x14ac:dyDescent="0.2">
      <c r="A172" t="s">
        <v>6</v>
      </c>
      <c r="B172" t="s">
        <v>105</v>
      </c>
      <c r="C172" t="s">
        <v>221</v>
      </c>
      <c r="D172" s="110">
        <v>510011.75</v>
      </c>
      <c r="E172" s="110">
        <v>503104.25</v>
      </c>
      <c r="F172" s="110">
        <v>502056.25</v>
      </c>
      <c r="I172" s="110">
        <v>89997.52</v>
      </c>
      <c r="J172" s="110">
        <v>126916.42</v>
      </c>
      <c r="K172" s="110">
        <v>165696.4</v>
      </c>
    </row>
    <row r="173" spans="1:12" x14ac:dyDescent="0.2">
      <c r="A173" t="s">
        <v>6</v>
      </c>
      <c r="B173" t="s">
        <v>105</v>
      </c>
      <c r="C173" t="s">
        <v>222</v>
      </c>
      <c r="D173" s="110">
        <v>515552.01</v>
      </c>
      <c r="E173" s="110">
        <v>508667.98</v>
      </c>
      <c r="I173" s="110">
        <v>99655.84</v>
      </c>
      <c r="J173" s="110">
        <v>140754.04999999999</v>
      </c>
    </row>
    <row r="174" spans="1:12" x14ac:dyDescent="0.2">
      <c r="A174" t="s">
        <v>6</v>
      </c>
      <c r="B174" t="s">
        <v>105</v>
      </c>
      <c r="C174" t="s">
        <v>223</v>
      </c>
      <c r="D174" s="110">
        <v>470811.1</v>
      </c>
      <c r="I174" s="110">
        <v>71814.600000000006</v>
      </c>
    </row>
    <row r="175" spans="1:12" x14ac:dyDescent="0.2">
      <c r="A175" t="s">
        <v>6</v>
      </c>
      <c r="B175" t="s">
        <v>111</v>
      </c>
      <c r="C175" t="s">
        <v>220</v>
      </c>
      <c r="D175" s="110">
        <v>25844.1</v>
      </c>
      <c r="E175" s="110">
        <v>24744.1</v>
      </c>
      <c r="F175" s="110">
        <v>24394.1</v>
      </c>
      <c r="G175" s="110">
        <v>24194.1</v>
      </c>
      <c r="I175" s="110">
        <v>1043.0999999999999</v>
      </c>
      <c r="J175" s="110">
        <v>1393.1</v>
      </c>
      <c r="K175" s="110">
        <v>1481.1</v>
      </c>
      <c r="L175" s="110">
        <v>1481.1</v>
      </c>
    </row>
    <row r="176" spans="1:12" x14ac:dyDescent="0.2">
      <c r="A176" t="s">
        <v>6</v>
      </c>
      <c r="B176" t="s">
        <v>111</v>
      </c>
      <c r="C176" t="s">
        <v>221</v>
      </c>
      <c r="D176" s="110">
        <v>21028.9</v>
      </c>
      <c r="E176" s="110">
        <v>19478.900000000001</v>
      </c>
      <c r="F176" s="110">
        <v>19278.900000000001</v>
      </c>
      <c r="I176" s="110">
        <v>792.9</v>
      </c>
      <c r="J176" s="110">
        <v>892.9</v>
      </c>
      <c r="K176" s="110">
        <v>1042.9000000000001</v>
      </c>
    </row>
    <row r="177" spans="1:12" x14ac:dyDescent="0.2">
      <c r="A177" t="s">
        <v>6</v>
      </c>
      <c r="B177" t="s">
        <v>111</v>
      </c>
      <c r="C177" t="s">
        <v>222</v>
      </c>
      <c r="D177" s="110">
        <v>33640.65</v>
      </c>
      <c r="E177" s="110">
        <v>33090.65</v>
      </c>
      <c r="I177" s="110">
        <v>539.65</v>
      </c>
      <c r="J177" s="110">
        <v>739.65</v>
      </c>
    </row>
    <row r="178" spans="1:12" x14ac:dyDescent="0.2">
      <c r="A178" t="s">
        <v>6</v>
      </c>
      <c r="B178" t="s">
        <v>111</v>
      </c>
      <c r="C178" t="s">
        <v>223</v>
      </c>
      <c r="D178" s="110">
        <v>29353.25</v>
      </c>
      <c r="I178" s="110">
        <v>737.75</v>
      </c>
    </row>
    <row r="179" spans="1:12" x14ac:dyDescent="0.2">
      <c r="A179" t="s">
        <v>6</v>
      </c>
      <c r="B179" t="s">
        <v>109</v>
      </c>
      <c r="C179" t="s">
        <v>220</v>
      </c>
      <c r="D179" s="110">
        <v>606334.75</v>
      </c>
      <c r="E179" s="110">
        <v>598148.75</v>
      </c>
      <c r="F179" s="110">
        <v>589879.25</v>
      </c>
      <c r="G179" s="110">
        <v>587018.25</v>
      </c>
      <c r="I179" s="110">
        <v>120599.44</v>
      </c>
      <c r="J179" s="110">
        <v>194386.76</v>
      </c>
      <c r="K179" s="110">
        <v>250781.63</v>
      </c>
      <c r="L179" s="110">
        <v>300520.56</v>
      </c>
    </row>
    <row r="180" spans="1:12" x14ac:dyDescent="0.2">
      <c r="A180" t="s">
        <v>6</v>
      </c>
      <c r="B180" t="s">
        <v>109</v>
      </c>
      <c r="C180" t="s">
        <v>221</v>
      </c>
      <c r="D180" s="110">
        <v>606610.9</v>
      </c>
      <c r="E180" s="110">
        <v>600360.9</v>
      </c>
      <c r="F180" s="110">
        <v>591196.9</v>
      </c>
      <c r="I180" s="110">
        <v>146834.54999999999</v>
      </c>
      <c r="J180" s="110">
        <v>200797.26</v>
      </c>
      <c r="K180" s="110">
        <v>250570.39</v>
      </c>
    </row>
    <row r="181" spans="1:12" x14ac:dyDescent="0.2">
      <c r="A181" t="s">
        <v>6</v>
      </c>
      <c r="B181" t="s">
        <v>109</v>
      </c>
      <c r="C181" t="s">
        <v>222</v>
      </c>
      <c r="D181" s="110">
        <v>674003.75</v>
      </c>
      <c r="E181" s="110">
        <v>663969.35</v>
      </c>
      <c r="I181" s="110">
        <v>140868.96</v>
      </c>
      <c r="J181" s="110">
        <v>211901.61</v>
      </c>
    </row>
    <row r="182" spans="1:12" x14ac:dyDescent="0.2">
      <c r="A182" t="s">
        <v>6</v>
      </c>
      <c r="B182" t="s">
        <v>109</v>
      </c>
      <c r="C182" t="s">
        <v>223</v>
      </c>
      <c r="D182" s="110">
        <v>574968.30000000005</v>
      </c>
      <c r="I182" s="110">
        <v>99793.45</v>
      </c>
    </row>
    <row r="183" spans="1:12" x14ac:dyDescent="0.2">
      <c r="A183" t="s">
        <v>6</v>
      </c>
      <c r="B183" t="s">
        <v>106</v>
      </c>
      <c r="C183" t="s">
        <v>220</v>
      </c>
      <c r="D183" s="110">
        <v>650412.29</v>
      </c>
      <c r="E183" s="110">
        <v>650412.29</v>
      </c>
      <c r="F183" s="110">
        <v>648704.29</v>
      </c>
      <c r="G183" s="110">
        <v>648303.29</v>
      </c>
      <c r="I183" s="110">
        <v>607637.35</v>
      </c>
      <c r="J183" s="110">
        <v>637728.87</v>
      </c>
      <c r="K183" s="110">
        <v>636061.68000000005</v>
      </c>
      <c r="L183" s="110">
        <v>636151.13</v>
      </c>
    </row>
    <row r="184" spans="1:12" x14ac:dyDescent="0.2">
      <c r="A184" t="s">
        <v>6</v>
      </c>
      <c r="B184" t="s">
        <v>106</v>
      </c>
      <c r="C184" t="s">
        <v>221</v>
      </c>
      <c r="D184" s="110">
        <v>699628.3</v>
      </c>
      <c r="E184" s="110">
        <v>698712.3</v>
      </c>
      <c r="F184" s="110">
        <v>692781.3</v>
      </c>
      <c r="I184" s="110">
        <v>644896.30000000005</v>
      </c>
      <c r="J184" s="110">
        <v>691564.87</v>
      </c>
      <c r="K184" s="110">
        <v>685668.89</v>
      </c>
    </row>
    <row r="185" spans="1:12" x14ac:dyDescent="0.2">
      <c r="A185" t="s">
        <v>6</v>
      </c>
      <c r="B185" t="s">
        <v>106</v>
      </c>
      <c r="C185" t="s">
        <v>222</v>
      </c>
      <c r="D185" s="110">
        <v>762361.75</v>
      </c>
      <c r="E185" s="110">
        <v>762351.75</v>
      </c>
      <c r="I185" s="110">
        <v>721936.63</v>
      </c>
      <c r="J185" s="110">
        <v>753260.14</v>
      </c>
    </row>
    <row r="186" spans="1:12" x14ac:dyDescent="0.2">
      <c r="A186" t="s">
        <v>6</v>
      </c>
      <c r="B186" t="s">
        <v>106</v>
      </c>
      <c r="C186" t="s">
        <v>223</v>
      </c>
      <c r="D186" s="110">
        <v>720339.8</v>
      </c>
      <c r="I186" s="110">
        <v>685507.16</v>
      </c>
    </row>
    <row r="187" spans="1:12" x14ac:dyDescent="0.2">
      <c r="A187" t="s">
        <v>6</v>
      </c>
      <c r="B187" t="s">
        <v>107</v>
      </c>
      <c r="C187" t="s">
        <v>220</v>
      </c>
      <c r="D187" s="110">
        <v>638320.94999999995</v>
      </c>
      <c r="E187" s="110">
        <v>638320.94999999995</v>
      </c>
      <c r="F187" s="110">
        <v>638305.94999999995</v>
      </c>
      <c r="G187" s="110">
        <v>638280.94999999995</v>
      </c>
      <c r="I187" s="110">
        <v>623186</v>
      </c>
      <c r="J187" s="110">
        <v>635621</v>
      </c>
      <c r="K187" s="110">
        <v>636186</v>
      </c>
      <c r="L187" s="110">
        <v>636186</v>
      </c>
    </row>
    <row r="188" spans="1:12" x14ac:dyDescent="0.2">
      <c r="A188" t="s">
        <v>6</v>
      </c>
      <c r="B188" t="s">
        <v>107</v>
      </c>
      <c r="C188" t="s">
        <v>221</v>
      </c>
      <c r="D188" s="110">
        <v>695414.61</v>
      </c>
      <c r="E188" s="110">
        <v>695384.61</v>
      </c>
      <c r="F188" s="110">
        <v>695384.61</v>
      </c>
      <c r="I188" s="110">
        <v>651771.61</v>
      </c>
      <c r="J188" s="110">
        <v>689846.61</v>
      </c>
      <c r="K188" s="110">
        <v>689926.61</v>
      </c>
    </row>
    <row r="189" spans="1:12" x14ac:dyDescent="0.2">
      <c r="A189" t="s">
        <v>6</v>
      </c>
      <c r="B189" t="s">
        <v>107</v>
      </c>
      <c r="C189" t="s">
        <v>222</v>
      </c>
      <c r="D189" s="110">
        <v>591450.5</v>
      </c>
      <c r="E189" s="110">
        <v>591450.5</v>
      </c>
      <c r="I189" s="110">
        <v>559617.5</v>
      </c>
      <c r="J189" s="110">
        <v>588605.5</v>
      </c>
    </row>
    <row r="190" spans="1:12" x14ac:dyDescent="0.2">
      <c r="A190" t="s">
        <v>6</v>
      </c>
      <c r="B190" t="s">
        <v>107</v>
      </c>
      <c r="C190" t="s">
        <v>223</v>
      </c>
      <c r="D190" s="110">
        <v>744180.25</v>
      </c>
      <c r="I190" s="110">
        <v>711714.01</v>
      </c>
    </row>
    <row r="191" spans="1:12" x14ac:dyDescent="0.2">
      <c r="A191" t="s">
        <v>6</v>
      </c>
      <c r="B191" t="s">
        <v>108</v>
      </c>
      <c r="C191" t="s">
        <v>220</v>
      </c>
      <c r="D191" s="110">
        <v>225901.35</v>
      </c>
      <c r="E191" s="110">
        <v>225901.35</v>
      </c>
      <c r="F191" s="110">
        <v>225901.35</v>
      </c>
      <c r="G191" s="110">
        <v>225901.35</v>
      </c>
      <c r="I191" s="110">
        <v>221339.76</v>
      </c>
      <c r="J191" s="110">
        <v>224713.57</v>
      </c>
      <c r="K191" s="110">
        <v>224839.57</v>
      </c>
      <c r="L191" s="110">
        <v>224839.57</v>
      </c>
    </row>
    <row r="192" spans="1:12" x14ac:dyDescent="0.2">
      <c r="A192" t="s">
        <v>6</v>
      </c>
      <c r="B192" t="s">
        <v>108</v>
      </c>
      <c r="C192" t="s">
        <v>221</v>
      </c>
      <c r="D192" s="110">
        <v>247936.65</v>
      </c>
      <c r="E192" s="110">
        <v>247936.65</v>
      </c>
      <c r="F192" s="110">
        <v>247936.65</v>
      </c>
      <c r="I192" s="110">
        <v>221819.4</v>
      </c>
      <c r="J192" s="110">
        <v>246798.09</v>
      </c>
      <c r="K192" s="110">
        <v>246798.09</v>
      </c>
    </row>
    <row r="193" spans="1:12" x14ac:dyDescent="0.2">
      <c r="A193" t="s">
        <v>6</v>
      </c>
      <c r="B193" t="s">
        <v>108</v>
      </c>
      <c r="C193" t="s">
        <v>222</v>
      </c>
      <c r="D193" s="110">
        <v>247347.25</v>
      </c>
      <c r="E193" s="110">
        <v>247347.25</v>
      </c>
      <c r="I193" s="110">
        <v>228410.26</v>
      </c>
      <c r="J193" s="110">
        <v>245042.26</v>
      </c>
    </row>
    <row r="194" spans="1:12" x14ac:dyDescent="0.2">
      <c r="A194" t="s">
        <v>6</v>
      </c>
      <c r="B194" t="s">
        <v>108</v>
      </c>
      <c r="C194" t="s">
        <v>223</v>
      </c>
      <c r="D194" s="110">
        <v>239843.1</v>
      </c>
      <c r="I194" s="110">
        <v>227349.22</v>
      </c>
    </row>
    <row r="195" spans="1:12" x14ac:dyDescent="0.2">
      <c r="A195" t="s">
        <v>6</v>
      </c>
      <c r="B195" t="s">
        <v>70</v>
      </c>
      <c r="C195" t="s">
        <v>220</v>
      </c>
      <c r="D195" s="110">
        <v>290401.3</v>
      </c>
      <c r="E195" s="110">
        <v>290401.3</v>
      </c>
      <c r="F195" s="110">
        <v>290401.3</v>
      </c>
      <c r="G195" s="110">
        <v>290401.3</v>
      </c>
      <c r="I195" s="110">
        <v>262022.19</v>
      </c>
      <c r="J195" s="110">
        <v>267554.86</v>
      </c>
      <c r="K195" s="110">
        <v>269576.09999999998</v>
      </c>
      <c r="L195" s="110">
        <v>270444.3</v>
      </c>
    </row>
    <row r="196" spans="1:12" x14ac:dyDescent="0.2">
      <c r="A196" t="s">
        <v>6</v>
      </c>
      <c r="B196" t="s">
        <v>70</v>
      </c>
      <c r="C196" t="s">
        <v>221</v>
      </c>
      <c r="D196" s="110">
        <v>326951.05</v>
      </c>
      <c r="E196" s="110">
        <v>326891.05</v>
      </c>
      <c r="F196" s="110">
        <v>326590.05</v>
      </c>
      <c r="I196" s="110">
        <v>291145.5</v>
      </c>
      <c r="J196" s="110">
        <v>305969.84000000003</v>
      </c>
      <c r="K196" s="110">
        <v>307484.42</v>
      </c>
    </row>
    <row r="197" spans="1:12" x14ac:dyDescent="0.2">
      <c r="A197" t="s">
        <v>6</v>
      </c>
      <c r="B197" t="s">
        <v>70</v>
      </c>
      <c r="C197" t="s">
        <v>222</v>
      </c>
      <c r="D197" s="110">
        <v>354029.95</v>
      </c>
      <c r="E197" s="110">
        <v>353979.95</v>
      </c>
      <c r="I197" s="110">
        <v>319425.31</v>
      </c>
      <c r="J197" s="110">
        <v>329690.15999999997</v>
      </c>
    </row>
    <row r="198" spans="1:12" x14ac:dyDescent="0.2">
      <c r="A198" t="s">
        <v>6</v>
      </c>
      <c r="B198" t="s">
        <v>70</v>
      </c>
      <c r="C198" t="s">
        <v>223</v>
      </c>
      <c r="D198" s="110">
        <v>313518.95</v>
      </c>
      <c r="I198" s="110">
        <v>282489.65999999997</v>
      </c>
    </row>
    <row r="199" spans="1:12" x14ac:dyDescent="0.2">
      <c r="A199" t="s">
        <v>6</v>
      </c>
      <c r="B199" t="s">
        <v>110</v>
      </c>
      <c r="C199" t="s">
        <v>220</v>
      </c>
      <c r="D199" s="110">
        <v>1334636.7</v>
      </c>
      <c r="E199" s="110">
        <v>1273091.2</v>
      </c>
      <c r="F199" s="110">
        <v>1268698.2</v>
      </c>
      <c r="G199" s="110">
        <v>1268382.2</v>
      </c>
      <c r="I199" s="110">
        <v>674256.37</v>
      </c>
      <c r="J199" s="110">
        <v>1021917.7</v>
      </c>
      <c r="K199" s="110">
        <v>1088118.19</v>
      </c>
      <c r="L199" s="110">
        <v>1114400.6599999999</v>
      </c>
    </row>
    <row r="200" spans="1:12" x14ac:dyDescent="0.2">
      <c r="A200" t="s">
        <v>6</v>
      </c>
      <c r="B200" t="s">
        <v>110</v>
      </c>
      <c r="C200" t="s">
        <v>221</v>
      </c>
      <c r="D200" s="110">
        <v>1615893.3</v>
      </c>
      <c r="E200" s="110">
        <v>1539153.25</v>
      </c>
      <c r="F200" s="110">
        <v>1535430.75</v>
      </c>
      <c r="I200" s="110">
        <v>853729.5</v>
      </c>
      <c r="J200" s="110">
        <v>1265723.8999999999</v>
      </c>
      <c r="K200" s="110">
        <v>1336948.06</v>
      </c>
    </row>
    <row r="201" spans="1:12" x14ac:dyDescent="0.2">
      <c r="A201" t="s">
        <v>6</v>
      </c>
      <c r="B201" t="s">
        <v>110</v>
      </c>
      <c r="C201" t="s">
        <v>222</v>
      </c>
      <c r="D201" s="110">
        <v>1603833.15</v>
      </c>
      <c r="E201" s="110">
        <v>1516749.4</v>
      </c>
      <c r="I201" s="110">
        <v>807387.95</v>
      </c>
      <c r="J201" s="110">
        <v>1200553.22</v>
      </c>
    </row>
    <row r="202" spans="1:12" x14ac:dyDescent="0.2">
      <c r="A202" t="s">
        <v>6</v>
      </c>
      <c r="B202" t="s">
        <v>110</v>
      </c>
      <c r="C202" t="s">
        <v>223</v>
      </c>
      <c r="D202" s="110">
        <v>1624530.1</v>
      </c>
      <c r="I202" s="110">
        <v>850438.4</v>
      </c>
    </row>
    <row r="203" spans="1:12" x14ac:dyDescent="0.2">
      <c r="A203" t="s">
        <v>7</v>
      </c>
      <c r="B203" t="s">
        <v>104</v>
      </c>
      <c r="C203" t="s">
        <v>220</v>
      </c>
      <c r="D203" s="110">
        <v>2555634.41</v>
      </c>
      <c r="E203" s="110">
        <v>2540050.16</v>
      </c>
      <c r="F203" s="110">
        <v>2554084.16</v>
      </c>
      <c r="G203" s="110">
        <v>2565925.16</v>
      </c>
      <c r="I203" s="110">
        <v>85050.29</v>
      </c>
      <c r="J203" s="110">
        <v>132783.43</v>
      </c>
      <c r="K203" s="110">
        <v>174261.99</v>
      </c>
      <c r="L203" s="110">
        <v>205020.7</v>
      </c>
    </row>
    <row r="204" spans="1:12" x14ac:dyDescent="0.2">
      <c r="A204" t="s">
        <v>7</v>
      </c>
      <c r="B204" t="s">
        <v>104</v>
      </c>
      <c r="C204" t="s">
        <v>221</v>
      </c>
      <c r="D204" s="110">
        <v>2864364.31</v>
      </c>
      <c r="E204" s="110">
        <v>2903989.49</v>
      </c>
      <c r="F204" s="110">
        <v>2917846.29</v>
      </c>
      <c r="I204" s="110">
        <v>85200.75</v>
      </c>
      <c r="J204" s="110">
        <v>156249.82999999999</v>
      </c>
      <c r="K204" s="110">
        <v>198793.87</v>
      </c>
    </row>
    <row r="205" spans="1:12" x14ac:dyDescent="0.2">
      <c r="A205" t="s">
        <v>7</v>
      </c>
      <c r="B205" t="s">
        <v>104</v>
      </c>
      <c r="C205" t="s">
        <v>222</v>
      </c>
      <c r="D205" s="110">
        <v>3554396.39</v>
      </c>
      <c r="E205" s="110">
        <v>3544002.39</v>
      </c>
      <c r="I205" s="110">
        <v>90640.95</v>
      </c>
      <c r="J205" s="110">
        <v>137785.35</v>
      </c>
    </row>
    <row r="206" spans="1:12" x14ac:dyDescent="0.2">
      <c r="A206" t="s">
        <v>7</v>
      </c>
      <c r="B206" t="s">
        <v>104</v>
      </c>
      <c r="C206" t="s">
        <v>223</v>
      </c>
      <c r="D206" s="110">
        <v>2617396.27</v>
      </c>
      <c r="I206" s="110">
        <v>83296.149999999994</v>
      </c>
    </row>
    <row r="207" spans="1:12" x14ac:dyDescent="0.2">
      <c r="A207" t="s">
        <v>7</v>
      </c>
      <c r="B207" t="s">
        <v>140</v>
      </c>
      <c r="C207" t="s">
        <v>220</v>
      </c>
      <c r="D207" s="110">
        <v>483276.4</v>
      </c>
      <c r="E207" s="110">
        <v>483271.4</v>
      </c>
      <c r="F207" s="110">
        <v>483271.4</v>
      </c>
      <c r="G207" s="110">
        <v>483271.4</v>
      </c>
      <c r="I207" s="110">
        <v>2274.52</v>
      </c>
      <c r="J207" s="110">
        <v>2779.5</v>
      </c>
      <c r="K207" s="110">
        <v>3761.87</v>
      </c>
      <c r="L207" s="110">
        <v>4034.19</v>
      </c>
    </row>
    <row r="208" spans="1:12" x14ac:dyDescent="0.2">
      <c r="A208" t="s">
        <v>7</v>
      </c>
      <c r="B208" t="s">
        <v>140</v>
      </c>
      <c r="C208" t="s">
        <v>221</v>
      </c>
      <c r="D208" s="110">
        <v>900788.15</v>
      </c>
      <c r="E208" s="110">
        <v>950788.15</v>
      </c>
      <c r="F208" s="110">
        <v>950988.15</v>
      </c>
      <c r="I208" s="110">
        <v>1469.95</v>
      </c>
      <c r="J208" s="110">
        <v>2787.95</v>
      </c>
      <c r="K208" s="110">
        <v>2983.56</v>
      </c>
    </row>
    <row r="209" spans="1:12" x14ac:dyDescent="0.2">
      <c r="A209" t="s">
        <v>7</v>
      </c>
      <c r="B209" t="s">
        <v>140</v>
      </c>
      <c r="C209" t="s">
        <v>222</v>
      </c>
      <c r="D209" s="110">
        <v>1634898.24</v>
      </c>
      <c r="E209" s="110">
        <v>1634898.24</v>
      </c>
      <c r="I209" s="110">
        <v>1215.46</v>
      </c>
      <c r="J209" s="110">
        <v>2859.5</v>
      </c>
    </row>
    <row r="210" spans="1:12" x14ac:dyDescent="0.2">
      <c r="A210" t="s">
        <v>7</v>
      </c>
      <c r="B210" t="s">
        <v>140</v>
      </c>
      <c r="C210" t="s">
        <v>223</v>
      </c>
      <c r="D210" s="110">
        <v>550292.80000000005</v>
      </c>
      <c r="I210" s="110">
        <v>794.24</v>
      </c>
    </row>
    <row r="211" spans="1:12" x14ac:dyDescent="0.2">
      <c r="A211" t="s">
        <v>7</v>
      </c>
      <c r="B211" t="s">
        <v>105</v>
      </c>
      <c r="C211" t="s">
        <v>220</v>
      </c>
      <c r="D211" s="110">
        <v>1905519.65</v>
      </c>
      <c r="E211" s="110">
        <v>1860670.15</v>
      </c>
      <c r="F211" s="110">
        <v>1826519.25</v>
      </c>
      <c r="G211" s="110">
        <v>1802134.24</v>
      </c>
      <c r="I211" s="110">
        <v>328920.15000000002</v>
      </c>
      <c r="J211" s="110">
        <v>519538.88</v>
      </c>
      <c r="K211" s="110">
        <v>666599.44999999995</v>
      </c>
      <c r="L211" s="110">
        <v>715690.74</v>
      </c>
    </row>
    <row r="212" spans="1:12" x14ac:dyDescent="0.2">
      <c r="A212" t="s">
        <v>7</v>
      </c>
      <c r="B212" t="s">
        <v>105</v>
      </c>
      <c r="C212" t="s">
        <v>221</v>
      </c>
      <c r="D212" s="110">
        <v>2010332.71</v>
      </c>
      <c r="E212" s="110">
        <v>1956107.43</v>
      </c>
      <c r="F212" s="110">
        <v>1912327.33</v>
      </c>
      <c r="I212" s="110">
        <v>401596.37</v>
      </c>
      <c r="J212" s="110">
        <v>579578.02</v>
      </c>
      <c r="K212" s="110">
        <v>719995.54</v>
      </c>
    </row>
    <row r="213" spans="1:12" x14ac:dyDescent="0.2">
      <c r="A213" t="s">
        <v>7</v>
      </c>
      <c r="B213" t="s">
        <v>105</v>
      </c>
      <c r="C213" t="s">
        <v>222</v>
      </c>
      <c r="D213" s="110">
        <v>2088063.39</v>
      </c>
      <c r="E213" s="110">
        <v>2041185.39</v>
      </c>
      <c r="I213" s="110">
        <v>387384.11</v>
      </c>
      <c r="J213" s="110">
        <v>539019.28</v>
      </c>
    </row>
    <row r="214" spans="1:12" x14ac:dyDescent="0.2">
      <c r="A214" t="s">
        <v>7</v>
      </c>
      <c r="B214" t="s">
        <v>105</v>
      </c>
      <c r="C214" t="s">
        <v>223</v>
      </c>
      <c r="D214" s="110">
        <v>1783520.12</v>
      </c>
      <c r="I214" s="110">
        <v>338230.56</v>
      </c>
    </row>
    <row r="215" spans="1:12" x14ac:dyDescent="0.2">
      <c r="A215" t="s">
        <v>7</v>
      </c>
      <c r="B215" t="s">
        <v>111</v>
      </c>
      <c r="C215" t="s">
        <v>220</v>
      </c>
      <c r="D215" s="110">
        <v>136783</v>
      </c>
      <c r="E215" s="110">
        <v>136781</v>
      </c>
      <c r="F215" s="110">
        <v>136781</v>
      </c>
      <c r="G215" s="110">
        <v>136631</v>
      </c>
      <c r="I215" s="110">
        <v>3836</v>
      </c>
      <c r="J215" s="110">
        <v>4636</v>
      </c>
      <c r="K215" s="110">
        <v>5135</v>
      </c>
      <c r="L215" s="110">
        <v>5852</v>
      </c>
    </row>
    <row r="216" spans="1:12" x14ac:dyDescent="0.2">
      <c r="A216" t="s">
        <v>7</v>
      </c>
      <c r="B216" t="s">
        <v>111</v>
      </c>
      <c r="C216" t="s">
        <v>221</v>
      </c>
      <c r="D216" s="110">
        <v>329371</v>
      </c>
      <c r="E216" s="110">
        <v>328513</v>
      </c>
      <c r="F216" s="110">
        <v>327291</v>
      </c>
      <c r="I216" s="110">
        <v>2106</v>
      </c>
      <c r="J216" s="110">
        <v>4251</v>
      </c>
      <c r="K216" s="110">
        <v>6026</v>
      </c>
    </row>
    <row r="217" spans="1:12" x14ac:dyDescent="0.2">
      <c r="A217" t="s">
        <v>7</v>
      </c>
      <c r="B217" t="s">
        <v>111</v>
      </c>
      <c r="C217" t="s">
        <v>222</v>
      </c>
      <c r="D217" s="110">
        <v>174418</v>
      </c>
      <c r="E217" s="110">
        <v>171267</v>
      </c>
      <c r="I217" s="110">
        <v>4694</v>
      </c>
      <c r="J217" s="110">
        <v>5999</v>
      </c>
    </row>
    <row r="218" spans="1:12" x14ac:dyDescent="0.2">
      <c r="A218" t="s">
        <v>7</v>
      </c>
      <c r="B218" t="s">
        <v>111</v>
      </c>
      <c r="C218" t="s">
        <v>223</v>
      </c>
      <c r="D218" s="110">
        <v>147032</v>
      </c>
      <c r="I218" s="110">
        <v>5197</v>
      </c>
    </row>
    <row r="219" spans="1:12" x14ac:dyDescent="0.2">
      <c r="A219" t="s">
        <v>7</v>
      </c>
      <c r="B219" t="s">
        <v>109</v>
      </c>
      <c r="C219" t="s">
        <v>220</v>
      </c>
      <c r="D219" s="110">
        <v>1381898.3</v>
      </c>
      <c r="E219" s="110">
        <v>1218074.3999999999</v>
      </c>
      <c r="F219" s="110">
        <v>1146368.3999999999</v>
      </c>
      <c r="G219" s="110">
        <v>1121979.25</v>
      </c>
      <c r="I219" s="110">
        <v>141646.39999999999</v>
      </c>
      <c r="J219" s="110">
        <v>345503.4</v>
      </c>
      <c r="K219" s="110">
        <v>470317.9</v>
      </c>
      <c r="L219" s="110">
        <v>518752.25</v>
      </c>
    </row>
    <row r="220" spans="1:12" x14ac:dyDescent="0.2">
      <c r="A220" t="s">
        <v>7</v>
      </c>
      <c r="B220" t="s">
        <v>109</v>
      </c>
      <c r="C220" t="s">
        <v>221</v>
      </c>
      <c r="D220" s="110">
        <v>1359600.8</v>
      </c>
      <c r="E220" s="110">
        <v>1177637.7</v>
      </c>
      <c r="F220" s="110">
        <v>1108856.3</v>
      </c>
      <c r="I220" s="110">
        <v>181251.35</v>
      </c>
      <c r="J220" s="110">
        <v>344041.15</v>
      </c>
      <c r="K220" s="110">
        <v>467810.09</v>
      </c>
    </row>
    <row r="221" spans="1:12" x14ac:dyDescent="0.2">
      <c r="A221" t="s">
        <v>7</v>
      </c>
      <c r="B221" t="s">
        <v>109</v>
      </c>
      <c r="C221" t="s">
        <v>222</v>
      </c>
      <c r="D221" s="110">
        <v>1424045.65</v>
      </c>
      <c r="E221" s="110">
        <v>1255880.6000000001</v>
      </c>
      <c r="I221" s="110">
        <v>163822.5</v>
      </c>
      <c r="J221" s="110">
        <v>351298.7</v>
      </c>
    </row>
    <row r="222" spans="1:12" x14ac:dyDescent="0.2">
      <c r="A222" t="s">
        <v>7</v>
      </c>
      <c r="B222" t="s">
        <v>109</v>
      </c>
      <c r="C222" t="s">
        <v>223</v>
      </c>
      <c r="D222" s="110">
        <v>1215793.1499999999</v>
      </c>
      <c r="I222" s="110">
        <v>132995.25</v>
      </c>
    </row>
    <row r="223" spans="1:12" x14ac:dyDescent="0.2">
      <c r="A223" t="s">
        <v>7</v>
      </c>
      <c r="B223" t="s">
        <v>106</v>
      </c>
      <c r="C223" t="s">
        <v>220</v>
      </c>
      <c r="D223" s="110">
        <v>4804569.54</v>
      </c>
      <c r="E223" s="110">
        <v>4789519.54</v>
      </c>
      <c r="F223" s="110">
        <v>4778809.54</v>
      </c>
      <c r="G223" s="110">
        <v>4777309.54</v>
      </c>
      <c r="I223" s="110">
        <v>4792768.84</v>
      </c>
      <c r="J223" s="110">
        <v>4776230.34</v>
      </c>
      <c r="K223" s="110">
        <v>4765712.34</v>
      </c>
      <c r="L223" s="110">
        <v>4764252.34</v>
      </c>
    </row>
    <row r="224" spans="1:12" x14ac:dyDescent="0.2">
      <c r="A224" t="s">
        <v>7</v>
      </c>
      <c r="B224" t="s">
        <v>106</v>
      </c>
      <c r="C224" t="s">
        <v>221</v>
      </c>
      <c r="D224" s="110">
        <v>4603146.84</v>
      </c>
      <c r="E224" s="110">
        <v>4579202.34</v>
      </c>
      <c r="F224" s="110">
        <v>4573202.34</v>
      </c>
      <c r="I224" s="110">
        <v>4592656.9400000004</v>
      </c>
      <c r="J224" s="110">
        <v>4569082.04</v>
      </c>
      <c r="K224" s="110">
        <v>4563284.04</v>
      </c>
    </row>
    <row r="225" spans="1:12" x14ac:dyDescent="0.2">
      <c r="A225" t="s">
        <v>7</v>
      </c>
      <c r="B225" t="s">
        <v>106</v>
      </c>
      <c r="C225" t="s">
        <v>222</v>
      </c>
      <c r="D225" s="110">
        <v>4338672.04</v>
      </c>
      <c r="E225" s="110">
        <v>4319780.04</v>
      </c>
      <c r="I225" s="110">
        <v>4333860.6399999997</v>
      </c>
      <c r="J225" s="110">
        <v>4314739.6399999997</v>
      </c>
    </row>
    <row r="226" spans="1:12" x14ac:dyDescent="0.2">
      <c r="A226" t="s">
        <v>7</v>
      </c>
      <c r="B226" t="s">
        <v>106</v>
      </c>
      <c r="C226" t="s">
        <v>223</v>
      </c>
      <c r="D226" s="110">
        <v>4498563.4800000004</v>
      </c>
      <c r="I226" s="110">
        <v>4493042.58</v>
      </c>
    </row>
    <row r="227" spans="1:12" x14ac:dyDescent="0.2">
      <c r="A227" t="s">
        <v>7</v>
      </c>
      <c r="B227" t="s">
        <v>107</v>
      </c>
      <c r="C227" t="s">
        <v>220</v>
      </c>
      <c r="D227" s="110">
        <v>3920527.86</v>
      </c>
      <c r="E227" s="110">
        <v>3920332.86</v>
      </c>
      <c r="F227" s="110">
        <v>3919922.86</v>
      </c>
      <c r="G227" s="110">
        <v>3919922.86</v>
      </c>
      <c r="I227" s="110">
        <v>3919967.86</v>
      </c>
      <c r="J227" s="110">
        <v>3919762.86</v>
      </c>
      <c r="K227" s="110">
        <v>3919352.86</v>
      </c>
      <c r="L227" s="110">
        <v>3919352.86</v>
      </c>
    </row>
    <row r="228" spans="1:12" x14ac:dyDescent="0.2">
      <c r="A228" t="s">
        <v>7</v>
      </c>
      <c r="B228" t="s">
        <v>107</v>
      </c>
      <c r="C228" t="s">
        <v>221</v>
      </c>
      <c r="D228" s="110">
        <v>4261426.24</v>
      </c>
      <c r="E228" s="110">
        <v>4260381.24</v>
      </c>
      <c r="F228" s="110">
        <v>4260381.24</v>
      </c>
      <c r="I228" s="110">
        <v>4260886.24</v>
      </c>
      <c r="J228" s="110">
        <v>4259841.24</v>
      </c>
      <c r="K228" s="110">
        <v>4259841.24</v>
      </c>
    </row>
    <row r="229" spans="1:12" x14ac:dyDescent="0.2">
      <c r="A229" t="s">
        <v>7</v>
      </c>
      <c r="B229" t="s">
        <v>107</v>
      </c>
      <c r="C229" t="s">
        <v>222</v>
      </c>
      <c r="D229" s="110">
        <v>4202110.78</v>
      </c>
      <c r="E229" s="110">
        <v>4202110.78</v>
      </c>
      <c r="I229" s="110">
        <v>4201690.78</v>
      </c>
      <c r="J229" s="110">
        <v>4201390.78</v>
      </c>
    </row>
    <row r="230" spans="1:12" x14ac:dyDescent="0.2">
      <c r="A230" t="s">
        <v>7</v>
      </c>
      <c r="B230" t="s">
        <v>107</v>
      </c>
      <c r="C230" t="s">
        <v>223</v>
      </c>
      <c r="D230" s="110">
        <v>4035626.02</v>
      </c>
      <c r="I230" s="110">
        <v>4034477.02</v>
      </c>
    </row>
    <row r="231" spans="1:12" x14ac:dyDescent="0.2">
      <c r="A231" t="s">
        <v>7</v>
      </c>
      <c r="B231" t="s">
        <v>108</v>
      </c>
      <c r="C231" t="s">
        <v>220</v>
      </c>
      <c r="D231" s="110">
        <v>510778</v>
      </c>
      <c r="E231" s="110">
        <v>509770</v>
      </c>
      <c r="F231" s="110">
        <v>507951</v>
      </c>
      <c r="G231" s="110">
        <v>506050</v>
      </c>
      <c r="I231" s="110">
        <v>504831</v>
      </c>
      <c r="J231" s="110">
        <v>503907</v>
      </c>
      <c r="K231" s="110">
        <v>502097</v>
      </c>
      <c r="L231" s="110">
        <v>500928</v>
      </c>
    </row>
    <row r="232" spans="1:12" x14ac:dyDescent="0.2">
      <c r="A232" t="s">
        <v>7</v>
      </c>
      <c r="B232" t="s">
        <v>108</v>
      </c>
      <c r="C232" t="s">
        <v>221</v>
      </c>
      <c r="D232" s="110">
        <v>579286</v>
      </c>
      <c r="E232" s="110">
        <v>577521</v>
      </c>
      <c r="F232" s="110">
        <v>577035</v>
      </c>
      <c r="I232" s="110">
        <v>570341</v>
      </c>
      <c r="J232" s="110">
        <v>568213</v>
      </c>
      <c r="K232" s="110">
        <v>567792</v>
      </c>
    </row>
    <row r="233" spans="1:12" x14ac:dyDescent="0.2">
      <c r="A233" t="s">
        <v>7</v>
      </c>
      <c r="B233" t="s">
        <v>108</v>
      </c>
      <c r="C233" t="s">
        <v>222</v>
      </c>
      <c r="D233" s="110">
        <v>517544</v>
      </c>
      <c r="E233" s="110">
        <v>517544</v>
      </c>
      <c r="I233" s="110">
        <v>510484</v>
      </c>
      <c r="J233" s="110">
        <v>510504</v>
      </c>
    </row>
    <row r="234" spans="1:12" x14ac:dyDescent="0.2">
      <c r="A234" t="s">
        <v>7</v>
      </c>
      <c r="B234" t="s">
        <v>108</v>
      </c>
      <c r="C234" t="s">
        <v>223</v>
      </c>
      <c r="D234" s="110">
        <v>582019</v>
      </c>
      <c r="I234" s="110">
        <v>573080</v>
      </c>
    </row>
    <row r="235" spans="1:12" x14ac:dyDescent="0.2">
      <c r="A235" t="s">
        <v>7</v>
      </c>
      <c r="B235" t="s">
        <v>70</v>
      </c>
      <c r="C235" t="s">
        <v>220</v>
      </c>
      <c r="D235" s="110">
        <v>997700.8</v>
      </c>
      <c r="E235" s="110">
        <v>997405.8</v>
      </c>
      <c r="F235" s="110">
        <v>997397.8</v>
      </c>
      <c r="G235" s="110">
        <v>997397.8</v>
      </c>
      <c r="I235" s="110">
        <v>981727.3</v>
      </c>
      <c r="J235" s="110">
        <v>984771.3</v>
      </c>
      <c r="K235" s="110">
        <v>986368.3</v>
      </c>
      <c r="L235" s="110">
        <v>987173.8</v>
      </c>
    </row>
    <row r="236" spans="1:12" x14ac:dyDescent="0.2">
      <c r="A236" t="s">
        <v>7</v>
      </c>
      <c r="B236" t="s">
        <v>70</v>
      </c>
      <c r="C236" t="s">
        <v>221</v>
      </c>
      <c r="D236" s="110">
        <v>1058642.2</v>
      </c>
      <c r="E236" s="110">
        <v>1058636.2</v>
      </c>
      <c r="F236" s="110">
        <v>1058636.2</v>
      </c>
      <c r="I236" s="110">
        <v>1048553.32</v>
      </c>
      <c r="J236" s="110">
        <v>1049699.1399999999</v>
      </c>
      <c r="K236" s="110">
        <v>1050958.1399999999</v>
      </c>
    </row>
    <row r="237" spans="1:12" x14ac:dyDescent="0.2">
      <c r="A237" t="s">
        <v>7</v>
      </c>
      <c r="B237" t="s">
        <v>70</v>
      </c>
      <c r="C237" t="s">
        <v>222</v>
      </c>
      <c r="D237" s="110">
        <v>1142720.8999999999</v>
      </c>
      <c r="E237" s="110">
        <v>1142720.8999999999</v>
      </c>
      <c r="I237" s="110">
        <v>1122490.8999999999</v>
      </c>
      <c r="J237" s="110">
        <v>1126059.32</v>
      </c>
    </row>
    <row r="238" spans="1:12" x14ac:dyDescent="0.2">
      <c r="A238" t="s">
        <v>7</v>
      </c>
      <c r="B238" t="s">
        <v>70</v>
      </c>
      <c r="C238" t="s">
        <v>223</v>
      </c>
      <c r="D238" s="110">
        <v>970732.52</v>
      </c>
      <c r="I238" s="110">
        <v>957553.12</v>
      </c>
    </row>
    <row r="239" spans="1:12" x14ac:dyDescent="0.2">
      <c r="A239" t="s">
        <v>7</v>
      </c>
      <c r="B239" t="s">
        <v>110</v>
      </c>
      <c r="C239" t="s">
        <v>220</v>
      </c>
      <c r="D239" s="110">
        <v>9887408.3499999996</v>
      </c>
      <c r="E239" s="110">
        <v>7852373.3499999996</v>
      </c>
      <c r="F239" s="110">
        <v>7313283.75</v>
      </c>
      <c r="G239" s="110">
        <v>7248499.25</v>
      </c>
      <c r="I239" s="110">
        <v>2356348.2000000002</v>
      </c>
      <c r="J239" s="110">
        <v>4443067.95</v>
      </c>
      <c r="K239" s="110">
        <v>5798111.4100000001</v>
      </c>
      <c r="L239" s="110">
        <v>6166931.5</v>
      </c>
    </row>
    <row r="240" spans="1:12" x14ac:dyDescent="0.2">
      <c r="A240" t="s">
        <v>7</v>
      </c>
      <c r="B240" t="s">
        <v>110</v>
      </c>
      <c r="C240" t="s">
        <v>221</v>
      </c>
      <c r="D240" s="110">
        <v>11846299.029999999</v>
      </c>
      <c r="E240" s="110">
        <v>9435504.8800000008</v>
      </c>
      <c r="F240" s="110">
        <v>8906029.7899999991</v>
      </c>
      <c r="I240" s="110">
        <v>2896273.62</v>
      </c>
      <c r="J240" s="110">
        <v>5502566.5099999998</v>
      </c>
      <c r="K240" s="110">
        <v>7051210.29</v>
      </c>
    </row>
    <row r="241" spans="1:12" x14ac:dyDescent="0.2">
      <c r="A241" t="s">
        <v>7</v>
      </c>
      <c r="B241" t="s">
        <v>110</v>
      </c>
      <c r="C241" t="s">
        <v>222</v>
      </c>
      <c r="D241" s="110">
        <v>11751373.18</v>
      </c>
      <c r="E241" s="110">
        <v>9630666.8599999994</v>
      </c>
      <c r="I241" s="110">
        <v>2875177.47</v>
      </c>
      <c r="J241" s="110">
        <v>5568120.0199999996</v>
      </c>
    </row>
    <row r="242" spans="1:12" x14ac:dyDescent="0.2">
      <c r="A242" t="s">
        <v>7</v>
      </c>
      <c r="B242" t="s">
        <v>110</v>
      </c>
      <c r="C242" t="s">
        <v>223</v>
      </c>
      <c r="D242" s="110">
        <v>10930634.699999999</v>
      </c>
      <c r="I242" s="110">
        <v>2665017.75</v>
      </c>
    </row>
    <row r="243" spans="1:12" x14ac:dyDescent="0.2">
      <c r="A243" t="s">
        <v>8</v>
      </c>
      <c r="B243" t="s">
        <v>104</v>
      </c>
      <c r="C243" t="s">
        <v>220</v>
      </c>
      <c r="D243" s="110">
        <v>43933</v>
      </c>
      <c r="E243" s="110">
        <v>43933</v>
      </c>
      <c r="F243" s="110">
        <v>43933</v>
      </c>
      <c r="G243" s="110">
        <v>43933</v>
      </c>
      <c r="I243" s="110">
        <v>2287</v>
      </c>
      <c r="J243" s="110">
        <v>3136</v>
      </c>
      <c r="K243" s="110">
        <v>4063</v>
      </c>
      <c r="L243" s="110">
        <v>4544</v>
      </c>
    </row>
    <row r="244" spans="1:12" x14ac:dyDescent="0.2">
      <c r="A244" t="s">
        <v>8</v>
      </c>
      <c r="B244" t="s">
        <v>104</v>
      </c>
      <c r="C244" t="s">
        <v>221</v>
      </c>
      <c r="D244" s="110">
        <v>61810</v>
      </c>
      <c r="E244" s="110">
        <v>61810</v>
      </c>
      <c r="F244" s="110">
        <v>61810</v>
      </c>
      <c r="I244" s="110">
        <v>4373</v>
      </c>
      <c r="J244" s="110">
        <v>5177</v>
      </c>
      <c r="K244" s="110">
        <v>5603</v>
      </c>
    </row>
    <row r="245" spans="1:12" x14ac:dyDescent="0.2">
      <c r="A245" t="s">
        <v>8</v>
      </c>
      <c r="B245" t="s">
        <v>104</v>
      </c>
      <c r="C245" t="s">
        <v>222</v>
      </c>
      <c r="D245" s="110">
        <v>41160</v>
      </c>
      <c r="E245" s="110">
        <v>41160</v>
      </c>
      <c r="I245" s="110">
        <v>702</v>
      </c>
      <c r="J245" s="110">
        <v>1111</v>
      </c>
    </row>
    <row r="246" spans="1:12" x14ac:dyDescent="0.2">
      <c r="A246" t="s">
        <v>8</v>
      </c>
      <c r="B246" t="s">
        <v>104</v>
      </c>
      <c r="C246" t="s">
        <v>223</v>
      </c>
      <c r="D246" s="110">
        <v>49391</v>
      </c>
      <c r="I246" s="110">
        <v>1304</v>
      </c>
    </row>
    <row r="247" spans="1:12" x14ac:dyDescent="0.2">
      <c r="A247" t="s">
        <v>8</v>
      </c>
      <c r="B247" t="s">
        <v>140</v>
      </c>
      <c r="C247" t="s">
        <v>220</v>
      </c>
      <c r="D247" s="110">
        <v>0</v>
      </c>
      <c r="E247" s="110">
        <v>0</v>
      </c>
      <c r="F247" s="110">
        <v>0</v>
      </c>
      <c r="G247" s="110">
        <v>0</v>
      </c>
      <c r="I247" s="110">
        <v>0</v>
      </c>
      <c r="J247" s="110">
        <v>0</v>
      </c>
      <c r="K247" s="110">
        <v>0</v>
      </c>
      <c r="L247" s="110">
        <v>0</v>
      </c>
    </row>
    <row r="248" spans="1:12" x14ac:dyDescent="0.2">
      <c r="A248" t="s">
        <v>8</v>
      </c>
      <c r="B248" t="s">
        <v>140</v>
      </c>
      <c r="C248" t="s">
        <v>221</v>
      </c>
      <c r="D248" s="110">
        <v>0</v>
      </c>
      <c r="E248" s="110">
        <v>0</v>
      </c>
      <c r="F248" s="110">
        <v>0</v>
      </c>
      <c r="I248" s="110">
        <v>0</v>
      </c>
      <c r="J248" s="110">
        <v>0</v>
      </c>
      <c r="K248" s="110">
        <v>0</v>
      </c>
    </row>
    <row r="249" spans="1:12" x14ac:dyDescent="0.2">
      <c r="A249" t="s">
        <v>8</v>
      </c>
      <c r="B249" t="s">
        <v>140</v>
      </c>
      <c r="C249" t="s">
        <v>222</v>
      </c>
      <c r="D249" s="110">
        <v>0</v>
      </c>
      <c r="E249" s="110">
        <v>0</v>
      </c>
      <c r="I249" s="110">
        <v>0</v>
      </c>
      <c r="J249" s="110">
        <v>0</v>
      </c>
    </row>
    <row r="250" spans="1:12" x14ac:dyDescent="0.2">
      <c r="A250" t="s">
        <v>8</v>
      </c>
      <c r="B250" t="s">
        <v>140</v>
      </c>
      <c r="C250" t="s">
        <v>223</v>
      </c>
      <c r="D250" s="110">
        <v>0</v>
      </c>
      <c r="I250" s="110">
        <v>0</v>
      </c>
    </row>
    <row r="251" spans="1:12" x14ac:dyDescent="0.2">
      <c r="A251" t="s">
        <v>8</v>
      </c>
      <c r="B251" t="s">
        <v>105</v>
      </c>
      <c r="C251" t="s">
        <v>220</v>
      </c>
      <c r="D251" s="110">
        <v>17538</v>
      </c>
      <c r="E251" s="110">
        <v>17498</v>
      </c>
      <c r="F251" s="110">
        <v>17498</v>
      </c>
      <c r="G251" s="110">
        <v>17448</v>
      </c>
      <c r="I251" s="110">
        <v>2184</v>
      </c>
      <c r="J251" s="110">
        <v>4872</v>
      </c>
      <c r="K251" s="110">
        <v>5947</v>
      </c>
      <c r="L251" s="110">
        <v>6712</v>
      </c>
    </row>
    <row r="252" spans="1:12" x14ac:dyDescent="0.2">
      <c r="A252" t="s">
        <v>8</v>
      </c>
      <c r="B252" t="s">
        <v>105</v>
      </c>
      <c r="C252" t="s">
        <v>221</v>
      </c>
      <c r="D252" s="110">
        <v>15405</v>
      </c>
      <c r="E252" s="110">
        <v>15020</v>
      </c>
      <c r="F252" s="110">
        <v>15020</v>
      </c>
      <c r="I252" s="110">
        <v>3784</v>
      </c>
      <c r="J252" s="110">
        <v>6046</v>
      </c>
      <c r="K252" s="110">
        <v>6756</v>
      </c>
    </row>
    <row r="253" spans="1:12" x14ac:dyDescent="0.2">
      <c r="A253" t="s">
        <v>8</v>
      </c>
      <c r="B253" t="s">
        <v>105</v>
      </c>
      <c r="C253" t="s">
        <v>222</v>
      </c>
      <c r="D253" s="110">
        <v>8420</v>
      </c>
      <c r="E253" s="110">
        <v>8250</v>
      </c>
      <c r="I253" s="110">
        <v>2370</v>
      </c>
      <c r="J253" s="110">
        <v>4219</v>
      </c>
    </row>
    <row r="254" spans="1:12" x14ac:dyDescent="0.2">
      <c r="A254" t="s">
        <v>8</v>
      </c>
      <c r="B254" t="s">
        <v>105</v>
      </c>
      <c r="C254" t="s">
        <v>223</v>
      </c>
      <c r="D254" s="110">
        <v>18672</v>
      </c>
      <c r="I254" s="110">
        <v>1576</v>
      </c>
    </row>
    <row r="255" spans="1:12" x14ac:dyDescent="0.2">
      <c r="A255" t="s">
        <v>8</v>
      </c>
      <c r="B255" t="s">
        <v>111</v>
      </c>
      <c r="C255" t="s">
        <v>220</v>
      </c>
      <c r="D255" s="110">
        <v>0</v>
      </c>
      <c r="E255" s="110">
        <v>0</v>
      </c>
      <c r="F255" s="110">
        <v>0</v>
      </c>
      <c r="G255" s="110">
        <v>0</v>
      </c>
      <c r="I255" s="110">
        <v>0</v>
      </c>
      <c r="J255" s="110">
        <v>0</v>
      </c>
      <c r="K255" s="110">
        <v>0</v>
      </c>
      <c r="L255" s="110">
        <v>0</v>
      </c>
    </row>
    <row r="256" spans="1:12" x14ac:dyDescent="0.2">
      <c r="A256" t="s">
        <v>8</v>
      </c>
      <c r="B256" t="s">
        <v>111</v>
      </c>
      <c r="C256" t="s">
        <v>221</v>
      </c>
      <c r="D256" s="110">
        <v>0</v>
      </c>
      <c r="E256" s="110">
        <v>0</v>
      </c>
      <c r="F256" s="110">
        <v>0</v>
      </c>
      <c r="I256" s="110">
        <v>0</v>
      </c>
      <c r="J256" s="110">
        <v>0</v>
      </c>
      <c r="K256" s="110">
        <v>0</v>
      </c>
    </row>
    <row r="257" spans="1:12" x14ac:dyDescent="0.2">
      <c r="A257" t="s">
        <v>8</v>
      </c>
      <c r="B257" t="s">
        <v>111</v>
      </c>
      <c r="C257" t="s">
        <v>222</v>
      </c>
      <c r="D257" s="110">
        <v>0</v>
      </c>
      <c r="E257" s="110">
        <v>0</v>
      </c>
      <c r="I257" s="110">
        <v>0</v>
      </c>
      <c r="J257" s="110">
        <v>0</v>
      </c>
    </row>
    <row r="258" spans="1:12" x14ac:dyDescent="0.2">
      <c r="A258" t="s">
        <v>8</v>
      </c>
      <c r="B258" t="s">
        <v>111</v>
      </c>
      <c r="C258" t="s">
        <v>223</v>
      </c>
      <c r="D258" s="110">
        <v>0</v>
      </c>
      <c r="I258" s="110">
        <v>0</v>
      </c>
    </row>
    <row r="259" spans="1:12" x14ac:dyDescent="0.2">
      <c r="A259" t="s">
        <v>8</v>
      </c>
      <c r="B259" t="s">
        <v>109</v>
      </c>
      <c r="C259" t="s">
        <v>220</v>
      </c>
      <c r="D259" s="110">
        <v>8209</v>
      </c>
      <c r="E259" s="110">
        <v>7852</v>
      </c>
      <c r="F259" s="110">
        <v>7852</v>
      </c>
      <c r="G259" s="110">
        <v>7852</v>
      </c>
      <c r="I259" s="110">
        <v>2794</v>
      </c>
      <c r="J259" s="110">
        <v>4347</v>
      </c>
      <c r="K259" s="110">
        <v>4767</v>
      </c>
      <c r="L259" s="110">
        <v>5008</v>
      </c>
    </row>
    <row r="260" spans="1:12" x14ac:dyDescent="0.2">
      <c r="A260" t="s">
        <v>8</v>
      </c>
      <c r="B260" t="s">
        <v>109</v>
      </c>
      <c r="C260" t="s">
        <v>221</v>
      </c>
      <c r="D260" s="110">
        <v>4207</v>
      </c>
      <c r="E260" s="110">
        <v>4207</v>
      </c>
      <c r="F260" s="110">
        <v>4207</v>
      </c>
      <c r="I260" s="110">
        <v>2048</v>
      </c>
      <c r="J260" s="110">
        <v>2625</v>
      </c>
      <c r="K260" s="110">
        <v>3216</v>
      </c>
    </row>
    <row r="261" spans="1:12" x14ac:dyDescent="0.2">
      <c r="A261" t="s">
        <v>8</v>
      </c>
      <c r="B261" t="s">
        <v>109</v>
      </c>
      <c r="C261" t="s">
        <v>222</v>
      </c>
      <c r="D261" s="110">
        <v>5066</v>
      </c>
      <c r="E261" s="110">
        <v>5066</v>
      </c>
      <c r="I261" s="110">
        <v>2438</v>
      </c>
      <c r="J261" s="110">
        <v>3247</v>
      </c>
    </row>
    <row r="262" spans="1:12" x14ac:dyDescent="0.2">
      <c r="A262" t="s">
        <v>8</v>
      </c>
      <c r="B262" t="s">
        <v>109</v>
      </c>
      <c r="C262" t="s">
        <v>223</v>
      </c>
      <c r="D262" s="110">
        <v>6473</v>
      </c>
      <c r="I262" s="110">
        <v>844</v>
      </c>
    </row>
    <row r="263" spans="1:12" x14ac:dyDescent="0.2">
      <c r="A263" t="s">
        <v>8</v>
      </c>
      <c r="B263" t="s">
        <v>106</v>
      </c>
      <c r="C263" t="s">
        <v>220</v>
      </c>
      <c r="D263" s="110">
        <v>6720</v>
      </c>
      <c r="E263" s="110">
        <v>6720</v>
      </c>
      <c r="F263" s="110">
        <v>6720</v>
      </c>
      <c r="G263" s="110">
        <v>6720</v>
      </c>
      <c r="I263" s="110">
        <v>6310</v>
      </c>
      <c r="J263" s="110">
        <v>6720</v>
      </c>
      <c r="K263" s="110">
        <v>6720</v>
      </c>
      <c r="L263" s="110">
        <v>6720</v>
      </c>
    </row>
    <row r="264" spans="1:12" x14ac:dyDescent="0.2">
      <c r="A264" t="s">
        <v>8</v>
      </c>
      <c r="B264" t="s">
        <v>106</v>
      </c>
      <c r="C264" t="s">
        <v>221</v>
      </c>
      <c r="D264" s="110">
        <v>17564</v>
      </c>
      <c r="E264" s="110">
        <v>17564</v>
      </c>
      <c r="F264" s="110">
        <v>17564</v>
      </c>
      <c r="I264" s="110">
        <v>17564</v>
      </c>
      <c r="J264" s="110">
        <v>17564</v>
      </c>
      <c r="K264" s="110">
        <v>17564</v>
      </c>
    </row>
    <row r="265" spans="1:12" x14ac:dyDescent="0.2">
      <c r="A265" t="s">
        <v>8</v>
      </c>
      <c r="B265" t="s">
        <v>106</v>
      </c>
      <c r="C265" t="s">
        <v>222</v>
      </c>
      <c r="D265" s="110">
        <v>28888</v>
      </c>
      <c r="E265" s="110">
        <v>28888</v>
      </c>
      <c r="I265" s="110">
        <v>28078</v>
      </c>
      <c r="J265" s="110">
        <v>28888</v>
      </c>
    </row>
    <row r="266" spans="1:12" x14ac:dyDescent="0.2">
      <c r="A266" t="s">
        <v>8</v>
      </c>
      <c r="B266" t="s">
        <v>106</v>
      </c>
      <c r="C266" t="s">
        <v>223</v>
      </c>
      <c r="D266" s="110">
        <v>20043</v>
      </c>
      <c r="I266" s="110">
        <v>20043</v>
      </c>
    </row>
    <row r="267" spans="1:12" x14ac:dyDescent="0.2">
      <c r="A267" t="s">
        <v>8</v>
      </c>
      <c r="B267" t="s">
        <v>107</v>
      </c>
      <c r="C267" t="s">
        <v>220</v>
      </c>
      <c r="D267" s="110">
        <v>9110</v>
      </c>
      <c r="E267" s="110">
        <v>9110</v>
      </c>
      <c r="F267" s="110">
        <v>9110</v>
      </c>
      <c r="G267" s="110">
        <v>9110</v>
      </c>
      <c r="I267" s="110">
        <v>9110</v>
      </c>
      <c r="J267" s="110">
        <v>9110</v>
      </c>
      <c r="K267" s="110">
        <v>9110</v>
      </c>
      <c r="L267" s="110">
        <v>9110</v>
      </c>
    </row>
    <row r="268" spans="1:12" x14ac:dyDescent="0.2">
      <c r="A268" t="s">
        <v>8</v>
      </c>
      <c r="B268" t="s">
        <v>107</v>
      </c>
      <c r="C268" t="s">
        <v>221</v>
      </c>
      <c r="D268" s="110">
        <v>15295</v>
      </c>
      <c r="E268" s="110">
        <v>15295</v>
      </c>
      <c r="F268" s="110">
        <v>15295</v>
      </c>
      <c r="I268" s="110">
        <v>15295</v>
      </c>
      <c r="J268" s="110">
        <v>15295</v>
      </c>
      <c r="K268" s="110">
        <v>15295</v>
      </c>
    </row>
    <row r="269" spans="1:12" x14ac:dyDescent="0.2">
      <c r="A269" t="s">
        <v>8</v>
      </c>
      <c r="B269" t="s">
        <v>107</v>
      </c>
      <c r="C269" t="s">
        <v>222</v>
      </c>
      <c r="D269" s="110">
        <v>15829</v>
      </c>
      <c r="E269" s="110">
        <v>15829</v>
      </c>
      <c r="I269" s="110">
        <v>14329</v>
      </c>
      <c r="J269" s="110">
        <v>15829</v>
      </c>
    </row>
    <row r="270" spans="1:12" x14ac:dyDescent="0.2">
      <c r="A270" t="s">
        <v>8</v>
      </c>
      <c r="B270" t="s">
        <v>107</v>
      </c>
      <c r="C270" t="s">
        <v>223</v>
      </c>
      <c r="D270" s="110">
        <v>16645</v>
      </c>
      <c r="I270" s="110">
        <v>16275</v>
      </c>
    </row>
    <row r="271" spans="1:12" x14ac:dyDescent="0.2">
      <c r="A271" t="s">
        <v>8</v>
      </c>
      <c r="B271" t="s">
        <v>108</v>
      </c>
      <c r="C271" t="s">
        <v>220</v>
      </c>
      <c r="D271" s="110">
        <v>1257</v>
      </c>
      <c r="E271" s="110">
        <v>1257</v>
      </c>
      <c r="F271" s="110">
        <v>1257</v>
      </c>
      <c r="G271" s="110">
        <v>1257</v>
      </c>
      <c r="I271" s="110">
        <v>1257</v>
      </c>
      <c r="J271" s="110">
        <v>1257</v>
      </c>
      <c r="K271" s="110">
        <v>1257</v>
      </c>
      <c r="L271" s="110">
        <v>1257</v>
      </c>
    </row>
    <row r="272" spans="1:12" x14ac:dyDescent="0.2">
      <c r="A272" t="s">
        <v>8</v>
      </c>
      <c r="B272" t="s">
        <v>108</v>
      </c>
      <c r="C272" t="s">
        <v>221</v>
      </c>
      <c r="D272" s="110">
        <v>4973</v>
      </c>
      <c r="E272" s="110">
        <v>4973</v>
      </c>
      <c r="F272" s="110">
        <v>4973</v>
      </c>
      <c r="I272" s="110">
        <v>4973</v>
      </c>
      <c r="J272" s="110">
        <v>4973</v>
      </c>
      <c r="K272" s="110">
        <v>4973</v>
      </c>
    </row>
    <row r="273" spans="1:12" x14ac:dyDescent="0.2">
      <c r="A273" t="s">
        <v>8</v>
      </c>
      <c r="B273" t="s">
        <v>108</v>
      </c>
      <c r="C273" t="s">
        <v>222</v>
      </c>
      <c r="D273" s="110">
        <v>5363</v>
      </c>
      <c r="E273" s="110">
        <v>5363</v>
      </c>
      <c r="I273" s="110">
        <v>4963</v>
      </c>
      <c r="J273" s="110">
        <v>5363</v>
      </c>
    </row>
    <row r="274" spans="1:12" x14ac:dyDescent="0.2">
      <c r="A274" t="s">
        <v>8</v>
      </c>
      <c r="B274" t="s">
        <v>108</v>
      </c>
      <c r="C274" t="s">
        <v>223</v>
      </c>
      <c r="D274" s="110">
        <v>5212</v>
      </c>
      <c r="I274" s="110">
        <v>4812</v>
      </c>
    </row>
    <row r="275" spans="1:12" x14ac:dyDescent="0.2">
      <c r="A275" t="s">
        <v>8</v>
      </c>
      <c r="B275" t="s">
        <v>70</v>
      </c>
      <c r="C275" t="s">
        <v>220</v>
      </c>
      <c r="D275" s="110">
        <v>3620</v>
      </c>
      <c r="E275" s="110">
        <v>3620</v>
      </c>
      <c r="F275" s="110">
        <v>3620</v>
      </c>
      <c r="G275" s="110">
        <v>3620</v>
      </c>
      <c r="I275" s="110">
        <v>3520</v>
      </c>
      <c r="J275" s="110">
        <v>3520</v>
      </c>
      <c r="K275" s="110">
        <v>3520</v>
      </c>
      <c r="L275" s="110">
        <v>3520</v>
      </c>
    </row>
    <row r="276" spans="1:12" x14ac:dyDescent="0.2">
      <c r="A276" t="s">
        <v>8</v>
      </c>
      <c r="B276" t="s">
        <v>70</v>
      </c>
      <c r="C276" t="s">
        <v>221</v>
      </c>
      <c r="D276" s="110">
        <v>4304</v>
      </c>
      <c r="E276" s="110">
        <v>4304</v>
      </c>
      <c r="F276" s="110">
        <v>4304</v>
      </c>
      <c r="I276" s="110">
        <v>4304</v>
      </c>
      <c r="J276" s="110">
        <v>4304</v>
      </c>
      <c r="K276" s="110">
        <v>4304</v>
      </c>
    </row>
    <row r="277" spans="1:12" x14ac:dyDescent="0.2">
      <c r="A277" t="s">
        <v>8</v>
      </c>
      <c r="B277" t="s">
        <v>70</v>
      </c>
      <c r="C277" t="s">
        <v>222</v>
      </c>
      <c r="D277" s="110">
        <v>6812</v>
      </c>
      <c r="E277" s="110">
        <v>6404</v>
      </c>
      <c r="I277" s="110">
        <v>4143</v>
      </c>
      <c r="J277" s="110">
        <v>4556</v>
      </c>
    </row>
    <row r="278" spans="1:12" x14ac:dyDescent="0.2">
      <c r="A278" t="s">
        <v>8</v>
      </c>
      <c r="B278" t="s">
        <v>70</v>
      </c>
      <c r="C278" t="s">
        <v>223</v>
      </c>
      <c r="D278" s="110">
        <v>10092</v>
      </c>
      <c r="I278" s="110">
        <v>9612</v>
      </c>
    </row>
    <row r="279" spans="1:12" x14ac:dyDescent="0.2">
      <c r="A279" t="s">
        <v>8</v>
      </c>
      <c r="B279" t="s">
        <v>110</v>
      </c>
      <c r="C279" t="s">
        <v>220</v>
      </c>
      <c r="D279" s="110">
        <v>15413</v>
      </c>
      <c r="E279" s="110">
        <v>14776</v>
      </c>
      <c r="F279" s="110">
        <v>14379</v>
      </c>
      <c r="G279" s="110">
        <v>13932</v>
      </c>
      <c r="I279" s="110">
        <v>5866</v>
      </c>
      <c r="J279" s="110">
        <v>9737</v>
      </c>
      <c r="K279" s="110">
        <v>10418</v>
      </c>
      <c r="L279" s="110">
        <v>10666</v>
      </c>
    </row>
    <row r="280" spans="1:12" x14ac:dyDescent="0.2">
      <c r="A280" t="s">
        <v>8</v>
      </c>
      <c r="B280" t="s">
        <v>110</v>
      </c>
      <c r="C280" t="s">
        <v>221</v>
      </c>
      <c r="D280" s="110">
        <v>15560</v>
      </c>
      <c r="E280" s="110">
        <v>14706</v>
      </c>
      <c r="F280" s="110">
        <v>14354</v>
      </c>
      <c r="I280" s="110">
        <v>5634</v>
      </c>
      <c r="J280" s="110">
        <v>10077</v>
      </c>
      <c r="K280" s="110">
        <v>10537</v>
      </c>
    </row>
    <row r="281" spans="1:12" x14ac:dyDescent="0.2">
      <c r="A281" t="s">
        <v>8</v>
      </c>
      <c r="B281" t="s">
        <v>110</v>
      </c>
      <c r="C281" t="s">
        <v>222</v>
      </c>
      <c r="D281" s="110">
        <v>13712</v>
      </c>
      <c r="E281" s="110">
        <v>13566</v>
      </c>
      <c r="I281" s="110">
        <v>4968</v>
      </c>
      <c r="J281" s="110">
        <v>8958</v>
      </c>
    </row>
    <row r="282" spans="1:12" x14ac:dyDescent="0.2">
      <c r="A282" t="s">
        <v>8</v>
      </c>
      <c r="B282" t="s">
        <v>110</v>
      </c>
      <c r="C282" t="s">
        <v>223</v>
      </c>
      <c r="D282" s="110">
        <v>26650</v>
      </c>
      <c r="I282" s="110">
        <v>9073</v>
      </c>
    </row>
    <row r="283" spans="1:12" x14ac:dyDescent="0.2">
      <c r="A283" t="s">
        <v>9</v>
      </c>
      <c r="B283" t="s">
        <v>104</v>
      </c>
      <c r="C283" t="s">
        <v>220</v>
      </c>
      <c r="D283" s="110">
        <v>674797.77</v>
      </c>
      <c r="E283" s="110">
        <v>668547.72</v>
      </c>
      <c r="F283" s="110">
        <v>660772.72</v>
      </c>
      <c r="G283" s="110">
        <v>655089.56999999995</v>
      </c>
      <c r="I283" s="110">
        <v>28234.78</v>
      </c>
      <c r="J283" s="110">
        <v>59309.09</v>
      </c>
      <c r="K283" s="110">
        <v>79025.38</v>
      </c>
      <c r="L283" s="110">
        <v>96709.72</v>
      </c>
    </row>
    <row r="284" spans="1:12" x14ac:dyDescent="0.2">
      <c r="A284" t="s">
        <v>9</v>
      </c>
      <c r="B284" t="s">
        <v>104</v>
      </c>
      <c r="C284" t="s">
        <v>221</v>
      </c>
      <c r="D284" s="110">
        <v>633512.19999999995</v>
      </c>
      <c r="E284" s="110">
        <v>629242.19999999995</v>
      </c>
      <c r="F284" s="110">
        <v>624262.07999999996</v>
      </c>
      <c r="I284" s="110">
        <v>25061.11</v>
      </c>
      <c r="J284" s="110">
        <v>58883.360000000001</v>
      </c>
      <c r="K284" s="110">
        <v>74534.149999999994</v>
      </c>
    </row>
    <row r="285" spans="1:12" x14ac:dyDescent="0.2">
      <c r="A285" t="s">
        <v>9</v>
      </c>
      <c r="B285" t="s">
        <v>104</v>
      </c>
      <c r="C285" t="s">
        <v>222</v>
      </c>
      <c r="D285" s="110">
        <v>474099.63</v>
      </c>
      <c r="E285" s="110">
        <v>471557.13</v>
      </c>
      <c r="I285" s="110">
        <v>29276.23</v>
      </c>
      <c r="J285" s="110">
        <v>58534.62</v>
      </c>
    </row>
    <row r="286" spans="1:12" x14ac:dyDescent="0.2">
      <c r="A286" t="s">
        <v>9</v>
      </c>
      <c r="B286" t="s">
        <v>104</v>
      </c>
      <c r="C286" t="s">
        <v>223</v>
      </c>
      <c r="D286" s="110">
        <v>597424.05000000005</v>
      </c>
      <c r="I286" s="110">
        <v>39470.18</v>
      </c>
    </row>
    <row r="287" spans="1:12" x14ac:dyDescent="0.2">
      <c r="A287" t="s">
        <v>9</v>
      </c>
      <c r="B287" t="s">
        <v>140</v>
      </c>
      <c r="C287" t="s">
        <v>220</v>
      </c>
      <c r="D287" s="110">
        <v>264367</v>
      </c>
      <c r="E287" s="110">
        <v>264367</v>
      </c>
      <c r="F287" s="110">
        <v>264367</v>
      </c>
      <c r="G287" s="110">
        <v>264367</v>
      </c>
      <c r="I287" s="110">
        <v>0</v>
      </c>
      <c r="J287" s="110">
        <v>0</v>
      </c>
      <c r="K287" s="110">
        <v>0</v>
      </c>
      <c r="L287" s="110">
        <v>0</v>
      </c>
    </row>
    <row r="288" spans="1:12" x14ac:dyDescent="0.2">
      <c r="A288" t="s">
        <v>9</v>
      </c>
      <c r="B288" t="s">
        <v>140</v>
      </c>
      <c r="C288" t="s">
        <v>221</v>
      </c>
      <c r="D288" s="110">
        <v>159433</v>
      </c>
      <c r="E288" s="110">
        <v>159433</v>
      </c>
      <c r="F288" s="110">
        <v>159433</v>
      </c>
      <c r="I288" s="110">
        <v>0</v>
      </c>
      <c r="J288" s="110">
        <v>0</v>
      </c>
      <c r="K288" s="110">
        <v>0</v>
      </c>
    </row>
    <row r="289" spans="1:12" x14ac:dyDescent="0.2">
      <c r="A289" t="s">
        <v>9</v>
      </c>
      <c r="B289" t="s">
        <v>140</v>
      </c>
      <c r="C289" t="s">
        <v>222</v>
      </c>
      <c r="D289" s="110">
        <v>53111</v>
      </c>
      <c r="E289" s="110">
        <v>53111</v>
      </c>
      <c r="I289" s="110">
        <v>0</v>
      </c>
      <c r="J289" s="110">
        <v>0</v>
      </c>
    </row>
    <row r="290" spans="1:12" x14ac:dyDescent="0.2">
      <c r="A290" t="s">
        <v>9</v>
      </c>
      <c r="B290" t="s">
        <v>140</v>
      </c>
      <c r="C290" t="s">
        <v>223</v>
      </c>
      <c r="D290" s="110">
        <v>212444</v>
      </c>
      <c r="I290" s="110">
        <v>0</v>
      </c>
    </row>
    <row r="291" spans="1:12" x14ac:dyDescent="0.2">
      <c r="A291" t="s">
        <v>9</v>
      </c>
      <c r="B291" t="s">
        <v>105</v>
      </c>
      <c r="C291" t="s">
        <v>220</v>
      </c>
      <c r="D291" s="110">
        <v>239352</v>
      </c>
      <c r="E291" s="110">
        <v>231398</v>
      </c>
      <c r="F291" s="110">
        <v>227125</v>
      </c>
      <c r="G291" s="110">
        <v>225826</v>
      </c>
      <c r="I291" s="110">
        <v>46897.13</v>
      </c>
      <c r="J291" s="110">
        <v>79584.350000000006</v>
      </c>
      <c r="K291" s="110">
        <v>98738.85</v>
      </c>
      <c r="L291" s="110">
        <v>105853.85</v>
      </c>
    </row>
    <row r="292" spans="1:12" x14ac:dyDescent="0.2">
      <c r="A292" t="s">
        <v>9</v>
      </c>
      <c r="B292" t="s">
        <v>105</v>
      </c>
      <c r="C292" t="s">
        <v>221</v>
      </c>
      <c r="D292" s="110">
        <v>282292.5</v>
      </c>
      <c r="E292" s="110">
        <v>271982.5</v>
      </c>
      <c r="F292" s="110">
        <v>267355</v>
      </c>
      <c r="I292" s="110">
        <v>59741.91</v>
      </c>
      <c r="J292" s="110">
        <v>100595.5</v>
      </c>
      <c r="K292" s="110">
        <v>122425.5</v>
      </c>
    </row>
    <row r="293" spans="1:12" x14ac:dyDescent="0.2">
      <c r="A293" t="s">
        <v>9</v>
      </c>
      <c r="B293" t="s">
        <v>105</v>
      </c>
      <c r="C293" t="s">
        <v>222</v>
      </c>
      <c r="D293" s="110">
        <v>242545.15</v>
      </c>
      <c r="E293" s="110">
        <v>233091.65</v>
      </c>
      <c r="I293" s="110">
        <v>49105.15</v>
      </c>
      <c r="J293" s="110">
        <v>80899.649999999994</v>
      </c>
    </row>
    <row r="294" spans="1:12" x14ac:dyDescent="0.2">
      <c r="A294" t="s">
        <v>9</v>
      </c>
      <c r="B294" t="s">
        <v>105</v>
      </c>
      <c r="C294" t="s">
        <v>223</v>
      </c>
      <c r="D294" s="110">
        <v>232539.95</v>
      </c>
      <c r="I294" s="110">
        <v>40233.769999999997</v>
      </c>
    </row>
    <row r="295" spans="1:12" x14ac:dyDescent="0.2">
      <c r="A295" t="s">
        <v>9</v>
      </c>
      <c r="B295" t="s">
        <v>111</v>
      </c>
      <c r="C295" t="s">
        <v>220</v>
      </c>
      <c r="D295" s="110">
        <v>4358</v>
      </c>
      <c r="E295" s="110">
        <v>4208</v>
      </c>
      <c r="F295" s="110">
        <v>3938</v>
      </c>
      <c r="G295" s="110">
        <v>3938</v>
      </c>
      <c r="I295" s="110">
        <v>323</v>
      </c>
      <c r="J295" s="110">
        <v>1268</v>
      </c>
      <c r="K295" s="110">
        <v>1433</v>
      </c>
      <c r="L295" s="110">
        <v>1833</v>
      </c>
    </row>
    <row r="296" spans="1:12" x14ac:dyDescent="0.2">
      <c r="A296" t="s">
        <v>9</v>
      </c>
      <c r="B296" t="s">
        <v>111</v>
      </c>
      <c r="C296" t="s">
        <v>221</v>
      </c>
      <c r="D296" s="110">
        <v>3645</v>
      </c>
      <c r="E296" s="110">
        <v>3545</v>
      </c>
      <c r="F296" s="110">
        <v>3410</v>
      </c>
      <c r="I296" s="110">
        <v>150</v>
      </c>
      <c r="J296" s="110">
        <v>315</v>
      </c>
      <c r="K296" s="110">
        <v>685</v>
      </c>
    </row>
    <row r="297" spans="1:12" x14ac:dyDescent="0.2">
      <c r="A297" t="s">
        <v>9</v>
      </c>
      <c r="B297" t="s">
        <v>111</v>
      </c>
      <c r="C297" t="s">
        <v>222</v>
      </c>
      <c r="D297" s="110">
        <v>4517</v>
      </c>
      <c r="E297" s="110">
        <v>4297</v>
      </c>
      <c r="I297" s="110">
        <v>142</v>
      </c>
      <c r="J297" s="110">
        <v>632</v>
      </c>
    </row>
    <row r="298" spans="1:12" x14ac:dyDescent="0.2">
      <c r="A298" t="s">
        <v>9</v>
      </c>
      <c r="B298" t="s">
        <v>111</v>
      </c>
      <c r="C298" t="s">
        <v>223</v>
      </c>
      <c r="D298" s="110">
        <v>8542</v>
      </c>
      <c r="I298" s="110">
        <v>372</v>
      </c>
    </row>
    <row r="299" spans="1:12" x14ac:dyDescent="0.2">
      <c r="A299" t="s">
        <v>9</v>
      </c>
      <c r="B299" t="s">
        <v>109</v>
      </c>
      <c r="C299" t="s">
        <v>220</v>
      </c>
      <c r="D299" s="110">
        <v>313831</v>
      </c>
      <c r="E299" s="110">
        <v>311978</v>
      </c>
      <c r="F299" s="110">
        <v>309798.59999999998</v>
      </c>
      <c r="G299" s="110">
        <v>308457.84999999998</v>
      </c>
      <c r="I299" s="110">
        <v>73898.73</v>
      </c>
      <c r="J299" s="110">
        <v>117520.05</v>
      </c>
      <c r="K299" s="110">
        <v>152624.84</v>
      </c>
      <c r="L299" s="110">
        <v>174546.84</v>
      </c>
    </row>
    <row r="300" spans="1:12" x14ac:dyDescent="0.2">
      <c r="A300" t="s">
        <v>9</v>
      </c>
      <c r="B300" t="s">
        <v>109</v>
      </c>
      <c r="C300" t="s">
        <v>221</v>
      </c>
      <c r="D300" s="110">
        <v>295209.34999999998</v>
      </c>
      <c r="E300" s="110">
        <v>290037.59999999998</v>
      </c>
      <c r="F300" s="110">
        <v>287717.58</v>
      </c>
      <c r="I300" s="110">
        <v>92540.08</v>
      </c>
      <c r="J300" s="110">
        <v>131439.17000000001</v>
      </c>
      <c r="K300" s="110">
        <v>158838.65</v>
      </c>
    </row>
    <row r="301" spans="1:12" x14ac:dyDescent="0.2">
      <c r="A301" t="s">
        <v>9</v>
      </c>
      <c r="B301" t="s">
        <v>109</v>
      </c>
      <c r="C301" t="s">
        <v>222</v>
      </c>
      <c r="D301" s="110">
        <v>243724.95</v>
      </c>
      <c r="E301" s="110">
        <v>237556.95</v>
      </c>
      <c r="I301" s="110">
        <v>61987.75</v>
      </c>
      <c r="J301" s="110">
        <v>92123.35</v>
      </c>
    </row>
    <row r="302" spans="1:12" x14ac:dyDescent="0.2">
      <c r="A302" t="s">
        <v>9</v>
      </c>
      <c r="B302" t="s">
        <v>109</v>
      </c>
      <c r="C302" t="s">
        <v>223</v>
      </c>
      <c r="D302" s="110">
        <v>236383.23</v>
      </c>
      <c r="I302" s="110">
        <v>55340.9</v>
      </c>
    </row>
    <row r="303" spans="1:12" x14ac:dyDescent="0.2">
      <c r="A303" t="s">
        <v>9</v>
      </c>
      <c r="B303" t="s">
        <v>106</v>
      </c>
      <c r="C303" t="s">
        <v>220</v>
      </c>
      <c r="D303" s="110">
        <v>248042.77</v>
      </c>
      <c r="E303" s="110">
        <v>248042.77</v>
      </c>
      <c r="F303" s="110">
        <v>248042.77</v>
      </c>
      <c r="G303" s="110">
        <v>248042.77</v>
      </c>
      <c r="I303" s="110">
        <v>246572.77</v>
      </c>
      <c r="J303" s="110">
        <v>247122.77</v>
      </c>
      <c r="K303" s="110">
        <v>247122.77</v>
      </c>
      <c r="L303" s="110">
        <v>247122.77</v>
      </c>
    </row>
    <row r="304" spans="1:12" x14ac:dyDescent="0.2">
      <c r="A304" t="s">
        <v>9</v>
      </c>
      <c r="B304" t="s">
        <v>106</v>
      </c>
      <c r="C304" t="s">
        <v>221</v>
      </c>
      <c r="D304" s="110">
        <v>242281.07</v>
      </c>
      <c r="E304" s="110">
        <v>244136.07</v>
      </c>
      <c r="F304" s="110">
        <v>244106.07</v>
      </c>
      <c r="I304" s="110">
        <v>239165.57</v>
      </c>
      <c r="J304" s="110">
        <v>242125.57</v>
      </c>
      <c r="K304" s="110">
        <v>242635.57</v>
      </c>
    </row>
    <row r="305" spans="1:12" x14ac:dyDescent="0.2">
      <c r="A305" t="s">
        <v>9</v>
      </c>
      <c r="B305" t="s">
        <v>106</v>
      </c>
      <c r="C305" t="s">
        <v>222</v>
      </c>
      <c r="D305" s="110">
        <v>259036.56</v>
      </c>
      <c r="E305" s="110">
        <v>258986.56</v>
      </c>
      <c r="I305" s="110">
        <v>257233.72</v>
      </c>
      <c r="J305" s="110">
        <v>258204.72</v>
      </c>
    </row>
    <row r="306" spans="1:12" x14ac:dyDescent="0.2">
      <c r="A306" t="s">
        <v>9</v>
      </c>
      <c r="B306" t="s">
        <v>106</v>
      </c>
      <c r="C306" t="s">
        <v>223</v>
      </c>
      <c r="D306" s="110">
        <v>212389.12</v>
      </c>
      <c r="I306" s="110">
        <v>210414.12</v>
      </c>
    </row>
    <row r="307" spans="1:12" x14ac:dyDescent="0.2">
      <c r="A307" t="s">
        <v>9</v>
      </c>
      <c r="B307" t="s">
        <v>107</v>
      </c>
      <c r="C307" t="s">
        <v>220</v>
      </c>
      <c r="D307" s="110">
        <v>237858.17</v>
      </c>
      <c r="E307" s="110">
        <v>237858.17</v>
      </c>
      <c r="F307" s="110">
        <v>237577.17</v>
      </c>
      <c r="G307" s="110">
        <v>237577.17</v>
      </c>
      <c r="I307" s="110">
        <v>237277.17</v>
      </c>
      <c r="J307" s="110">
        <v>237277.17</v>
      </c>
      <c r="K307" s="110">
        <v>237277.17</v>
      </c>
      <c r="L307" s="110">
        <v>237277.17</v>
      </c>
    </row>
    <row r="308" spans="1:12" x14ac:dyDescent="0.2">
      <c r="A308" t="s">
        <v>9</v>
      </c>
      <c r="B308" t="s">
        <v>107</v>
      </c>
      <c r="C308" t="s">
        <v>221</v>
      </c>
      <c r="D308" s="110">
        <v>207434.56</v>
      </c>
      <c r="E308" s="110">
        <v>207213.56</v>
      </c>
      <c r="F308" s="110">
        <v>207213.56</v>
      </c>
      <c r="I308" s="110">
        <v>207143.56</v>
      </c>
      <c r="J308" s="110">
        <v>207213.56</v>
      </c>
      <c r="K308" s="110">
        <v>207213.56</v>
      </c>
    </row>
    <row r="309" spans="1:12" x14ac:dyDescent="0.2">
      <c r="A309" t="s">
        <v>9</v>
      </c>
      <c r="B309" t="s">
        <v>107</v>
      </c>
      <c r="C309" t="s">
        <v>222</v>
      </c>
      <c r="D309" s="110">
        <v>190654.43</v>
      </c>
      <c r="E309" s="110">
        <v>190654.43</v>
      </c>
      <c r="I309" s="110">
        <v>190063.43</v>
      </c>
      <c r="J309" s="110">
        <v>190354.43</v>
      </c>
    </row>
    <row r="310" spans="1:12" x14ac:dyDescent="0.2">
      <c r="A310" t="s">
        <v>9</v>
      </c>
      <c r="B310" t="s">
        <v>107</v>
      </c>
      <c r="C310" t="s">
        <v>223</v>
      </c>
      <c r="D310" s="110">
        <v>240409.66</v>
      </c>
      <c r="I310" s="110">
        <v>239169.66</v>
      </c>
    </row>
    <row r="311" spans="1:12" x14ac:dyDescent="0.2">
      <c r="A311" t="s">
        <v>9</v>
      </c>
      <c r="B311" t="s">
        <v>108</v>
      </c>
      <c r="C311" t="s">
        <v>220</v>
      </c>
      <c r="D311" s="110">
        <v>91982.55</v>
      </c>
      <c r="E311" s="110">
        <v>90917.55</v>
      </c>
      <c r="F311" s="110">
        <v>90502.05</v>
      </c>
      <c r="G311" s="110">
        <v>89659.05</v>
      </c>
      <c r="I311" s="110">
        <v>90164.05</v>
      </c>
      <c r="J311" s="110">
        <v>89949.05</v>
      </c>
      <c r="K311" s="110">
        <v>89659.05</v>
      </c>
      <c r="L311" s="110">
        <v>89659.05</v>
      </c>
    </row>
    <row r="312" spans="1:12" x14ac:dyDescent="0.2">
      <c r="A312" t="s">
        <v>9</v>
      </c>
      <c r="B312" t="s">
        <v>108</v>
      </c>
      <c r="C312" t="s">
        <v>221</v>
      </c>
      <c r="D312" s="110">
        <v>112039.62</v>
      </c>
      <c r="E312" s="110">
        <v>111606.62</v>
      </c>
      <c r="F312" s="110">
        <v>111330.62</v>
      </c>
      <c r="I312" s="110">
        <v>109109.12</v>
      </c>
      <c r="J312" s="110">
        <v>109914.62</v>
      </c>
      <c r="K312" s="110">
        <v>110729.62</v>
      </c>
    </row>
    <row r="313" spans="1:12" x14ac:dyDescent="0.2">
      <c r="A313" t="s">
        <v>9</v>
      </c>
      <c r="B313" t="s">
        <v>108</v>
      </c>
      <c r="C313" t="s">
        <v>222</v>
      </c>
      <c r="D313" s="110">
        <v>123294.54</v>
      </c>
      <c r="E313" s="110">
        <v>121692.04</v>
      </c>
      <c r="I313" s="110">
        <v>116374.54</v>
      </c>
      <c r="J313" s="110">
        <v>119087.54</v>
      </c>
    </row>
    <row r="314" spans="1:12" x14ac:dyDescent="0.2">
      <c r="A314" t="s">
        <v>9</v>
      </c>
      <c r="B314" t="s">
        <v>108</v>
      </c>
      <c r="C314" t="s">
        <v>223</v>
      </c>
      <c r="D314" s="110">
        <v>119232.63</v>
      </c>
      <c r="I314" s="110">
        <v>115032.63</v>
      </c>
    </row>
    <row r="315" spans="1:12" x14ac:dyDescent="0.2">
      <c r="A315" t="s">
        <v>9</v>
      </c>
      <c r="B315" t="s">
        <v>70</v>
      </c>
      <c r="C315" t="s">
        <v>220</v>
      </c>
      <c r="D315" s="110">
        <v>85607.5</v>
      </c>
      <c r="E315" s="110">
        <v>85607.5</v>
      </c>
      <c r="F315" s="110">
        <v>85189.5</v>
      </c>
      <c r="G315" s="110">
        <v>85189.5</v>
      </c>
      <c r="I315" s="110">
        <v>85189.5</v>
      </c>
      <c r="J315" s="110">
        <v>85189.5</v>
      </c>
      <c r="K315" s="110">
        <v>85189.5</v>
      </c>
      <c r="L315" s="110">
        <v>85189.5</v>
      </c>
    </row>
    <row r="316" spans="1:12" x14ac:dyDescent="0.2">
      <c r="A316" t="s">
        <v>9</v>
      </c>
      <c r="B316" t="s">
        <v>70</v>
      </c>
      <c r="C316" t="s">
        <v>221</v>
      </c>
      <c r="D316" s="110">
        <v>82277</v>
      </c>
      <c r="E316" s="110">
        <v>82952</v>
      </c>
      <c r="F316" s="110">
        <v>82952</v>
      </c>
      <c r="I316" s="110">
        <v>80954.5</v>
      </c>
      <c r="J316" s="110">
        <v>81653</v>
      </c>
      <c r="K316" s="110">
        <v>81653</v>
      </c>
    </row>
    <row r="317" spans="1:12" x14ac:dyDescent="0.2">
      <c r="A317" t="s">
        <v>9</v>
      </c>
      <c r="B317" t="s">
        <v>70</v>
      </c>
      <c r="C317" t="s">
        <v>222</v>
      </c>
      <c r="D317" s="110">
        <v>95306</v>
      </c>
      <c r="E317" s="110">
        <v>95306</v>
      </c>
      <c r="I317" s="110">
        <v>93959</v>
      </c>
      <c r="J317" s="110">
        <v>94299</v>
      </c>
    </row>
    <row r="318" spans="1:12" x14ac:dyDescent="0.2">
      <c r="A318" t="s">
        <v>9</v>
      </c>
      <c r="B318" t="s">
        <v>70</v>
      </c>
      <c r="C318" t="s">
        <v>223</v>
      </c>
      <c r="D318" s="110">
        <v>94088</v>
      </c>
      <c r="I318" s="110">
        <v>90210</v>
      </c>
    </row>
    <row r="319" spans="1:12" x14ac:dyDescent="0.2">
      <c r="A319" t="s">
        <v>9</v>
      </c>
      <c r="B319" t="s">
        <v>110</v>
      </c>
      <c r="C319" t="s">
        <v>220</v>
      </c>
      <c r="D319" s="110">
        <v>465423.73</v>
      </c>
      <c r="E319" s="110">
        <v>416398.24</v>
      </c>
      <c r="F319" s="110">
        <v>409052.04</v>
      </c>
      <c r="G319" s="110">
        <v>408573.04</v>
      </c>
      <c r="I319" s="110">
        <v>224171.51999999999</v>
      </c>
      <c r="J319" s="110">
        <v>337234.91</v>
      </c>
      <c r="K319" s="110">
        <v>352894.22</v>
      </c>
      <c r="L319" s="110">
        <v>361763.72</v>
      </c>
    </row>
    <row r="320" spans="1:12" x14ac:dyDescent="0.2">
      <c r="A320" t="s">
        <v>9</v>
      </c>
      <c r="B320" t="s">
        <v>110</v>
      </c>
      <c r="C320" t="s">
        <v>221</v>
      </c>
      <c r="D320" s="110">
        <v>557166.02</v>
      </c>
      <c r="E320" s="110">
        <v>510332.14</v>
      </c>
      <c r="F320" s="110">
        <v>505552.29</v>
      </c>
      <c r="I320" s="110">
        <v>297958.90999999997</v>
      </c>
      <c r="J320" s="110">
        <v>436031.22</v>
      </c>
      <c r="K320" s="110">
        <v>453473.08</v>
      </c>
    </row>
    <row r="321" spans="1:12" x14ac:dyDescent="0.2">
      <c r="A321" t="s">
        <v>9</v>
      </c>
      <c r="B321" t="s">
        <v>110</v>
      </c>
      <c r="C321" t="s">
        <v>222</v>
      </c>
      <c r="D321" s="110">
        <v>520062.41</v>
      </c>
      <c r="E321" s="110">
        <v>483989.76000000001</v>
      </c>
      <c r="I321" s="110">
        <v>266362.27</v>
      </c>
      <c r="J321" s="110">
        <v>403704.67</v>
      </c>
    </row>
    <row r="322" spans="1:12" x14ac:dyDescent="0.2">
      <c r="A322" t="s">
        <v>9</v>
      </c>
      <c r="B322" t="s">
        <v>110</v>
      </c>
      <c r="C322" t="s">
        <v>223</v>
      </c>
      <c r="D322" s="110">
        <v>527174.38</v>
      </c>
      <c r="I322" s="110">
        <v>248081.05</v>
      </c>
    </row>
    <row r="323" spans="1:12" x14ac:dyDescent="0.2">
      <c r="A323" t="s">
        <v>10</v>
      </c>
      <c r="B323" t="s">
        <v>104</v>
      </c>
      <c r="C323" t="s">
        <v>220</v>
      </c>
      <c r="D323" s="110">
        <v>404589.5</v>
      </c>
      <c r="E323" s="110">
        <v>402252.5</v>
      </c>
      <c r="F323" s="110">
        <v>397335.5</v>
      </c>
      <c r="G323" s="110">
        <v>394079.5</v>
      </c>
      <c r="I323" s="110">
        <v>28705</v>
      </c>
      <c r="J323" s="110">
        <v>48018.77</v>
      </c>
      <c r="K323" s="110">
        <v>60462.48</v>
      </c>
      <c r="L323" s="110">
        <v>74398.259999999995</v>
      </c>
    </row>
    <row r="324" spans="1:12" x14ac:dyDescent="0.2">
      <c r="A324" t="s">
        <v>10</v>
      </c>
      <c r="B324" t="s">
        <v>104</v>
      </c>
      <c r="C324" t="s">
        <v>221</v>
      </c>
      <c r="D324" s="110">
        <v>1695419.5</v>
      </c>
      <c r="E324" s="110">
        <v>1691674.5</v>
      </c>
      <c r="F324" s="110">
        <v>1685284.5</v>
      </c>
      <c r="I324" s="110">
        <v>41272.5</v>
      </c>
      <c r="J324" s="110">
        <v>55694.42</v>
      </c>
      <c r="K324" s="110">
        <v>67853.919999999998</v>
      </c>
    </row>
    <row r="325" spans="1:12" x14ac:dyDescent="0.2">
      <c r="A325" t="s">
        <v>10</v>
      </c>
      <c r="B325" t="s">
        <v>104</v>
      </c>
      <c r="C325" t="s">
        <v>222</v>
      </c>
      <c r="D325" s="110">
        <v>543531.5</v>
      </c>
      <c r="E325" s="110">
        <v>538138.5</v>
      </c>
      <c r="I325" s="110">
        <v>32966.5</v>
      </c>
      <c r="J325" s="110">
        <v>50478.19</v>
      </c>
    </row>
    <row r="326" spans="1:12" x14ac:dyDescent="0.2">
      <c r="A326" t="s">
        <v>10</v>
      </c>
      <c r="B326" t="s">
        <v>104</v>
      </c>
      <c r="C326" t="s">
        <v>223</v>
      </c>
      <c r="D326" s="110">
        <v>915553.1</v>
      </c>
      <c r="I326" s="110">
        <v>32507.599999999999</v>
      </c>
    </row>
    <row r="327" spans="1:12" x14ac:dyDescent="0.2">
      <c r="A327" t="s">
        <v>10</v>
      </c>
      <c r="B327" t="s">
        <v>140</v>
      </c>
      <c r="C327" t="s">
        <v>220</v>
      </c>
      <c r="D327" s="110">
        <v>403</v>
      </c>
      <c r="E327" s="110">
        <v>403</v>
      </c>
      <c r="F327" s="110">
        <v>403</v>
      </c>
      <c r="G327" s="110">
        <v>353</v>
      </c>
      <c r="I327" s="110">
        <v>96</v>
      </c>
      <c r="J327" s="110">
        <v>96</v>
      </c>
      <c r="K327" s="110">
        <v>96</v>
      </c>
      <c r="L327" s="110">
        <v>96</v>
      </c>
    </row>
    <row r="328" spans="1:12" x14ac:dyDescent="0.2">
      <c r="A328" t="s">
        <v>10</v>
      </c>
      <c r="B328" t="s">
        <v>140</v>
      </c>
      <c r="C328" t="s">
        <v>221</v>
      </c>
      <c r="D328" s="110">
        <v>1228917</v>
      </c>
      <c r="E328" s="110">
        <v>1228917</v>
      </c>
      <c r="F328" s="110">
        <v>1228915</v>
      </c>
      <c r="I328" s="110">
        <v>106</v>
      </c>
      <c r="J328" s="110">
        <v>113</v>
      </c>
      <c r="K328" s="110">
        <v>111</v>
      </c>
    </row>
    <row r="329" spans="1:12" x14ac:dyDescent="0.2">
      <c r="A329" t="s">
        <v>10</v>
      </c>
      <c r="B329" t="s">
        <v>140</v>
      </c>
      <c r="C329" t="s">
        <v>222</v>
      </c>
      <c r="D329" s="110">
        <v>108521</v>
      </c>
      <c r="E329" s="110">
        <v>108521</v>
      </c>
      <c r="I329" s="110">
        <v>80</v>
      </c>
      <c r="J329" s="110">
        <v>87</v>
      </c>
    </row>
    <row r="330" spans="1:12" x14ac:dyDescent="0.2">
      <c r="A330" t="s">
        <v>10</v>
      </c>
      <c r="B330" t="s">
        <v>140</v>
      </c>
      <c r="C330" t="s">
        <v>223</v>
      </c>
      <c r="D330" s="110">
        <v>427943</v>
      </c>
      <c r="I330" s="110">
        <v>88</v>
      </c>
    </row>
    <row r="331" spans="1:12" x14ac:dyDescent="0.2">
      <c r="A331" t="s">
        <v>10</v>
      </c>
      <c r="B331" t="s">
        <v>105</v>
      </c>
      <c r="C331" t="s">
        <v>220</v>
      </c>
      <c r="D331" s="110">
        <v>211449.33</v>
      </c>
      <c r="E331" s="110">
        <v>210173.33</v>
      </c>
      <c r="F331" s="110">
        <v>209791.33</v>
      </c>
      <c r="G331" s="110">
        <v>209192.33</v>
      </c>
      <c r="I331" s="110">
        <v>44577.33</v>
      </c>
      <c r="J331" s="110">
        <v>66046.33</v>
      </c>
      <c r="K331" s="110">
        <v>80810.83</v>
      </c>
      <c r="L331" s="110">
        <v>87127.34</v>
      </c>
    </row>
    <row r="332" spans="1:12" x14ac:dyDescent="0.2">
      <c r="A332" t="s">
        <v>10</v>
      </c>
      <c r="B332" t="s">
        <v>105</v>
      </c>
      <c r="C332" t="s">
        <v>221</v>
      </c>
      <c r="D332" s="110">
        <v>199882.23999999999</v>
      </c>
      <c r="E332" s="110">
        <v>198937.24</v>
      </c>
      <c r="F332" s="110">
        <v>198787.24</v>
      </c>
      <c r="I332" s="110">
        <v>53749.75</v>
      </c>
      <c r="J332" s="110">
        <v>73223.75</v>
      </c>
      <c r="K332" s="110">
        <v>82331.91</v>
      </c>
    </row>
    <row r="333" spans="1:12" x14ac:dyDescent="0.2">
      <c r="A333" t="s">
        <v>10</v>
      </c>
      <c r="B333" t="s">
        <v>105</v>
      </c>
      <c r="C333" t="s">
        <v>222</v>
      </c>
      <c r="D333" s="110">
        <v>205394.5</v>
      </c>
      <c r="E333" s="110">
        <v>200632.5</v>
      </c>
      <c r="I333" s="110">
        <v>42138.5</v>
      </c>
      <c r="J333" s="110">
        <v>62517.18</v>
      </c>
    </row>
    <row r="334" spans="1:12" x14ac:dyDescent="0.2">
      <c r="A334" t="s">
        <v>10</v>
      </c>
      <c r="B334" t="s">
        <v>105</v>
      </c>
      <c r="C334" t="s">
        <v>223</v>
      </c>
      <c r="D334" s="110">
        <v>228122.75</v>
      </c>
      <c r="I334" s="110">
        <v>62506.76</v>
      </c>
    </row>
    <row r="335" spans="1:12" x14ac:dyDescent="0.2">
      <c r="A335" t="s">
        <v>10</v>
      </c>
      <c r="B335" t="s">
        <v>111</v>
      </c>
      <c r="C335" t="s">
        <v>220</v>
      </c>
      <c r="D335" s="110">
        <v>13089</v>
      </c>
      <c r="E335" s="110">
        <v>12989</v>
      </c>
      <c r="F335" s="110">
        <v>12889</v>
      </c>
      <c r="G335" s="110">
        <v>12789</v>
      </c>
      <c r="I335" s="110">
        <v>1282</v>
      </c>
      <c r="J335" s="110">
        <v>1324</v>
      </c>
      <c r="K335" s="110">
        <v>1324</v>
      </c>
      <c r="L335" s="110">
        <v>1352</v>
      </c>
    </row>
    <row r="336" spans="1:12" x14ac:dyDescent="0.2">
      <c r="A336" t="s">
        <v>10</v>
      </c>
      <c r="B336" t="s">
        <v>111</v>
      </c>
      <c r="C336" t="s">
        <v>221</v>
      </c>
      <c r="D336" s="110">
        <v>16669</v>
      </c>
      <c r="E336" s="110">
        <v>16719</v>
      </c>
      <c r="F336" s="110">
        <v>16719</v>
      </c>
      <c r="I336" s="110">
        <v>204</v>
      </c>
      <c r="J336" s="110">
        <v>211</v>
      </c>
      <c r="K336" s="110">
        <v>444.5</v>
      </c>
    </row>
    <row r="337" spans="1:12" x14ac:dyDescent="0.2">
      <c r="A337" t="s">
        <v>10</v>
      </c>
      <c r="B337" t="s">
        <v>111</v>
      </c>
      <c r="C337" t="s">
        <v>222</v>
      </c>
      <c r="D337" s="110">
        <v>16078</v>
      </c>
      <c r="E337" s="110">
        <v>15981</v>
      </c>
      <c r="I337" s="110">
        <v>625</v>
      </c>
      <c r="J337" s="110">
        <v>938</v>
      </c>
    </row>
    <row r="338" spans="1:12" x14ac:dyDescent="0.2">
      <c r="A338" t="s">
        <v>10</v>
      </c>
      <c r="B338" t="s">
        <v>111</v>
      </c>
      <c r="C338" t="s">
        <v>223</v>
      </c>
      <c r="D338" s="110">
        <v>8369</v>
      </c>
      <c r="I338" s="110">
        <v>848</v>
      </c>
    </row>
    <row r="339" spans="1:12" x14ac:dyDescent="0.2">
      <c r="A339" t="s">
        <v>10</v>
      </c>
      <c r="B339" t="s">
        <v>109</v>
      </c>
      <c r="C339" t="s">
        <v>220</v>
      </c>
      <c r="D339" s="110">
        <v>165347.1</v>
      </c>
      <c r="E339" s="110">
        <v>165322.1</v>
      </c>
      <c r="F339" s="110">
        <v>165322.1</v>
      </c>
      <c r="G339" s="110">
        <v>165276.1</v>
      </c>
      <c r="I339" s="110">
        <v>38078.35</v>
      </c>
      <c r="J339" s="110">
        <v>61809.599999999999</v>
      </c>
      <c r="K339" s="110">
        <v>73033.100000000006</v>
      </c>
      <c r="L339" s="110">
        <v>79491.47</v>
      </c>
    </row>
    <row r="340" spans="1:12" x14ac:dyDescent="0.2">
      <c r="A340" t="s">
        <v>10</v>
      </c>
      <c r="B340" t="s">
        <v>109</v>
      </c>
      <c r="C340" t="s">
        <v>221</v>
      </c>
      <c r="D340" s="110">
        <v>186895.8</v>
      </c>
      <c r="E340" s="110">
        <v>186720.8</v>
      </c>
      <c r="F340" s="110">
        <v>186720.8</v>
      </c>
      <c r="I340" s="110">
        <v>47487.3</v>
      </c>
      <c r="J340" s="110">
        <v>65664.05</v>
      </c>
      <c r="K340" s="110">
        <v>76815.44</v>
      </c>
    </row>
    <row r="341" spans="1:12" x14ac:dyDescent="0.2">
      <c r="A341" t="s">
        <v>10</v>
      </c>
      <c r="B341" t="s">
        <v>109</v>
      </c>
      <c r="C341" t="s">
        <v>222</v>
      </c>
      <c r="D341" s="110">
        <v>145627.79999999999</v>
      </c>
      <c r="E341" s="110">
        <v>145570.79999999999</v>
      </c>
      <c r="I341" s="110">
        <v>42391.3</v>
      </c>
      <c r="J341" s="110">
        <v>56198.28</v>
      </c>
    </row>
    <row r="342" spans="1:12" x14ac:dyDescent="0.2">
      <c r="A342" t="s">
        <v>10</v>
      </c>
      <c r="B342" t="s">
        <v>109</v>
      </c>
      <c r="C342" t="s">
        <v>223</v>
      </c>
      <c r="D342" s="110">
        <v>161199.15</v>
      </c>
      <c r="I342" s="110">
        <v>38161.4</v>
      </c>
    </row>
    <row r="343" spans="1:12" x14ac:dyDescent="0.2">
      <c r="A343" t="s">
        <v>10</v>
      </c>
      <c r="B343" t="s">
        <v>106</v>
      </c>
      <c r="C343" t="s">
        <v>220</v>
      </c>
      <c r="D343" s="110">
        <v>191298.59</v>
      </c>
      <c r="E343" s="110">
        <v>191248.59</v>
      </c>
      <c r="F343" s="110">
        <v>191248.59</v>
      </c>
      <c r="G343" s="110">
        <v>191248.59</v>
      </c>
      <c r="I343" s="110">
        <v>189041.59</v>
      </c>
      <c r="J343" s="110">
        <v>190703.59</v>
      </c>
      <c r="K343" s="110">
        <v>191098.59</v>
      </c>
      <c r="L343" s="110">
        <v>191198.59</v>
      </c>
    </row>
    <row r="344" spans="1:12" x14ac:dyDescent="0.2">
      <c r="A344" t="s">
        <v>10</v>
      </c>
      <c r="B344" t="s">
        <v>106</v>
      </c>
      <c r="C344" t="s">
        <v>221</v>
      </c>
      <c r="D344" s="110">
        <v>196007.28</v>
      </c>
      <c r="E344" s="110">
        <v>195726.28</v>
      </c>
      <c r="F344" s="110">
        <v>195726.28</v>
      </c>
      <c r="I344" s="110">
        <v>193138.78</v>
      </c>
      <c r="J344" s="110">
        <v>195085.78</v>
      </c>
      <c r="K344" s="110">
        <v>195493.28</v>
      </c>
    </row>
    <row r="345" spans="1:12" x14ac:dyDescent="0.2">
      <c r="A345" t="s">
        <v>10</v>
      </c>
      <c r="B345" t="s">
        <v>106</v>
      </c>
      <c r="C345" t="s">
        <v>222</v>
      </c>
      <c r="D345" s="110">
        <v>197025.77</v>
      </c>
      <c r="E345" s="110">
        <v>197025.77</v>
      </c>
      <c r="I345" s="110">
        <v>192792.77</v>
      </c>
      <c r="J345" s="110">
        <v>196504.77</v>
      </c>
    </row>
    <row r="346" spans="1:12" x14ac:dyDescent="0.2">
      <c r="A346" t="s">
        <v>10</v>
      </c>
      <c r="B346" t="s">
        <v>106</v>
      </c>
      <c r="C346" t="s">
        <v>223</v>
      </c>
      <c r="D346" s="110">
        <v>203193.93</v>
      </c>
      <c r="I346" s="110">
        <v>197265.43</v>
      </c>
    </row>
    <row r="347" spans="1:12" x14ac:dyDescent="0.2">
      <c r="A347" t="s">
        <v>10</v>
      </c>
      <c r="B347" t="s">
        <v>107</v>
      </c>
      <c r="C347" t="s">
        <v>220</v>
      </c>
      <c r="D347" s="110">
        <v>186301.27</v>
      </c>
      <c r="E347" s="110">
        <v>186301.27</v>
      </c>
      <c r="F347" s="110">
        <v>186301.27</v>
      </c>
      <c r="G347" s="110">
        <v>186301.27</v>
      </c>
      <c r="I347" s="110">
        <v>185854.27</v>
      </c>
      <c r="J347" s="110">
        <v>186231.27</v>
      </c>
      <c r="K347" s="110">
        <v>186301.27</v>
      </c>
      <c r="L347" s="110">
        <v>186301.27</v>
      </c>
    </row>
    <row r="348" spans="1:12" x14ac:dyDescent="0.2">
      <c r="A348" t="s">
        <v>10</v>
      </c>
      <c r="B348" t="s">
        <v>107</v>
      </c>
      <c r="C348" t="s">
        <v>221</v>
      </c>
      <c r="D348" s="110">
        <v>193225.17</v>
      </c>
      <c r="E348" s="110">
        <v>193140.17</v>
      </c>
      <c r="F348" s="110">
        <v>193140.17</v>
      </c>
      <c r="I348" s="110">
        <v>189090.17</v>
      </c>
      <c r="J348" s="110">
        <v>192910.17</v>
      </c>
      <c r="K348" s="110">
        <v>192910.17</v>
      </c>
    </row>
    <row r="349" spans="1:12" x14ac:dyDescent="0.2">
      <c r="A349" t="s">
        <v>10</v>
      </c>
      <c r="B349" t="s">
        <v>107</v>
      </c>
      <c r="C349" t="s">
        <v>222</v>
      </c>
      <c r="D349" s="110">
        <v>161329.38</v>
      </c>
      <c r="E349" s="110">
        <v>161149.38</v>
      </c>
      <c r="I349" s="110">
        <v>160389.38</v>
      </c>
      <c r="J349" s="110">
        <v>161149.38</v>
      </c>
    </row>
    <row r="350" spans="1:12" x14ac:dyDescent="0.2">
      <c r="A350" t="s">
        <v>10</v>
      </c>
      <c r="B350" t="s">
        <v>107</v>
      </c>
      <c r="C350" t="s">
        <v>223</v>
      </c>
      <c r="D350" s="110">
        <v>182348.56</v>
      </c>
      <c r="I350" s="110">
        <v>181274.56</v>
      </c>
    </row>
    <row r="351" spans="1:12" x14ac:dyDescent="0.2">
      <c r="A351" t="s">
        <v>10</v>
      </c>
      <c r="B351" t="s">
        <v>108</v>
      </c>
      <c r="C351" t="s">
        <v>220</v>
      </c>
      <c r="D351" s="110">
        <v>88975.360000000001</v>
      </c>
      <c r="E351" s="110">
        <v>88952.36</v>
      </c>
      <c r="F351" s="110">
        <v>88952.36</v>
      </c>
      <c r="G351" s="110">
        <v>88952.36</v>
      </c>
      <c r="I351" s="110">
        <v>88871.2</v>
      </c>
      <c r="J351" s="110">
        <v>88923.199999999997</v>
      </c>
      <c r="K351" s="110">
        <v>88923.199999999997</v>
      </c>
      <c r="L351" s="110">
        <v>88923.199999999997</v>
      </c>
    </row>
    <row r="352" spans="1:12" x14ac:dyDescent="0.2">
      <c r="A352" t="s">
        <v>10</v>
      </c>
      <c r="B352" t="s">
        <v>108</v>
      </c>
      <c r="C352" t="s">
        <v>221</v>
      </c>
      <c r="D352" s="110">
        <v>93995.17</v>
      </c>
      <c r="E352" s="110">
        <v>92733.17</v>
      </c>
      <c r="F352" s="110">
        <v>92733.17</v>
      </c>
      <c r="I352" s="110">
        <v>89561.2</v>
      </c>
      <c r="J352" s="110">
        <v>92713.2</v>
      </c>
      <c r="K352" s="110">
        <v>92713.2</v>
      </c>
    </row>
    <row r="353" spans="1:12" x14ac:dyDescent="0.2">
      <c r="A353" t="s">
        <v>10</v>
      </c>
      <c r="B353" t="s">
        <v>108</v>
      </c>
      <c r="C353" t="s">
        <v>222</v>
      </c>
      <c r="D353" s="110">
        <v>91470.54</v>
      </c>
      <c r="E353" s="110">
        <v>91125.54</v>
      </c>
      <c r="I353" s="110">
        <v>90933</v>
      </c>
      <c r="J353" s="110">
        <v>90638</v>
      </c>
    </row>
    <row r="354" spans="1:12" x14ac:dyDescent="0.2">
      <c r="A354" t="s">
        <v>10</v>
      </c>
      <c r="B354" t="s">
        <v>108</v>
      </c>
      <c r="C354" t="s">
        <v>223</v>
      </c>
      <c r="D354" s="110">
        <v>103678.05</v>
      </c>
      <c r="I354" s="110">
        <v>100618.05</v>
      </c>
    </row>
    <row r="355" spans="1:12" x14ac:dyDescent="0.2">
      <c r="A355" t="s">
        <v>10</v>
      </c>
      <c r="B355" t="s">
        <v>70</v>
      </c>
      <c r="C355" t="s">
        <v>220</v>
      </c>
      <c r="D355" s="110">
        <v>70846.080000000002</v>
      </c>
      <c r="E355" s="110">
        <v>65926.8</v>
      </c>
      <c r="F355" s="110">
        <v>65584.08</v>
      </c>
      <c r="G355" s="110">
        <v>65584.08</v>
      </c>
      <c r="I355" s="110">
        <v>55522.080000000002</v>
      </c>
      <c r="J355" s="110">
        <v>59872.08</v>
      </c>
      <c r="K355" s="110">
        <v>59872.08</v>
      </c>
      <c r="L355" s="110">
        <v>60167.08</v>
      </c>
    </row>
    <row r="356" spans="1:12" x14ac:dyDescent="0.2">
      <c r="A356" t="s">
        <v>10</v>
      </c>
      <c r="B356" t="s">
        <v>70</v>
      </c>
      <c r="C356" t="s">
        <v>221</v>
      </c>
      <c r="D356" s="110">
        <v>70360.92</v>
      </c>
      <c r="E356" s="110">
        <v>70183.42</v>
      </c>
      <c r="F356" s="110">
        <v>70183.42</v>
      </c>
      <c r="I356" s="110">
        <v>62493.919999999998</v>
      </c>
      <c r="J356" s="110">
        <v>64168.92</v>
      </c>
      <c r="K356" s="110">
        <v>64516.42</v>
      </c>
    </row>
    <row r="357" spans="1:12" x14ac:dyDescent="0.2">
      <c r="A357" t="s">
        <v>10</v>
      </c>
      <c r="B357" t="s">
        <v>70</v>
      </c>
      <c r="C357" t="s">
        <v>222</v>
      </c>
      <c r="D357" s="110">
        <v>82857.78</v>
      </c>
      <c r="E357" s="110">
        <v>81680.28</v>
      </c>
      <c r="I357" s="110">
        <v>73935.78</v>
      </c>
      <c r="J357" s="110">
        <v>77290.28</v>
      </c>
    </row>
    <row r="358" spans="1:12" x14ac:dyDescent="0.2">
      <c r="A358" t="s">
        <v>10</v>
      </c>
      <c r="B358" t="s">
        <v>70</v>
      </c>
      <c r="C358" t="s">
        <v>223</v>
      </c>
      <c r="D358" s="110">
        <v>71168.490000000005</v>
      </c>
      <c r="I358" s="110">
        <v>58596.99</v>
      </c>
    </row>
    <row r="359" spans="1:12" x14ac:dyDescent="0.2">
      <c r="A359" t="s">
        <v>10</v>
      </c>
      <c r="B359" t="s">
        <v>110</v>
      </c>
      <c r="C359" t="s">
        <v>220</v>
      </c>
      <c r="D359" s="110">
        <v>385303.4</v>
      </c>
      <c r="E359" s="110">
        <v>371796.4</v>
      </c>
      <c r="F359" s="110">
        <v>370673.4</v>
      </c>
      <c r="G359" s="110">
        <v>370187.4</v>
      </c>
      <c r="I359" s="110">
        <v>215137.5</v>
      </c>
      <c r="J359" s="110">
        <v>324927.95</v>
      </c>
      <c r="K359" s="110">
        <v>335552</v>
      </c>
      <c r="L359" s="110">
        <v>339811</v>
      </c>
    </row>
    <row r="360" spans="1:12" x14ac:dyDescent="0.2">
      <c r="A360" t="s">
        <v>10</v>
      </c>
      <c r="B360" t="s">
        <v>110</v>
      </c>
      <c r="C360" t="s">
        <v>221</v>
      </c>
      <c r="D360" s="110">
        <v>494410.2</v>
      </c>
      <c r="E360" s="110">
        <v>474042.15</v>
      </c>
      <c r="F360" s="110">
        <v>471742.15</v>
      </c>
      <c r="I360" s="110">
        <v>310135.40000000002</v>
      </c>
      <c r="J360" s="110">
        <v>423569.75</v>
      </c>
      <c r="K360" s="110">
        <v>432872.45</v>
      </c>
    </row>
    <row r="361" spans="1:12" x14ac:dyDescent="0.2">
      <c r="A361" t="s">
        <v>10</v>
      </c>
      <c r="B361" t="s">
        <v>110</v>
      </c>
      <c r="C361" t="s">
        <v>222</v>
      </c>
      <c r="D361" s="110">
        <v>466141.15</v>
      </c>
      <c r="E361" s="110">
        <v>437274.95</v>
      </c>
      <c r="I361" s="110">
        <v>263500.95</v>
      </c>
      <c r="J361" s="110">
        <v>381612.47</v>
      </c>
    </row>
    <row r="362" spans="1:12" x14ac:dyDescent="0.2">
      <c r="A362" t="s">
        <v>10</v>
      </c>
      <c r="B362" t="s">
        <v>110</v>
      </c>
      <c r="C362" t="s">
        <v>223</v>
      </c>
      <c r="D362" s="110">
        <v>457494</v>
      </c>
      <c r="I362" s="110">
        <v>272609.59000000003</v>
      </c>
    </row>
    <row r="363" spans="1:12" x14ac:dyDescent="0.2">
      <c r="A363" t="s">
        <v>11</v>
      </c>
      <c r="B363" t="s">
        <v>104</v>
      </c>
      <c r="C363" t="s">
        <v>220</v>
      </c>
      <c r="D363" s="110">
        <v>614854</v>
      </c>
      <c r="E363" s="110">
        <v>614854</v>
      </c>
      <c r="F363" s="110">
        <v>614854</v>
      </c>
      <c r="G363" s="110">
        <v>614854</v>
      </c>
      <c r="I363" s="110">
        <v>9692</v>
      </c>
      <c r="J363" s="110">
        <v>16495</v>
      </c>
      <c r="K363" s="110">
        <v>22878</v>
      </c>
      <c r="L363" s="110">
        <v>28635</v>
      </c>
    </row>
    <row r="364" spans="1:12" x14ac:dyDescent="0.2">
      <c r="A364" t="s">
        <v>11</v>
      </c>
      <c r="B364" t="s">
        <v>104</v>
      </c>
      <c r="C364" t="s">
        <v>221</v>
      </c>
      <c r="D364" s="110">
        <v>325671</v>
      </c>
      <c r="E364" s="110">
        <v>325671</v>
      </c>
      <c r="F364" s="110">
        <v>325657</v>
      </c>
      <c r="I364" s="110">
        <v>9854</v>
      </c>
      <c r="J364" s="110">
        <v>15513</v>
      </c>
      <c r="K364" s="110">
        <v>20436</v>
      </c>
    </row>
    <row r="365" spans="1:12" x14ac:dyDescent="0.2">
      <c r="A365" t="s">
        <v>11</v>
      </c>
      <c r="B365" t="s">
        <v>104</v>
      </c>
      <c r="C365" t="s">
        <v>222</v>
      </c>
      <c r="D365" s="110">
        <v>173151</v>
      </c>
      <c r="E365" s="110">
        <v>173151</v>
      </c>
      <c r="I365" s="110">
        <v>3670</v>
      </c>
      <c r="J365" s="110">
        <v>7577</v>
      </c>
    </row>
    <row r="366" spans="1:12" x14ac:dyDescent="0.2">
      <c r="A366" t="s">
        <v>11</v>
      </c>
      <c r="B366" t="s">
        <v>104</v>
      </c>
      <c r="C366" t="s">
        <v>223</v>
      </c>
    </row>
    <row r="367" spans="1:12" x14ac:dyDescent="0.2">
      <c r="A367" t="s">
        <v>11</v>
      </c>
      <c r="B367" t="s">
        <v>140</v>
      </c>
      <c r="C367" t="s">
        <v>220</v>
      </c>
      <c r="D367" s="110">
        <v>423507</v>
      </c>
      <c r="E367" s="110">
        <v>423507</v>
      </c>
      <c r="F367" s="110">
        <v>423507</v>
      </c>
      <c r="G367" s="110">
        <v>423507</v>
      </c>
      <c r="I367" s="110">
        <v>0</v>
      </c>
      <c r="J367" s="110">
        <v>0</v>
      </c>
      <c r="L367" s="110">
        <v>14</v>
      </c>
    </row>
    <row r="368" spans="1:12" x14ac:dyDescent="0.2">
      <c r="A368" t="s">
        <v>11</v>
      </c>
      <c r="B368" t="s">
        <v>140</v>
      </c>
      <c r="C368" t="s">
        <v>221</v>
      </c>
      <c r="D368" s="110">
        <v>159611</v>
      </c>
      <c r="E368" s="110">
        <v>159611</v>
      </c>
      <c r="F368" s="110">
        <v>159611</v>
      </c>
      <c r="I368" s="110">
        <v>14</v>
      </c>
      <c r="J368" s="110">
        <v>14</v>
      </c>
      <c r="K368" s="110">
        <v>14</v>
      </c>
    </row>
    <row r="369" spans="1:12" x14ac:dyDescent="0.2">
      <c r="A369" t="s">
        <v>11</v>
      </c>
      <c r="B369" t="s">
        <v>140</v>
      </c>
      <c r="C369" t="s">
        <v>222</v>
      </c>
      <c r="D369" s="110">
        <v>53207</v>
      </c>
      <c r="E369" s="110">
        <v>53207</v>
      </c>
      <c r="I369" s="110">
        <v>2</v>
      </c>
      <c r="J369" s="110">
        <v>16</v>
      </c>
    </row>
    <row r="370" spans="1:12" x14ac:dyDescent="0.2">
      <c r="A370" t="s">
        <v>11</v>
      </c>
      <c r="B370" t="s">
        <v>140</v>
      </c>
      <c r="C370" t="s">
        <v>223</v>
      </c>
      <c r="D370" s="110">
        <v>53137</v>
      </c>
      <c r="I370" s="110">
        <v>2</v>
      </c>
    </row>
    <row r="371" spans="1:12" x14ac:dyDescent="0.2">
      <c r="A371" t="s">
        <v>11</v>
      </c>
      <c r="B371" t="s">
        <v>105</v>
      </c>
      <c r="C371" t="s">
        <v>220</v>
      </c>
      <c r="D371" s="110">
        <v>194625</v>
      </c>
      <c r="E371" s="110">
        <v>194199</v>
      </c>
      <c r="F371" s="110">
        <v>194199</v>
      </c>
      <c r="G371" s="110">
        <v>193442</v>
      </c>
      <c r="I371" s="110">
        <v>23104</v>
      </c>
      <c r="J371" s="110">
        <v>53121</v>
      </c>
      <c r="K371" s="110">
        <v>68109</v>
      </c>
      <c r="L371" s="110">
        <v>77073</v>
      </c>
    </row>
    <row r="372" spans="1:12" x14ac:dyDescent="0.2">
      <c r="A372" t="s">
        <v>11</v>
      </c>
      <c r="B372" t="s">
        <v>105</v>
      </c>
      <c r="C372" t="s">
        <v>221</v>
      </c>
      <c r="D372" s="110">
        <v>216683</v>
      </c>
      <c r="E372" s="110">
        <v>216211</v>
      </c>
      <c r="F372" s="110">
        <v>215943</v>
      </c>
      <c r="I372" s="110">
        <v>38909</v>
      </c>
      <c r="J372" s="110">
        <v>58696</v>
      </c>
      <c r="K372" s="110">
        <v>72001</v>
      </c>
    </row>
    <row r="373" spans="1:12" x14ac:dyDescent="0.2">
      <c r="A373" t="s">
        <v>11</v>
      </c>
      <c r="B373" t="s">
        <v>105</v>
      </c>
      <c r="C373" t="s">
        <v>222</v>
      </c>
      <c r="D373" s="110">
        <v>197720</v>
      </c>
      <c r="E373" s="110">
        <v>196956</v>
      </c>
      <c r="I373" s="110">
        <v>29374</v>
      </c>
      <c r="J373" s="110">
        <v>50036</v>
      </c>
    </row>
    <row r="374" spans="1:12" x14ac:dyDescent="0.2">
      <c r="A374" t="s">
        <v>11</v>
      </c>
      <c r="B374" t="s">
        <v>105</v>
      </c>
      <c r="C374" t="s">
        <v>223</v>
      </c>
      <c r="D374" s="110">
        <v>138270</v>
      </c>
      <c r="I374" s="110">
        <v>17254</v>
      </c>
    </row>
    <row r="375" spans="1:12" x14ac:dyDescent="0.2">
      <c r="A375" t="s">
        <v>11</v>
      </c>
      <c r="B375" t="s">
        <v>111</v>
      </c>
      <c r="C375" t="s">
        <v>220</v>
      </c>
      <c r="D375" s="110">
        <v>13733</v>
      </c>
      <c r="E375" s="110">
        <v>13733</v>
      </c>
      <c r="F375" s="110">
        <v>11757</v>
      </c>
      <c r="G375" s="110">
        <v>11489</v>
      </c>
      <c r="I375" s="110">
        <v>451</v>
      </c>
      <c r="J375" s="110">
        <v>819</v>
      </c>
      <c r="K375" s="110">
        <v>1052</v>
      </c>
      <c r="L375" s="110">
        <v>1951</v>
      </c>
    </row>
    <row r="376" spans="1:12" x14ac:dyDescent="0.2">
      <c r="A376" t="s">
        <v>11</v>
      </c>
      <c r="B376" t="s">
        <v>111</v>
      </c>
      <c r="C376" t="s">
        <v>221</v>
      </c>
      <c r="D376" s="110">
        <v>20905</v>
      </c>
      <c r="E376" s="110">
        <v>20537</v>
      </c>
      <c r="F376" s="110">
        <v>18529</v>
      </c>
      <c r="I376" s="110">
        <v>1548</v>
      </c>
      <c r="J376" s="110">
        <v>3739</v>
      </c>
      <c r="K376" s="110">
        <v>5863</v>
      </c>
    </row>
    <row r="377" spans="1:12" x14ac:dyDescent="0.2">
      <c r="A377" t="s">
        <v>11</v>
      </c>
      <c r="B377" t="s">
        <v>111</v>
      </c>
      <c r="C377" t="s">
        <v>222</v>
      </c>
      <c r="D377" s="110">
        <v>13032</v>
      </c>
      <c r="E377" s="110">
        <v>13032</v>
      </c>
      <c r="I377" s="110">
        <v>314</v>
      </c>
      <c r="J377" s="110">
        <v>1573</v>
      </c>
    </row>
    <row r="378" spans="1:12" x14ac:dyDescent="0.2">
      <c r="A378" t="s">
        <v>11</v>
      </c>
      <c r="B378" t="s">
        <v>111</v>
      </c>
      <c r="C378" t="s">
        <v>223</v>
      </c>
      <c r="D378" s="110">
        <v>12099</v>
      </c>
      <c r="I378" s="110">
        <v>1190</v>
      </c>
    </row>
    <row r="379" spans="1:12" x14ac:dyDescent="0.2">
      <c r="A379" t="s">
        <v>11</v>
      </c>
      <c r="B379" t="s">
        <v>109</v>
      </c>
      <c r="C379" t="s">
        <v>220</v>
      </c>
      <c r="D379" s="110">
        <v>215956</v>
      </c>
      <c r="E379" s="110">
        <v>216247</v>
      </c>
      <c r="F379" s="110">
        <v>216247</v>
      </c>
      <c r="G379" s="110">
        <v>216247</v>
      </c>
      <c r="I379" s="110">
        <v>38240</v>
      </c>
      <c r="J379" s="110">
        <v>77648</v>
      </c>
      <c r="K379" s="110">
        <v>98473</v>
      </c>
      <c r="L379" s="110">
        <v>103042</v>
      </c>
    </row>
    <row r="380" spans="1:12" x14ac:dyDescent="0.2">
      <c r="A380" t="s">
        <v>11</v>
      </c>
      <c r="B380" t="s">
        <v>109</v>
      </c>
      <c r="C380" t="s">
        <v>221</v>
      </c>
      <c r="D380" s="110">
        <v>233536</v>
      </c>
      <c r="E380" s="110">
        <v>233263</v>
      </c>
      <c r="F380" s="110">
        <v>228411</v>
      </c>
      <c r="I380" s="110">
        <v>50535</v>
      </c>
      <c r="J380" s="110">
        <v>83732</v>
      </c>
      <c r="K380" s="110">
        <v>101325</v>
      </c>
    </row>
    <row r="381" spans="1:12" x14ac:dyDescent="0.2">
      <c r="A381" t="s">
        <v>11</v>
      </c>
      <c r="B381" t="s">
        <v>109</v>
      </c>
      <c r="C381" t="s">
        <v>222</v>
      </c>
      <c r="D381" s="110">
        <v>269556</v>
      </c>
      <c r="E381" s="110">
        <v>269467</v>
      </c>
      <c r="I381" s="110">
        <v>69022</v>
      </c>
      <c r="J381" s="110">
        <v>108655</v>
      </c>
    </row>
    <row r="382" spans="1:12" x14ac:dyDescent="0.2">
      <c r="A382" t="s">
        <v>11</v>
      </c>
      <c r="B382" t="s">
        <v>109</v>
      </c>
      <c r="C382" t="s">
        <v>223</v>
      </c>
      <c r="D382" s="110">
        <v>239402</v>
      </c>
      <c r="I382" s="110">
        <v>57695</v>
      </c>
    </row>
    <row r="383" spans="1:12" x14ac:dyDescent="0.2">
      <c r="A383" t="s">
        <v>11</v>
      </c>
      <c r="B383" t="s">
        <v>106</v>
      </c>
      <c r="C383" t="s">
        <v>220</v>
      </c>
      <c r="D383" s="110">
        <v>295988</v>
      </c>
      <c r="E383" s="110">
        <v>295988</v>
      </c>
      <c r="F383" s="110">
        <v>294048</v>
      </c>
      <c r="G383" s="110">
        <v>293093</v>
      </c>
      <c r="I383" s="110">
        <v>295574</v>
      </c>
      <c r="J383" s="110">
        <v>295988</v>
      </c>
      <c r="K383" s="110">
        <v>294048</v>
      </c>
      <c r="L383" s="110">
        <v>293093</v>
      </c>
    </row>
    <row r="384" spans="1:12" x14ac:dyDescent="0.2">
      <c r="A384" t="s">
        <v>11</v>
      </c>
      <c r="B384" t="s">
        <v>106</v>
      </c>
      <c r="C384" t="s">
        <v>221</v>
      </c>
      <c r="D384" s="110">
        <v>337722</v>
      </c>
      <c r="E384" s="110">
        <v>333731</v>
      </c>
      <c r="F384" s="110">
        <v>333731</v>
      </c>
      <c r="I384" s="110">
        <v>326521</v>
      </c>
      <c r="J384" s="110">
        <v>333731</v>
      </c>
      <c r="K384" s="110">
        <v>333731</v>
      </c>
    </row>
    <row r="385" spans="1:12" x14ac:dyDescent="0.2">
      <c r="A385" t="s">
        <v>11</v>
      </c>
      <c r="B385" t="s">
        <v>106</v>
      </c>
      <c r="C385" t="s">
        <v>222</v>
      </c>
      <c r="D385" s="110">
        <v>361107</v>
      </c>
      <c r="E385" s="110">
        <v>361107</v>
      </c>
      <c r="I385" s="110">
        <v>350652</v>
      </c>
      <c r="J385" s="110">
        <v>361107</v>
      </c>
    </row>
    <row r="386" spans="1:12" x14ac:dyDescent="0.2">
      <c r="A386" t="s">
        <v>11</v>
      </c>
      <c r="B386" t="s">
        <v>106</v>
      </c>
      <c r="C386" t="s">
        <v>223</v>
      </c>
      <c r="D386" s="110">
        <v>264894</v>
      </c>
      <c r="I386" s="110">
        <v>264894</v>
      </c>
    </row>
    <row r="387" spans="1:12" x14ac:dyDescent="0.2">
      <c r="A387" t="s">
        <v>11</v>
      </c>
      <c r="B387" t="s">
        <v>107</v>
      </c>
      <c r="C387" t="s">
        <v>220</v>
      </c>
      <c r="D387" s="110">
        <v>266615</v>
      </c>
      <c r="E387" s="110">
        <v>266615</v>
      </c>
      <c r="F387" s="110">
        <v>266615</v>
      </c>
      <c r="G387" s="110">
        <v>266615</v>
      </c>
      <c r="I387" s="110">
        <v>266310</v>
      </c>
      <c r="J387" s="110">
        <v>266615</v>
      </c>
      <c r="K387" s="110">
        <v>266615</v>
      </c>
      <c r="L387" s="110">
        <v>266615</v>
      </c>
    </row>
    <row r="388" spans="1:12" x14ac:dyDescent="0.2">
      <c r="A388" t="s">
        <v>11</v>
      </c>
      <c r="B388" t="s">
        <v>107</v>
      </c>
      <c r="C388" t="s">
        <v>221</v>
      </c>
      <c r="D388" s="110">
        <v>291729</v>
      </c>
      <c r="E388" s="110">
        <v>291729</v>
      </c>
      <c r="F388" s="110">
        <v>291729</v>
      </c>
      <c r="I388" s="110">
        <v>291729</v>
      </c>
      <c r="J388" s="110">
        <v>291729</v>
      </c>
      <c r="K388" s="110">
        <v>291729</v>
      </c>
    </row>
    <row r="389" spans="1:12" x14ac:dyDescent="0.2">
      <c r="A389" t="s">
        <v>11</v>
      </c>
      <c r="B389" t="s">
        <v>107</v>
      </c>
      <c r="C389" t="s">
        <v>222</v>
      </c>
      <c r="D389" s="110">
        <v>243765</v>
      </c>
      <c r="E389" s="110">
        <v>242730</v>
      </c>
      <c r="I389" s="110">
        <v>243018</v>
      </c>
      <c r="J389" s="110">
        <v>242708</v>
      </c>
    </row>
    <row r="390" spans="1:12" x14ac:dyDescent="0.2">
      <c r="A390" t="s">
        <v>11</v>
      </c>
      <c r="B390" t="s">
        <v>107</v>
      </c>
      <c r="C390" t="s">
        <v>223</v>
      </c>
      <c r="D390" s="110">
        <v>213753</v>
      </c>
      <c r="I390" s="110">
        <v>213749</v>
      </c>
    </row>
    <row r="391" spans="1:12" x14ac:dyDescent="0.2">
      <c r="A391" t="s">
        <v>11</v>
      </c>
      <c r="B391" t="s">
        <v>108</v>
      </c>
      <c r="C391" t="s">
        <v>220</v>
      </c>
      <c r="D391" s="110">
        <v>41050</v>
      </c>
      <c r="E391" s="110">
        <v>41042</v>
      </c>
      <c r="F391" s="110">
        <v>41042</v>
      </c>
      <c r="G391" s="110">
        <v>41042</v>
      </c>
      <c r="I391" s="110">
        <v>41038</v>
      </c>
      <c r="J391" s="110">
        <v>41042</v>
      </c>
      <c r="K391" s="110">
        <v>41042</v>
      </c>
      <c r="L391" s="110">
        <v>41042</v>
      </c>
    </row>
    <row r="392" spans="1:12" x14ac:dyDescent="0.2">
      <c r="A392" t="s">
        <v>11</v>
      </c>
      <c r="B392" t="s">
        <v>108</v>
      </c>
      <c r="C392" t="s">
        <v>221</v>
      </c>
      <c r="D392" s="110">
        <v>45136</v>
      </c>
      <c r="E392" s="110">
        <v>44670</v>
      </c>
      <c r="F392" s="110">
        <v>44670</v>
      </c>
      <c r="I392" s="110">
        <v>45134</v>
      </c>
      <c r="J392" s="110">
        <v>44668</v>
      </c>
      <c r="K392" s="110">
        <v>44668</v>
      </c>
    </row>
    <row r="393" spans="1:12" x14ac:dyDescent="0.2">
      <c r="A393" t="s">
        <v>11</v>
      </c>
      <c r="B393" t="s">
        <v>108</v>
      </c>
      <c r="C393" t="s">
        <v>222</v>
      </c>
      <c r="D393" s="110">
        <v>55560</v>
      </c>
      <c r="E393" s="110">
        <v>54815</v>
      </c>
      <c r="I393" s="110">
        <v>54814</v>
      </c>
      <c r="J393" s="110">
        <v>54815</v>
      </c>
    </row>
    <row r="394" spans="1:12" x14ac:dyDescent="0.2">
      <c r="A394" t="s">
        <v>11</v>
      </c>
      <c r="B394" t="s">
        <v>108</v>
      </c>
      <c r="C394" t="s">
        <v>223</v>
      </c>
      <c r="D394" s="110">
        <v>31913</v>
      </c>
      <c r="I394" s="110">
        <v>31870</v>
      </c>
    </row>
    <row r="395" spans="1:12" x14ac:dyDescent="0.2">
      <c r="A395" t="s">
        <v>11</v>
      </c>
      <c r="B395" t="s">
        <v>70</v>
      </c>
      <c r="C395" t="s">
        <v>220</v>
      </c>
      <c r="D395" s="110">
        <v>115355</v>
      </c>
      <c r="E395" s="110">
        <v>114929</v>
      </c>
      <c r="F395" s="110">
        <v>114929</v>
      </c>
      <c r="G395" s="110">
        <v>114929</v>
      </c>
      <c r="I395" s="110">
        <v>114216</v>
      </c>
      <c r="J395" s="110">
        <v>114719</v>
      </c>
      <c r="K395" s="110">
        <v>114719</v>
      </c>
      <c r="L395" s="110">
        <v>114719</v>
      </c>
    </row>
    <row r="396" spans="1:12" x14ac:dyDescent="0.2">
      <c r="A396" t="s">
        <v>11</v>
      </c>
      <c r="B396" t="s">
        <v>70</v>
      </c>
      <c r="C396" t="s">
        <v>221</v>
      </c>
      <c r="D396" s="110">
        <v>134551</v>
      </c>
      <c r="E396" s="110">
        <v>133725</v>
      </c>
      <c r="F396" s="110">
        <v>133725</v>
      </c>
      <c r="I396" s="110">
        <v>134028</v>
      </c>
      <c r="J396" s="110">
        <v>133213</v>
      </c>
      <c r="K396" s="110">
        <v>133213</v>
      </c>
    </row>
    <row r="397" spans="1:12" x14ac:dyDescent="0.2">
      <c r="A397" t="s">
        <v>11</v>
      </c>
      <c r="B397" t="s">
        <v>70</v>
      </c>
      <c r="C397" t="s">
        <v>222</v>
      </c>
      <c r="D397" s="110">
        <v>142487</v>
      </c>
      <c r="E397" s="110">
        <v>142487</v>
      </c>
      <c r="I397" s="110">
        <v>141998</v>
      </c>
      <c r="J397" s="110">
        <v>141998</v>
      </c>
    </row>
    <row r="398" spans="1:12" x14ac:dyDescent="0.2">
      <c r="A398" t="s">
        <v>11</v>
      </c>
      <c r="B398" t="s">
        <v>70</v>
      </c>
      <c r="C398" t="s">
        <v>223</v>
      </c>
      <c r="D398" s="110">
        <v>97571</v>
      </c>
      <c r="I398" s="110">
        <v>94530</v>
      </c>
    </row>
    <row r="399" spans="1:12" x14ac:dyDescent="0.2">
      <c r="A399" t="s">
        <v>11</v>
      </c>
      <c r="B399" t="s">
        <v>110</v>
      </c>
      <c r="C399" t="s">
        <v>220</v>
      </c>
      <c r="D399" s="110">
        <v>1134366</v>
      </c>
      <c r="E399" s="110">
        <v>989418</v>
      </c>
      <c r="F399" s="110">
        <v>936145</v>
      </c>
      <c r="G399" s="110">
        <v>921975</v>
      </c>
      <c r="I399" s="110">
        <v>319487</v>
      </c>
      <c r="J399" s="110">
        <v>730064</v>
      </c>
      <c r="K399" s="110">
        <v>795897</v>
      </c>
      <c r="L399" s="110">
        <v>812706</v>
      </c>
    </row>
    <row r="400" spans="1:12" x14ac:dyDescent="0.2">
      <c r="A400" t="s">
        <v>11</v>
      </c>
      <c r="B400" t="s">
        <v>110</v>
      </c>
      <c r="C400" t="s">
        <v>221</v>
      </c>
      <c r="D400" s="110">
        <v>1286618</v>
      </c>
      <c r="E400" s="110">
        <v>1107743</v>
      </c>
      <c r="F400" s="110">
        <v>1059025</v>
      </c>
      <c r="I400" s="110">
        <v>431080</v>
      </c>
      <c r="J400" s="110">
        <v>804429</v>
      </c>
      <c r="K400" s="110">
        <v>877136</v>
      </c>
    </row>
    <row r="401" spans="1:12" x14ac:dyDescent="0.2">
      <c r="A401" t="s">
        <v>11</v>
      </c>
      <c r="B401" t="s">
        <v>110</v>
      </c>
      <c r="C401" t="s">
        <v>222</v>
      </c>
      <c r="D401" s="110">
        <v>1258560</v>
      </c>
      <c r="E401" s="110">
        <v>1100860</v>
      </c>
      <c r="I401" s="110">
        <v>353366</v>
      </c>
      <c r="J401" s="110">
        <v>690821</v>
      </c>
    </row>
    <row r="402" spans="1:12" x14ac:dyDescent="0.2">
      <c r="A402" t="s">
        <v>11</v>
      </c>
      <c r="B402" t="s">
        <v>110</v>
      </c>
      <c r="C402" t="s">
        <v>223</v>
      </c>
      <c r="D402" s="110">
        <v>1250055</v>
      </c>
      <c r="I402" s="110">
        <v>354483</v>
      </c>
    </row>
    <row r="403" spans="1:12" x14ac:dyDescent="0.2">
      <c r="A403" t="s">
        <v>12</v>
      </c>
      <c r="B403" t="s">
        <v>104</v>
      </c>
      <c r="C403" t="s">
        <v>220</v>
      </c>
      <c r="D403" s="110">
        <v>671445.85</v>
      </c>
      <c r="E403" s="110">
        <v>670530.85</v>
      </c>
      <c r="F403" s="110">
        <v>407162.85</v>
      </c>
      <c r="G403" s="110">
        <v>407062.85</v>
      </c>
      <c r="I403" s="110">
        <v>58978.18</v>
      </c>
      <c r="J403" s="110">
        <v>70599.509999999995</v>
      </c>
      <c r="K403" s="110">
        <v>84012.29</v>
      </c>
      <c r="L403" s="110">
        <v>96201.09</v>
      </c>
    </row>
    <row r="404" spans="1:12" x14ac:dyDescent="0.2">
      <c r="A404" t="s">
        <v>12</v>
      </c>
      <c r="B404" t="s">
        <v>104</v>
      </c>
      <c r="C404" t="s">
        <v>221</v>
      </c>
      <c r="D404" s="110">
        <v>3115268.41</v>
      </c>
      <c r="E404" s="110">
        <v>3114684.8</v>
      </c>
      <c r="F404" s="110">
        <v>3114580.09</v>
      </c>
      <c r="I404" s="110">
        <v>64533.27</v>
      </c>
      <c r="J404" s="110">
        <v>79509.09</v>
      </c>
      <c r="K404" s="110">
        <v>88182.2</v>
      </c>
    </row>
    <row r="405" spans="1:12" x14ac:dyDescent="0.2">
      <c r="A405" t="s">
        <v>12</v>
      </c>
      <c r="B405" t="s">
        <v>104</v>
      </c>
      <c r="C405" t="s">
        <v>222</v>
      </c>
      <c r="D405" s="110">
        <v>1642565.35</v>
      </c>
      <c r="E405" s="110">
        <v>1642515.35</v>
      </c>
      <c r="I405" s="110">
        <v>137391.06</v>
      </c>
      <c r="J405" s="110">
        <v>151419.82999999999</v>
      </c>
    </row>
    <row r="406" spans="1:12" x14ac:dyDescent="0.2">
      <c r="A406" t="s">
        <v>12</v>
      </c>
      <c r="B406" t="s">
        <v>104</v>
      </c>
      <c r="C406" t="s">
        <v>223</v>
      </c>
      <c r="D406" s="110">
        <v>2614447.29</v>
      </c>
      <c r="I406" s="110">
        <v>87891.27</v>
      </c>
    </row>
    <row r="407" spans="1:12" x14ac:dyDescent="0.2">
      <c r="A407" t="s">
        <v>12</v>
      </c>
      <c r="B407" t="s">
        <v>140</v>
      </c>
      <c r="C407" t="s">
        <v>220</v>
      </c>
      <c r="D407" s="110">
        <v>369090</v>
      </c>
      <c r="E407" s="110">
        <v>369090</v>
      </c>
      <c r="F407" s="110">
        <v>106175</v>
      </c>
      <c r="G407" s="110">
        <v>106175</v>
      </c>
      <c r="I407" s="110">
        <v>25</v>
      </c>
      <c r="J407" s="110">
        <v>25</v>
      </c>
      <c r="K407" s="110">
        <v>25</v>
      </c>
      <c r="L407" s="110">
        <v>25</v>
      </c>
    </row>
    <row r="408" spans="1:12" x14ac:dyDescent="0.2">
      <c r="A408" t="s">
        <v>12</v>
      </c>
      <c r="B408" t="s">
        <v>140</v>
      </c>
      <c r="C408" t="s">
        <v>221</v>
      </c>
      <c r="D408" s="110">
        <v>2813160</v>
      </c>
      <c r="E408" s="110">
        <v>2813160</v>
      </c>
      <c r="F408" s="110">
        <v>2813160</v>
      </c>
      <c r="I408" s="110">
        <v>62.7</v>
      </c>
      <c r="J408" s="110">
        <v>237.49</v>
      </c>
      <c r="K408" s="110">
        <v>386.52</v>
      </c>
    </row>
    <row r="409" spans="1:12" x14ac:dyDescent="0.2">
      <c r="A409" t="s">
        <v>12</v>
      </c>
      <c r="B409" t="s">
        <v>140</v>
      </c>
      <c r="C409" t="s">
        <v>222</v>
      </c>
      <c r="D409" s="110">
        <v>1237093</v>
      </c>
      <c r="E409" s="110">
        <v>1237093</v>
      </c>
      <c r="I409" s="110">
        <v>77.8</v>
      </c>
      <c r="J409" s="110">
        <v>77.8</v>
      </c>
    </row>
    <row r="410" spans="1:12" x14ac:dyDescent="0.2">
      <c r="A410" t="s">
        <v>12</v>
      </c>
      <c r="B410" t="s">
        <v>140</v>
      </c>
      <c r="C410" t="s">
        <v>223</v>
      </c>
      <c r="D410" s="110">
        <v>2315093</v>
      </c>
      <c r="I410" s="110">
        <v>125</v>
      </c>
    </row>
    <row r="411" spans="1:12" x14ac:dyDescent="0.2">
      <c r="A411" t="s">
        <v>12</v>
      </c>
      <c r="B411" t="s">
        <v>105</v>
      </c>
      <c r="C411" t="s">
        <v>220</v>
      </c>
      <c r="D411" s="110">
        <v>238431.5</v>
      </c>
      <c r="E411" s="110">
        <v>237931.5</v>
      </c>
      <c r="F411" s="110">
        <v>236325.83</v>
      </c>
      <c r="G411" s="110">
        <v>236275.83</v>
      </c>
      <c r="I411" s="110">
        <v>76100.100000000006</v>
      </c>
      <c r="J411" s="110">
        <v>101239.94</v>
      </c>
      <c r="K411" s="110">
        <v>116335.25</v>
      </c>
      <c r="L411" s="110">
        <v>123818.84</v>
      </c>
    </row>
    <row r="412" spans="1:12" x14ac:dyDescent="0.2">
      <c r="A412" t="s">
        <v>12</v>
      </c>
      <c r="B412" t="s">
        <v>105</v>
      </c>
      <c r="C412" t="s">
        <v>221</v>
      </c>
      <c r="D412" s="110">
        <v>232921.8</v>
      </c>
      <c r="E412" s="110">
        <v>232543.8</v>
      </c>
      <c r="F412" s="110">
        <v>232343.8</v>
      </c>
      <c r="I412" s="110">
        <v>90406.9</v>
      </c>
      <c r="J412" s="110">
        <v>116630.01</v>
      </c>
      <c r="K412" s="110">
        <v>130789.84</v>
      </c>
    </row>
    <row r="413" spans="1:12" x14ac:dyDescent="0.2">
      <c r="A413" t="s">
        <v>12</v>
      </c>
      <c r="B413" t="s">
        <v>105</v>
      </c>
      <c r="C413" t="s">
        <v>222</v>
      </c>
      <c r="D413" s="110">
        <v>227709.14</v>
      </c>
      <c r="E413" s="110">
        <v>227331.8</v>
      </c>
      <c r="I413" s="110">
        <v>89948.86</v>
      </c>
      <c r="J413" s="110">
        <v>113710.72</v>
      </c>
    </row>
    <row r="414" spans="1:12" x14ac:dyDescent="0.2">
      <c r="A414" t="s">
        <v>12</v>
      </c>
      <c r="B414" t="s">
        <v>105</v>
      </c>
      <c r="C414" t="s">
        <v>223</v>
      </c>
      <c r="D414" s="110">
        <v>212411.33</v>
      </c>
      <c r="I414" s="110">
        <v>79617.8</v>
      </c>
    </row>
    <row r="415" spans="1:12" x14ac:dyDescent="0.2">
      <c r="A415" t="s">
        <v>12</v>
      </c>
      <c r="B415" t="s">
        <v>111</v>
      </c>
      <c r="C415" t="s">
        <v>220</v>
      </c>
      <c r="D415" s="110">
        <v>23459.5</v>
      </c>
      <c r="E415" s="110">
        <v>23159.5</v>
      </c>
      <c r="F415" s="110">
        <v>23159.5</v>
      </c>
      <c r="G415" s="110">
        <v>23109.5</v>
      </c>
      <c r="I415" s="110">
        <v>2299.5</v>
      </c>
      <c r="J415" s="110">
        <v>4439.5</v>
      </c>
      <c r="K415" s="110">
        <v>6178.42</v>
      </c>
      <c r="L415" s="110">
        <v>7810.03</v>
      </c>
    </row>
    <row r="416" spans="1:12" x14ac:dyDescent="0.2">
      <c r="A416" t="s">
        <v>12</v>
      </c>
      <c r="B416" t="s">
        <v>111</v>
      </c>
      <c r="C416" t="s">
        <v>221</v>
      </c>
      <c r="D416" s="110">
        <v>20926.5</v>
      </c>
      <c r="E416" s="110">
        <v>20826.5</v>
      </c>
      <c r="F416" s="110">
        <v>20776.5</v>
      </c>
      <c r="I416" s="110">
        <v>2490.38</v>
      </c>
      <c r="J416" s="110">
        <v>4821.49</v>
      </c>
      <c r="K416" s="110">
        <v>5456.49</v>
      </c>
    </row>
    <row r="417" spans="1:12" x14ac:dyDescent="0.2">
      <c r="A417" t="s">
        <v>12</v>
      </c>
      <c r="B417" t="s">
        <v>111</v>
      </c>
      <c r="C417" t="s">
        <v>222</v>
      </c>
      <c r="D417" s="110">
        <v>38302</v>
      </c>
      <c r="E417" s="110">
        <v>38052</v>
      </c>
      <c r="I417" s="110">
        <v>1690.17</v>
      </c>
      <c r="J417" s="110">
        <v>4535.33</v>
      </c>
    </row>
    <row r="418" spans="1:12" x14ac:dyDescent="0.2">
      <c r="A418" t="s">
        <v>12</v>
      </c>
      <c r="B418" t="s">
        <v>111</v>
      </c>
      <c r="C418" t="s">
        <v>223</v>
      </c>
      <c r="D418" s="110">
        <v>17421</v>
      </c>
      <c r="I418" s="110">
        <v>1993</v>
      </c>
    </row>
    <row r="419" spans="1:12" x14ac:dyDescent="0.2">
      <c r="A419" t="s">
        <v>12</v>
      </c>
      <c r="B419" t="s">
        <v>109</v>
      </c>
      <c r="C419" t="s">
        <v>220</v>
      </c>
      <c r="D419" s="110">
        <v>475497.57</v>
      </c>
      <c r="E419" s="110">
        <v>475385.57</v>
      </c>
      <c r="F419" s="110">
        <v>471777.07</v>
      </c>
      <c r="G419" s="110">
        <v>470777.07</v>
      </c>
      <c r="I419" s="110">
        <v>130964.95</v>
      </c>
      <c r="J419" s="110">
        <v>204716.25</v>
      </c>
      <c r="K419" s="110">
        <v>249142.59</v>
      </c>
      <c r="L419" s="110">
        <v>287146.38</v>
      </c>
    </row>
    <row r="420" spans="1:12" x14ac:dyDescent="0.2">
      <c r="A420" t="s">
        <v>12</v>
      </c>
      <c r="B420" t="s">
        <v>109</v>
      </c>
      <c r="C420" t="s">
        <v>221</v>
      </c>
      <c r="D420" s="110">
        <v>434957.84</v>
      </c>
      <c r="E420" s="110">
        <v>434761.84</v>
      </c>
      <c r="F420" s="110">
        <v>434711.84</v>
      </c>
      <c r="I420" s="110">
        <v>136958.45000000001</v>
      </c>
      <c r="J420" s="110">
        <v>198528.81</v>
      </c>
      <c r="K420" s="110">
        <v>231799.31</v>
      </c>
    </row>
    <row r="421" spans="1:12" x14ac:dyDescent="0.2">
      <c r="A421" t="s">
        <v>12</v>
      </c>
      <c r="B421" t="s">
        <v>109</v>
      </c>
      <c r="C421" t="s">
        <v>222</v>
      </c>
      <c r="D421" s="110">
        <v>489483.93</v>
      </c>
      <c r="E421" s="110">
        <v>489383.93</v>
      </c>
      <c r="I421" s="110">
        <v>164397.39000000001</v>
      </c>
      <c r="J421" s="110">
        <v>220606.95</v>
      </c>
    </row>
    <row r="422" spans="1:12" x14ac:dyDescent="0.2">
      <c r="A422" t="s">
        <v>12</v>
      </c>
      <c r="B422" t="s">
        <v>109</v>
      </c>
      <c r="C422" t="s">
        <v>223</v>
      </c>
      <c r="D422" s="110">
        <v>417962.11</v>
      </c>
      <c r="I422" s="110">
        <v>139687.93</v>
      </c>
    </row>
    <row r="423" spans="1:12" x14ac:dyDescent="0.2">
      <c r="A423" t="s">
        <v>12</v>
      </c>
      <c r="B423" t="s">
        <v>106</v>
      </c>
      <c r="C423" t="s">
        <v>220</v>
      </c>
      <c r="D423" s="110">
        <v>2112879.6</v>
      </c>
      <c r="E423" s="110">
        <v>2111924.6</v>
      </c>
      <c r="F423" s="110">
        <v>2107942.1</v>
      </c>
      <c r="G423" s="110">
        <v>2107942.1</v>
      </c>
      <c r="I423" s="110">
        <v>2101457.62</v>
      </c>
      <c r="J423" s="110">
        <v>2107874.16</v>
      </c>
      <c r="K423" s="110">
        <v>2104247.14</v>
      </c>
      <c r="L423" s="110">
        <v>2103348.21</v>
      </c>
    </row>
    <row r="424" spans="1:12" x14ac:dyDescent="0.2">
      <c r="A424" t="s">
        <v>12</v>
      </c>
      <c r="B424" t="s">
        <v>106</v>
      </c>
      <c r="C424" t="s">
        <v>221</v>
      </c>
      <c r="D424" s="110">
        <v>984159.22</v>
      </c>
      <c r="E424" s="110">
        <v>980524.22</v>
      </c>
      <c r="F424" s="110">
        <v>980524.22</v>
      </c>
      <c r="I424" s="110">
        <v>979458.22</v>
      </c>
      <c r="J424" s="110">
        <v>977489.3</v>
      </c>
      <c r="K424" s="110">
        <v>976595.68</v>
      </c>
    </row>
    <row r="425" spans="1:12" x14ac:dyDescent="0.2">
      <c r="A425" t="s">
        <v>12</v>
      </c>
      <c r="B425" t="s">
        <v>106</v>
      </c>
      <c r="C425" t="s">
        <v>222</v>
      </c>
      <c r="D425" s="110">
        <v>1126642.3999999999</v>
      </c>
      <c r="E425" s="110">
        <v>1126592.3999999999</v>
      </c>
      <c r="I425" s="110">
        <v>1116949.02</v>
      </c>
      <c r="J425" s="110">
        <v>1120528</v>
      </c>
    </row>
    <row r="426" spans="1:12" x14ac:dyDescent="0.2">
      <c r="A426" t="s">
        <v>12</v>
      </c>
      <c r="B426" t="s">
        <v>106</v>
      </c>
      <c r="C426" t="s">
        <v>223</v>
      </c>
      <c r="D426" s="110">
        <v>927208.95</v>
      </c>
      <c r="I426" s="110">
        <v>918402.47</v>
      </c>
    </row>
    <row r="427" spans="1:12" x14ac:dyDescent="0.2">
      <c r="A427" t="s">
        <v>12</v>
      </c>
      <c r="B427" t="s">
        <v>107</v>
      </c>
      <c r="C427" t="s">
        <v>220</v>
      </c>
      <c r="D427" s="110">
        <v>405237.96</v>
      </c>
      <c r="E427" s="110">
        <v>405237.96</v>
      </c>
      <c r="F427" s="110">
        <v>405237.96</v>
      </c>
      <c r="G427" s="110">
        <v>405237.96</v>
      </c>
      <c r="I427" s="110">
        <v>403717.96</v>
      </c>
      <c r="J427" s="110">
        <v>404222.96</v>
      </c>
      <c r="K427" s="110">
        <v>404222.96</v>
      </c>
      <c r="L427" s="110">
        <v>404222.96</v>
      </c>
    </row>
    <row r="428" spans="1:12" x14ac:dyDescent="0.2">
      <c r="A428" t="s">
        <v>12</v>
      </c>
      <c r="B428" t="s">
        <v>107</v>
      </c>
      <c r="C428" t="s">
        <v>221</v>
      </c>
      <c r="D428" s="110">
        <v>422780.65</v>
      </c>
      <c r="E428" s="110">
        <v>422780.65</v>
      </c>
      <c r="F428" s="110">
        <v>422780.65</v>
      </c>
      <c r="I428" s="110">
        <v>421164.65</v>
      </c>
      <c r="J428" s="110">
        <v>421964.65</v>
      </c>
      <c r="K428" s="110">
        <v>421964.65</v>
      </c>
    </row>
    <row r="429" spans="1:12" x14ac:dyDescent="0.2">
      <c r="A429" t="s">
        <v>12</v>
      </c>
      <c r="B429" t="s">
        <v>107</v>
      </c>
      <c r="C429" t="s">
        <v>222</v>
      </c>
      <c r="D429" s="110">
        <v>379109.81</v>
      </c>
      <c r="E429" s="110">
        <v>379109.81</v>
      </c>
      <c r="I429" s="110">
        <v>377757.81</v>
      </c>
      <c r="J429" s="110">
        <v>378987.81</v>
      </c>
    </row>
    <row r="430" spans="1:12" x14ac:dyDescent="0.2">
      <c r="A430" t="s">
        <v>12</v>
      </c>
      <c r="B430" t="s">
        <v>107</v>
      </c>
      <c r="C430" t="s">
        <v>223</v>
      </c>
      <c r="D430" s="110">
        <v>439106.61</v>
      </c>
      <c r="I430" s="110">
        <v>437903.61</v>
      </c>
    </row>
    <row r="431" spans="1:12" x14ac:dyDescent="0.2">
      <c r="A431" t="s">
        <v>12</v>
      </c>
      <c r="B431" t="s">
        <v>108</v>
      </c>
      <c r="C431" t="s">
        <v>220</v>
      </c>
      <c r="D431" s="110">
        <v>158432</v>
      </c>
      <c r="E431" s="110">
        <v>158432</v>
      </c>
      <c r="F431" s="110">
        <v>158432</v>
      </c>
      <c r="G431" s="110">
        <v>158432</v>
      </c>
      <c r="I431" s="110">
        <v>157209.5</v>
      </c>
      <c r="J431" s="110">
        <v>157294.5</v>
      </c>
      <c r="K431" s="110">
        <v>157359.5</v>
      </c>
      <c r="L431" s="110">
        <v>157359.5</v>
      </c>
    </row>
    <row r="432" spans="1:12" x14ac:dyDescent="0.2">
      <c r="A432" t="s">
        <v>12</v>
      </c>
      <c r="B432" t="s">
        <v>108</v>
      </c>
      <c r="C432" t="s">
        <v>221</v>
      </c>
      <c r="D432" s="110">
        <v>195443.12</v>
      </c>
      <c r="E432" s="110">
        <v>195402.12</v>
      </c>
      <c r="F432" s="110">
        <v>195402.12</v>
      </c>
      <c r="I432" s="110">
        <v>195314.12</v>
      </c>
      <c r="J432" s="110">
        <v>195394.62</v>
      </c>
      <c r="K432" s="110">
        <v>195393.12</v>
      </c>
    </row>
    <row r="433" spans="1:12" x14ac:dyDescent="0.2">
      <c r="A433" t="s">
        <v>12</v>
      </c>
      <c r="B433" t="s">
        <v>108</v>
      </c>
      <c r="C433" t="s">
        <v>222</v>
      </c>
      <c r="D433" s="110">
        <v>170225.5</v>
      </c>
      <c r="E433" s="110">
        <v>170225.5</v>
      </c>
      <c r="I433" s="110">
        <v>170019</v>
      </c>
      <c r="J433" s="110">
        <v>170020.5</v>
      </c>
    </row>
    <row r="434" spans="1:12" x14ac:dyDescent="0.2">
      <c r="A434" t="s">
        <v>12</v>
      </c>
      <c r="B434" t="s">
        <v>108</v>
      </c>
      <c r="C434" t="s">
        <v>223</v>
      </c>
      <c r="D434" s="110">
        <v>175422</v>
      </c>
      <c r="I434" s="110">
        <v>174800.5</v>
      </c>
    </row>
    <row r="435" spans="1:12" x14ac:dyDescent="0.2">
      <c r="A435" t="s">
        <v>12</v>
      </c>
      <c r="B435" t="s">
        <v>70</v>
      </c>
      <c r="C435" t="s">
        <v>220</v>
      </c>
      <c r="D435" s="110">
        <v>148341.04</v>
      </c>
      <c r="E435" s="110">
        <v>148291.04</v>
      </c>
      <c r="F435" s="110">
        <v>148291.04</v>
      </c>
      <c r="G435" s="110">
        <v>148291.04</v>
      </c>
      <c r="I435" s="110">
        <v>144633.54</v>
      </c>
      <c r="J435" s="110">
        <v>146224.54</v>
      </c>
      <c r="K435" s="110">
        <v>146682.54</v>
      </c>
      <c r="L435" s="110">
        <v>146732.54</v>
      </c>
    </row>
    <row r="436" spans="1:12" x14ac:dyDescent="0.2">
      <c r="A436" t="s">
        <v>12</v>
      </c>
      <c r="B436" t="s">
        <v>70</v>
      </c>
      <c r="C436" t="s">
        <v>221</v>
      </c>
      <c r="D436" s="110">
        <v>175784.58</v>
      </c>
      <c r="E436" s="110">
        <v>175784.58</v>
      </c>
      <c r="F436" s="110">
        <v>175784.58</v>
      </c>
      <c r="I436" s="110">
        <v>171188.47</v>
      </c>
      <c r="J436" s="110">
        <v>171949.85</v>
      </c>
      <c r="K436" s="110">
        <v>171999.85</v>
      </c>
    </row>
    <row r="437" spans="1:12" x14ac:dyDescent="0.2">
      <c r="A437" t="s">
        <v>12</v>
      </c>
      <c r="B437" t="s">
        <v>70</v>
      </c>
      <c r="C437" t="s">
        <v>222</v>
      </c>
      <c r="D437" s="110">
        <v>194618</v>
      </c>
      <c r="E437" s="110">
        <v>194618</v>
      </c>
      <c r="I437" s="110">
        <v>191274.5</v>
      </c>
      <c r="J437" s="110">
        <v>192521.5</v>
      </c>
    </row>
    <row r="438" spans="1:12" x14ac:dyDescent="0.2">
      <c r="A438" t="s">
        <v>12</v>
      </c>
      <c r="B438" t="s">
        <v>70</v>
      </c>
      <c r="C438" t="s">
        <v>223</v>
      </c>
      <c r="D438" s="110">
        <v>180912.75</v>
      </c>
      <c r="I438" s="110">
        <v>172495.5</v>
      </c>
    </row>
    <row r="439" spans="1:12" x14ac:dyDescent="0.2">
      <c r="A439" t="s">
        <v>12</v>
      </c>
      <c r="B439" t="s">
        <v>110</v>
      </c>
      <c r="C439" t="s">
        <v>220</v>
      </c>
      <c r="D439" s="110">
        <v>1449839.75</v>
      </c>
      <c r="E439" s="110">
        <v>1448313.25</v>
      </c>
      <c r="F439" s="110">
        <v>1448358.25</v>
      </c>
      <c r="G439" s="110">
        <v>1448358.25</v>
      </c>
      <c r="I439" s="110">
        <v>834598.63</v>
      </c>
      <c r="J439" s="110">
        <v>1260651.24</v>
      </c>
      <c r="K439" s="110">
        <v>1314398.52</v>
      </c>
      <c r="L439" s="110">
        <v>1340354.8400000001</v>
      </c>
    </row>
    <row r="440" spans="1:12" x14ac:dyDescent="0.2">
      <c r="A440" t="s">
        <v>12</v>
      </c>
      <c r="B440" t="s">
        <v>110</v>
      </c>
      <c r="C440" t="s">
        <v>221</v>
      </c>
      <c r="D440" s="110">
        <v>1524846.69</v>
      </c>
      <c r="E440" s="110">
        <v>1524300.44</v>
      </c>
      <c r="F440" s="110">
        <v>1524279.29</v>
      </c>
      <c r="I440" s="110">
        <v>942357.93</v>
      </c>
      <c r="J440" s="110">
        <v>1352288.01</v>
      </c>
      <c r="K440" s="110">
        <v>1402768.6</v>
      </c>
    </row>
    <row r="441" spans="1:12" x14ac:dyDescent="0.2">
      <c r="A441" t="s">
        <v>12</v>
      </c>
      <c r="B441" t="s">
        <v>110</v>
      </c>
      <c r="C441" t="s">
        <v>222</v>
      </c>
      <c r="D441" s="110">
        <v>1863116.03</v>
      </c>
      <c r="E441" s="110">
        <v>1863369.03</v>
      </c>
      <c r="I441" s="110">
        <v>1133797.8999999999</v>
      </c>
      <c r="J441" s="110">
        <v>1634304.73</v>
      </c>
    </row>
    <row r="442" spans="1:12" x14ac:dyDescent="0.2">
      <c r="A442" t="s">
        <v>12</v>
      </c>
      <c r="B442" t="s">
        <v>110</v>
      </c>
      <c r="C442" t="s">
        <v>223</v>
      </c>
      <c r="D442" s="110">
        <v>1823473.35</v>
      </c>
      <c r="I442" s="110">
        <v>989372.8</v>
      </c>
    </row>
    <row r="443" spans="1:12" x14ac:dyDescent="0.2">
      <c r="A443" t="s">
        <v>13</v>
      </c>
      <c r="B443" t="s">
        <v>104</v>
      </c>
      <c r="C443" t="s">
        <v>220</v>
      </c>
      <c r="D443" s="110">
        <v>444233.5</v>
      </c>
      <c r="E443" s="110">
        <v>444233.5</v>
      </c>
      <c r="F443" s="110">
        <v>444233.5</v>
      </c>
      <c r="G443" s="110">
        <v>444233.5</v>
      </c>
      <c r="I443" s="110">
        <v>2184.56</v>
      </c>
      <c r="J443" s="110">
        <v>7838.64</v>
      </c>
      <c r="K443" s="110">
        <v>12924.33</v>
      </c>
      <c r="L443" s="110">
        <v>16140.95</v>
      </c>
    </row>
    <row r="444" spans="1:12" x14ac:dyDescent="0.2">
      <c r="A444" t="s">
        <v>13</v>
      </c>
      <c r="B444" t="s">
        <v>104</v>
      </c>
      <c r="C444" t="s">
        <v>221</v>
      </c>
      <c r="D444" s="110">
        <v>660181.24</v>
      </c>
      <c r="E444" s="110">
        <v>660231.24</v>
      </c>
      <c r="F444" s="110">
        <v>660381.24</v>
      </c>
      <c r="I444" s="110">
        <v>7710.02</v>
      </c>
      <c r="J444" s="110">
        <v>16144.8</v>
      </c>
      <c r="K444" s="110">
        <v>23090.59</v>
      </c>
    </row>
    <row r="445" spans="1:12" x14ac:dyDescent="0.2">
      <c r="A445" t="s">
        <v>13</v>
      </c>
      <c r="B445" t="s">
        <v>104</v>
      </c>
      <c r="C445" t="s">
        <v>222</v>
      </c>
      <c r="D445" s="110">
        <v>294345</v>
      </c>
      <c r="E445" s="110">
        <v>300056.5</v>
      </c>
      <c r="I445" s="110">
        <v>7048.03</v>
      </c>
      <c r="J445" s="110">
        <v>14507.38</v>
      </c>
    </row>
    <row r="446" spans="1:12" x14ac:dyDescent="0.2">
      <c r="A446" t="s">
        <v>13</v>
      </c>
      <c r="B446" t="s">
        <v>104</v>
      </c>
      <c r="C446" t="s">
        <v>223</v>
      </c>
      <c r="D446" s="110">
        <v>489477.19</v>
      </c>
      <c r="I446" s="110">
        <v>5325.64</v>
      </c>
    </row>
    <row r="447" spans="1:12" x14ac:dyDescent="0.2">
      <c r="A447" t="s">
        <v>13</v>
      </c>
      <c r="B447" t="s">
        <v>140</v>
      </c>
      <c r="C447" t="s">
        <v>220</v>
      </c>
      <c r="D447" s="110">
        <v>319422</v>
      </c>
      <c r="E447" s="110">
        <v>319422</v>
      </c>
      <c r="F447" s="110">
        <v>319422</v>
      </c>
      <c r="G447" s="110">
        <v>319422</v>
      </c>
      <c r="I447" s="110">
        <v>0</v>
      </c>
      <c r="J447" s="110">
        <v>0</v>
      </c>
      <c r="K447" s="110">
        <v>0</v>
      </c>
      <c r="L447" s="110">
        <v>0</v>
      </c>
    </row>
    <row r="448" spans="1:12" x14ac:dyDescent="0.2">
      <c r="A448" t="s">
        <v>13</v>
      </c>
      <c r="B448" t="s">
        <v>140</v>
      </c>
      <c r="C448" t="s">
        <v>221</v>
      </c>
      <c r="D448" s="110">
        <v>106686</v>
      </c>
      <c r="E448" s="110">
        <v>106686</v>
      </c>
      <c r="F448" s="110">
        <v>106686</v>
      </c>
      <c r="I448" s="110">
        <v>0</v>
      </c>
      <c r="J448" s="110">
        <v>0</v>
      </c>
      <c r="K448" s="110">
        <v>0</v>
      </c>
    </row>
    <row r="449" spans="1:12" x14ac:dyDescent="0.2">
      <c r="A449" t="s">
        <v>13</v>
      </c>
      <c r="B449" t="s">
        <v>140</v>
      </c>
      <c r="C449" t="s">
        <v>222</v>
      </c>
      <c r="D449" s="110">
        <v>117972</v>
      </c>
      <c r="E449" s="110">
        <v>117972</v>
      </c>
      <c r="I449" s="110">
        <v>0</v>
      </c>
      <c r="J449" s="110">
        <v>0</v>
      </c>
    </row>
    <row r="450" spans="1:12" x14ac:dyDescent="0.2">
      <c r="A450" t="s">
        <v>13</v>
      </c>
      <c r="B450" t="s">
        <v>140</v>
      </c>
      <c r="C450" t="s">
        <v>223</v>
      </c>
      <c r="D450" s="110">
        <v>318858</v>
      </c>
      <c r="I450" s="110">
        <v>0</v>
      </c>
    </row>
    <row r="451" spans="1:12" x14ac:dyDescent="0.2">
      <c r="A451" t="s">
        <v>13</v>
      </c>
      <c r="B451" t="s">
        <v>105</v>
      </c>
      <c r="C451" t="s">
        <v>220</v>
      </c>
      <c r="D451" s="110">
        <v>57917.25</v>
      </c>
      <c r="E451" s="110">
        <v>57900.25</v>
      </c>
      <c r="F451" s="110">
        <v>57850.25</v>
      </c>
      <c r="G451" s="110">
        <v>56900.25</v>
      </c>
      <c r="I451" s="110">
        <v>8113</v>
      </c>
      <c r="J451" s="110">
        <v>11209</v>
      </c>
      <c r="K451" s="110">
        <v>17836.5</v>
      </c>
      <c r="L451" s="110">
        <v>21326</v>
      </c>
    </row>
    <row r="452" spans="1:12" x14ac:dyDescent="0.2">
      <c r="A452" t="s">
        <v>13</v>
      </c>
      <c r="B452" t="s">
        <v>105</v>
      </c>
      <c r="C452" t="s">
        <v>221</v>
      </c>
      <c r="D452" s="110">
        <v>68507</v>
      </c>
      <c r="E452" s="110">
        <v>68507</v>
      </c>
      <c r="F452" s="110">
        <v>68507</v>
      </c>
      <c r="I452" s="110">
        <v>6062</v>
      </c>
      <c r="J452" s="110">
        <v>10528.3</v>
      </c>
      <c r="K452" s="110">
        <v>20414.8</v>
      </c>
    </row>
    <row r="453" spans="1:12" x14ac:dyDescent="0.2">
      <c r="A453" t="s">
        <v>13</v>
      </c>
      <c r="B453" t="s">
        <v>105</v>
      </c>
      <c r="C453" t="s">
        <v>222</v>
      </c>
      <c r="D453" s="110">
        <v>75817.3</v>
      </c>
      <c r="E453" s="110">
        <v>75817.3</v>
      </c>
      <c r="I453" s="110">
        <v>11545.8</v>
      </c>
      <c r="J453" s="110">
        <v>16358.3</v>
      </c>
    </row>
    <row r="454" spans="1:12" x14ac:dyDescent="0.2">
      <c r="A454" t="s">
        <v>13</v>
      </c>
      <c r="B454" t="s">
        <v>105</v>
      </c>
      <c r="C454" t="s">
        <v>223</v>
      </c>
      <c r="D454" s="110">
        <v>90865</v>
      </c>
      <c r="I454" s="110">
        <v>17614</v>
      </c>
    </row>
    <row r="455" spans="1:12" x14ac:dyDescent="0.2">
      <c r="A455" t="s">
        <v>13</v>
      </c>
      <c r="B455" t="s">
        <v>111</v>
      </c>
      <c r="C455" t="s">
        <v>220</v>
      </c>
      <c r="D455" s="110">
        <v>200</v>
      </c>
      <c r="E455" s="110">
        <v>200</v>
      </c>
      <c r="F455" s="110">
        <v>200</v>
      </c>
      <c r="G455" s="110">
        <v>200</v>
      </c>
      <c r="I455" s="110">
        <v>200</v>
      </c>
      <c r="J455" s="110">
        <v>200</v>
      </c>
      <c r="K455" s="110">
        <v>200</v>
      </c>
      <c r="L455" s="110">
        <v>200</v>
      </c>
    </row>
    <row r="456" spans="1:12" x14ac:dyDescent="0.2">
      <c r="A456" t="s">
        <v>13</v>
      </c>
      <c r="B456" t="s">
        <v>111</v>
      </c>
      <c r="C456" t="s">
        <v>221</v>
      </c>
      <c r="D456" s="110">
        <v>0</v>
      </c>
      <c r="E456" s="110">
        <v>0</v>
      </c>
      <c r="F456" s="110">
        <v>0</v>
      </c>
      <c r="I456" s="110">
        <v>0</v>
      </c>
      <c r="J456" s="110">
        <v>0</v>
      </c>
      <c r="K456" s="110">
        <v>0</v>
      </c>
    </row>
    <row r="457" spans="1:12" x14ac:dyDescent="0.2">
      <c r="A457" t="s">
        <v>13</v>
      </c>
      <c r="B457" t="s">
        <v>111</v>
      </c>
      <c r="C457" t="s">
        <v>222</v>
      </c>
      <c r="D457" s="110">
        <v>60</v>
      </c>
      <c r="E457" s="110">
        <v>60</v>
      </c>
      <c r="I457" s="110">
        <v>60</v>
      </c>
      <c r="J457" s="110">
        <v>60</v>
      </c>
    </row>
    <row r="458" spans="1:12" x14ac:dyDescent="0.2">
      <c r="A458" t="s">
        <v>13</v>
      </c>
      <c r="B458" t="s">
        <v>111</v>
      </c>
      <c r="C458" t="s">
        <v>223</v>
      </c>
      <c r="D458" s="110">
        <v>60</v>
      </c>
      <c r="I458" s="110">
        <v>60</v>
      </c>
    </row>
    <row r="459" spans="1:12" x14ac:dyDescent="0.2">
      <c r="A459" s="56" t="s">
        <v>13</v>
      </c>
      <c r="B459" t="s">
        <v>109</v>
      </c>
      <c r="C459" t="s">
        <v>220</v>
      </c>
      <c r="D459" s="110">
        <v>102681.75</v>
      </c>
      <c r="E459" s="110">
        <v>102192.75</v>
      </c>
      <c r="F459" s="110">
        <v>102167.75</v>
      </c>
      <c r="G459" s="110">
        <v>98210.75</v>
      </c>
      <c r="I459" s="110">
        <v>21357</v>
      </c>
      <c r="J459" s="110">
        <v>32131.5</v>
      </c>
      <c r="K459" s="110">
        <v>44481</v>
      </c>
      <c r="L459" s="110">
        <v>61739.6</v>
      </c>
    </row>
    <row r="460" spans="1:12" x14ac:dyDescent="0.2">
      <c r="A460" s="56" t="s">
        <v>13</v>
      </c>
      <c r="B460" t="s">
        <v>109</v>
      </c>
      <c r="C460" t="s">
        <v>221</v>
      </c>
      <c r="D460" s="110">
        <v>134762.25</v>
      </c>
      <c r="E460" s="110">
        <v>132928.25</v>
      </c>
      <c r="F460" s="110">
        <v>132795.25</v>
      </c>
      <c r="I460" s="110">
        <v>26197.5</v>
      </c>
      <c r="J460" s="110">
        <v>43797.66</v>
      </c>
      <c r="K460" s="110">
        <v>59724.91</v>
      </c>
    </row>
    <row r="461" spans="1:12" x14ac:dyDescent="0.2">
      <c r="A461" s="56" t="s">
        <v>13</v>
      </c>
      <c r="B461" t="s">
        <v>109</v>
      </c>
      <c r="C461" t="s">
        <v>222</v>
      </c>
      <c r="D461" s="110">
        <v>113457</v>
      </c>
      <c r="E461" s="110">
        <v>112972.2</v>
      </c>
      <c r="I461" s="110">
        <v>25014.05</v>
      </c>
      <c r="J461" s="110">
        <v>43629.25</v>
      </c>
    </row>
    <row r="462" spans="1:12" x14ac:dyDescent="0.2">
      <c r="A462" s="56" t="s">
        <v>13</v>
      </c>
      <c r="B462" t="s">
        <v>109</v>
      </c>
      <c r="C462" t="s">
        <v>223</v>
      </c>
      <c r="D462" s="110">
        <v>155648.5</v>
      </c>
      <c r="I462" s="110">
        <v>30915</v>
      </c>
    </row>
    <row r="463" spans="1:12" x14ac:dyDescent="0.2">
      <c r="A463" s="56" t="s">
        <v>13</v>
      </c>
      <c r="B463" t="s">
        <v>106</v>
      </c>
      <c r="C463" t="s">
        <v>220</v>
      </c>
      <c r="D463" s="110">
        <v>68183.520000000004</v>
      </c>
      <c r="E463" s="110">
        <v>68179.520000000004</v>
      </c>
      <c r="F463" s="110">
        <v>68179.520000000004</v>
      </c>
      <c r="G463" s="110">
        <v>68179.520000000004</v>
      </c>
      <c r="I463" s="110">
        <v>66224.52</v>
      </c>
      <c r="J463" s="110">
        <v>68169.52</v>
      </c>
      <c r="K463" s="110">
        <v>68169.52</v>
      </c>
      <c r="L463" s="110">
        <v>68169.52</v>
      </c>
    </row>
    <row r="464" spans="1:12" x14ac:dyDescent="0.2">
      <c r="A464" s="56" t="s">
        <v>13</v>
      </c>
      <c r="B464" t="s">
        <v>106</v>
      </c>
      <c r="C464" t="s">
        <v>221</v>
      </c>
      <c r="D464" s="110">
        <v>75081.5</v>
      </c>
      <c r="E464" s="110">
        <v>74381.5</v>
      </c>
      <c r="F464" s="110">
        <v>74681.5</v>
      </c>
      <c r="I464" s="110">
        <v>71501.5</v>
      </c>
      <c r="J464" s="110">
        <v>74281.5</v>
      </c>
      <c r="K464" s="110">
        <v>74281.5</v>
      </c>
    </row>
    <row r="465" spans="1:12" x14ac:dyDescent="0.2">
      <c r="A465" s="56" t="s">
        <v>13</v>
      </c>
      <c r="B465" t="s">
        <v>106</v>
      </c>
      <c r="C465" t="s">
        <v>222</v>
      </c>
      <c r="D465" s="110">
        <v>76245.39</v>
      </c>
      <c r="E465" s="110">
        <v>76245.39</v>
      </c>
      <c r="I465" s="110">
        <v>75845.39</v>
      </c>
      <c r="J465" s="110">
        <v>76245.39</v>
      </c>
    </row>
    <row r="466" spans="1:12" x14ac:dyDescent="0.2">
      <c r="A466" s="56" t="s">
        <v>13</v>
      </c>
      <c r="B466" t="s">
        <v>106</v>
      </c>
      <c r="C466" t="s">
        <v>223</v>
      </c>
      <c r="D466" s="110">
        <v>57805.5</v>
      </c>
      <c r="I466" s="110">
        <v>55323.5</v>
      </c>
    </row>
    <row r="467" spans="1:12" x14ac:dyDescent="0.2">
      <c r="A467" s="56" t="s">
        <v>13</v>
      </c>
      <c r="B467" t="s">
        <v>107</v>
      </c>
      <c r="C467" t="s">
        <v>220</v>
      </c>
      <c r="D467" s="110">
        <v>95849</v>
      </c>
      <c r="E467" s="110">
        <v>95664</v>
      </c>
      <c r="F467" s="110">
        <v>95664</v>
      </c>
      <c r="G467" s="110">
        <v>95664</v>
      </c>
      <c r="I467" s="110">
        <v>95031</v>
      </c>
      <c r="J467" s="110">
        <v>95606</v>
      </c>
      <c r="K467" s="110">
        <v>95606</v>
      </c>
      <c r="L467" s="110">
        <v>95606</v>
      </c>
    </row>
    <row r="468" spans="1:12" x14ac:dyDescent="0.2">
      <c r="A468" s="56" t="s">
        <v>13</v>
      </c>
      <c r="B468" t="s">
        <v>107</v>
      </c>
      <c r="C468" t="s">
        <v>221</v>
      </c>
      <c r="D468" s="110">
        <v>119987.6</v>
      </c>
      <c r="E468" s="110">
        <v>119987.6</v>
      </c>
      <c r="F468" s="110">
        <v>119987.6</v>
      </c>
      <c r="I468" s="110">
        <v>116522.6</v>
      </c>
      <c r="J468" s="110">
        <v>119802.6</v>
      </c>
      <c r="K468" s="110">
        <v>119802.6</v>
      </c>
    </row>
    <row r="469" spans="1:12" x14ac:dyDescent="0.2">
      <c r="A469" s="56" t="s">
        <v>13</v>
      </c>
      <c r="B469" t="s">
        <v>107</v>
      </c>
      <c r="C469" t="s">
        <v>222</v>
      </c>
      <c r="D469" s="110">
        <v>95066.05</v>
      </c>
      <c r="E469" s="110">
        <v>95066.05</v>
      </c>
      <c r="I469" s="110">
        <v>94088.05</v>
      </c>
      <c r="J469" s="110">
        <v>94668.05</v>
      </c>
    </row>
    <row r="470" spans="1:12" x14ac:dyDescent="0.2">
      <c r="A470" s="56" t="s">
        <v>13</v>
      </c>
      <c r="B470" t="s">
        <v>107</v>
      </c>
      <c r="C470" t="s">
        <v>223</v>
      </c>
      <c r="D470" s="110">
        <v>105441.76</v>
      </c>
      <c r="I470" s="110">
        <v>102541.75999999999</v>
      </c>
    </row>
    <row r="471" spans="1:12" x14ac:dyDescent="0.2">
      <c r="A471" s="56" t="s">
        <v>13</v>
      </c>
      <c r="B471" t="s">
        <v>108</v>
      </c>
      <c r="C471" t="s">
        <v>220</v>
      </c>
      <c r="D471" s="110">
        <v>17134</v>
      </c>
      <c r="E471" s="110">
        <v>17134</v>
      </c>
      <c r="F471" s="110">
        <v>17134</v>
      </c>
      <c r="G471" s="110">
        <v>17134</v>
      </c>
      <c r="I471" s="110">
        <v>16680</v>
      </c>
      <c r="J471" s="110">
        <v>17130</v>
      </c>
      <c r="K471" s="110">
        <v>17130</v>
      </c>
      <c r="L471" s="110">
        <v>17130</v>
      </c>
    </row>
    <row r="472" spans="1:12" x14ac:dyDescent="0.2">
      <c r="A472" s="56" t="s">
        <v>13</v>
      </c>
      <c r="B472" t="s">
        <v>108</v>
      </c>
      <c r="C472" t="s">
        <v>221</v>
      </c>
      <c r="D472" s="110">
        <v>22363</v>
      </c>
      <c r="E472" s="110">
        <v>22363</v>
      </c>
      <c r="F472" s="110">
        <v>22363</v>
      </c>
      <c r="I472" s="110">
        <v>21387</v>
      </c>
      <c r="J472" s="110">
        <v>21732</v>
      </c>
      <c r="K472" s="110">
        <v>21732</v>
      </c>
    </row>
    <row r="473" spans="1:12" x14ac:dyDescent="0.2">
      <c r="A473" s="56" t="s">
        <v>13</v>
      </c>
      <c r="B473" t="s">
        <v>108</v>
      </c>
      <c r="C473" t="s">
        <v>222</v>
      </c>
      <c r="D473" s="110">
        <v>24110.5</v>
      </c>
      <c r="E473" s="110">
        <v>24110.5</v>
      </c>
      <c r="I473" s="110">
        <v>24025.5</v>
      </c>
      <c r="J473" s="110">
        <v>24110.5</v>
      </c>
    </row>
    <row r="474" spans="1:12" x14ac:dyDescent="0.2">
      <c r="A474" s="56" t="s">
        <v>13</v>
      </c>
      <c r="B474" t="s">
        <v>108</v>
      </c>
      <c r="C474" t="s">
        <v>223</v>
      </c>
      <c r="D474" s="110">
        <v>19078.28</v>
      </c>
      <c r="I474" s="110">
        <v>19078.28</v>
      </c>
    </row>
    <row r="475" spans="1:12" x14ac:dyDescent="0.2">
      <c r="A475" s="56" t="s">
        <v>13</v>
      </c>
      <c r="B475" t="s">
        <v>70</v>
      </c>
      <c r="C475" t="s">
        <v>220</v>
      </c>
      <c r="D475" s="110">
        <v>43585</v>
      </c>
      <c r="E475" s="110">
        <v>43285</v>
      </c>
      <c r="F475" s="110">
        <v>42877</v>
      </c>
      <c r="G475" s="110">
        <v>42877</v>
      </c>
      <c r="I475" s="110">
        <v>41931</v>
      </c>
      <c r="J475" s="110">
        <v>41931</v>
      </c>
      <c r="K475" s="110">
        <v>41931</v>
      </c>
      <c r="L475" s="110">
        <v>41931</v>
      </c>
    </row>
    <row r="476" spans="1:12" x14ac:dyDescent="0.2">
      <c r="A476" s="56" t="s">
        <v>13</v>
      </c>
      <c r="B476" t="s">
        <v>70</v>
      </c>
      <c r="C476" t="s">
        <v>221</v>
      </c>
      <c r="D476" s="110">
        <v>46630</v>
      </c>
      <c r="E476" s="110">
        <v>46630</v>
      </c>
      <c r="F476" s="110">
        <v>46750</v>
      </c>
      <c r="I476" s="110">
        <v>46460</v>
      </c>
      <c r="J476" s="110">
        <v>46510</v>
      </c>
      <c r="K476" s="110">
        <v>46630</v>
      </c>
    </row>
    <row r="477" spans="1:12" x14ac:dyDescent="0.2">
      <c r="A477" s="56" t="s">
        <v>13</v>
      </c>
      <c r="B477" t="s">
        <v>70</v>
      </c>
      <c r="C477" t="s">
        <v>222</v>
      </c>
      <c r="D477" s="110">
        <v>33826</v>
      </c>
      <c r="E477" s="110">
        <v>33418</v>
      </c>
      <c r="I477" s="110">
        <v>31764</v>
      </c>
      <c r="J477" s="110">
        <v>31764</v>
      </c>
    </row>
    <row r="478" spans="1:12" x14ac:dyDescent="0.2">
      <c r="A478" s="56" t="s">
        <v>13</v>
      </c>
      <c r="B478" t="s">
        <v>70</v>
      </c>
      <c r="C478" t="s">
        <v>223</v>
      </c>
      <c r="D478" s="110">
        <v>50359</v>
      </c>
      <c r="I478" s="110">
        <v>40949</v>
      </c>
    </row>
    <row r="479" spans="1:12" x14ac:dyDescent="0.2">
      <c r="A479" s="56" t="s">
        <v>13</v>
      </c>
      <c r="B479" t="s">
        <v>110</v>
      </c>
      <c r="C479" t="s">
        <v>220</v>
      </c>
      <c r="D479" s="110">
        <v>230943</v>
      </c>
      <c r="E479" s="110">
        <v>215999.85</v>
      </c>
      <c r="F479" s="110">
        <v>214532.85</v>
      </c>
      <c r="G479" s="110">
        <v>213865.25</v>
      </c>
      <c r="I479" s="110">
        <v>90677</v>
      </c>
      <c r="J479" s="110">
        <v>165037.84</v>
      </c>
      <c r="K479" s="110">
        <v>179803.84</v>
      </c>
      <c r="L479" s="110">
        <v>184080.55</v>
      </c>
    </row>
    <row r="480" spans="1:12" x14ac:dyDescent="0.2">
      <c r="A480" s="56" t="s">
        <v>13</v>
      </c>
      <c r="B480" t="s">
        <v>110</v>
      </c>
      <c r="C480" t="s">
        <v>221</v>
      </c>
      <c r="D480" s="110">
        <v>332743.40000000002</v>
      </c>
      <c r="E480" s="110">
        <v>313516.84999999998</v>
      </c>
      <c r="F480" s="110">
        <v>311020.84999999998</v>
      </c>
      <c r="I480" s="110">
        <v>132414.39999999999</v>
      </c>
      <c r="J480" s="110">
        <v>241108.4</v>
      </c>
      <c r="K480" s="110">
        <v>261307.15</v>
      </c>
    </row>
    <row r="481" spans="1:12" x14ac:dyDescent="0.2">
      <c r="A481" s="56" t="s">
        <v>13</v>
      </c>
      <c r="B481" t="s">
        <v>110</v>
      </c>
      <c r="C481" t="s">
        <v>222</v>
      </c>
      <c r="D481" s="110">
        <v>356385.2</v>
      </c>
      <c r="E481" s="110">
        <v>342008.3</v>
      </c>
      <c r="I481" s="110">
        <v>150691.20000000001</v>
      </c>
      <c r="J481" s="110">
        <v>258791.6</v>
      </c>
    </row>
    <row r="482" spans="1:12" x14ac:dyDescent="0.2">
      <c r="A482" s="56" t="s">
        <v>13</v>
      </c>
      <c r="B482" t="s">
        <v>110</v>
      </c>
      <c r="C482" t="s">
        <v>223</v>
      </c>
      <c r="D482" s="110">
        <v>361603.55</v>
      </c>
      <c r="I482" s="110">
        <v>129942.9</v>
      </c>
    </row>
    <row r="483" spans="1:12" x14ac:dyDescent="0.2">
      <c r="A483" s="56" t="s">
        <v>218</v>
      </c>
      <c r="B483" t="s">
        <v>104</v>
      </c>
      <c r="C483" t="s">
        <v>220</v>
      </c>
      <c r="D483" s="110">
        <v>161891.99</v>
      </c>
      <c r="E483" s="110">
        <v>161091.99</v>
      </c>
      <c r="F483" s="110">
        <v>161091.99</v>
      </c>
      <c r="G483" s="110">
        <v>161091.99</v>
      </c>
      <c r="I483" s="110">
        <v>2752.75</v>
      </c>
      <c r="J483" s="110">
        <v>7776.36</v>
      </c>
      <c r="K483" s="110">
        <v>12373.58</v>
      </c>
      <c r="L483" s="110">
        <v>14419.86</v>
      </c>
    </row>
    <row r="484" spans="1:12" x14ac:dyDescent="0.2">
      <c r="A484" s="56" t="s">
        <v>218</v>
      </c>
      <c r="B484" t="s">
        <v>104</v>
      </c>
      <c r="C484" t="s">
        <v>221</v>
      </c>
      <c r="D484" s="110">
        <v>134973.26</v>
      </c>
      <c r="E484" s="110">
        <v>135023.26</v>
      </c>
      <c r="F484" s="110">
        <v>135023.26</v>
      </c>
      <c r="I484" s="110">
        <v>7072.44</v>
      </c>
      <c r="J484" s="110">
        <v>11932.66</v>
      </c>
      <c r="K484" s="110">
        <v>15768.38</v>
      </c>
    </row>
    <row r="485" spans="1:12" x14ac:dyDescent="0.2">
      <c r="A485" s="56" t="s">
        <v>218</v>
      </c>
      <c r="B485" t="s">
        <v>104</v>
      </c>
      <c r="C485" t="s">
        <v>222</v>
      </c>
      <c r="D485" s="110">
        <v>320363.28000000003</v>
      </c>
      <c r="E485" s="110">
        <v>320663.28000000003</v>
      </c>
      <c r="I485" s="110">
        <v>38611.449999999997</v>
      </c>
      <c r="J485" s="110">
        <v>42734.73</v>
      </c>
    </row>
    <row r="486" spans="1:12" x14ac:dyDescent="0.2">
      <c r="A486" s="56" t="s">
        <v>218</v>
      </c>
      <c r="B486" t="s">
        <v>104</v>
      </c>
      <c r="C486" t="s">
        <v>223</v>
      </c>
      <c r="D486" s="110">
        <v>116921.06</v>
      </c>
      <c r="I486" s="110">
        <v>3678.22</v>
      </c>
    </row>
    <row r="487" spans="1:12" x14ac:dyDescent="0.2">
      <c r="A487" s="56" t="s">
        <v>218</v>
      </c>
      <c r="B487" t="s">
        <v>140</v>
      </c>
      <c r="C487" t="s">
        <v>220</v>
      </c>
      <c r="D487" s="110">
        <v>51025</v>
      </c>
      <c r="E487" s="110">
        <v>51025</v>
      </c>
      <c r="F487" s="110">
        <v>51025</v>
      </c>
      <c r="G487" s="110">
        <v>51025</v>
      </c>
      <c r="I487" s="110">
        <v>25</v>
      </c>
      <c r="J487" s="110">
        <v>25</v>
      </c>
      <c r="K487" s="110">
        <v>25</v>
      </c>
      <c r="L487" s="110">
        <v>25</v>
      </c>
    </row>
    <row r="488" spans="1:12" x14ac:dyDescent="0.2">
      <c r="A488" s="56" t="s">
        <v>218</v>
      </c>
      <c r="B488" t="s">
        <v>140</v>
      </c>
      <c r="C488" t="s">
        <v>221</v>
      </c>
      <c r="D488" s="110">
        <v>5</v>
      </c>
      <c r="E488" s="110">
        <v>5</v>
      </c>
      <c r="F488" s="110">
        <v>5</v>
      </c>
      <c r="I488" s="110">
        <v>5</v>
      </c>
      <c r="J488" s="110">
        <v>5</v>
      </c>
      <c r="K488" s="110">
        <v>5</v>
      </c>
    </row>
    <row r="489" spans="1:12" x14ac:dyDescent="0.2">
      <c r="A489" s="56" t="s">
        <v>218</v>
      </c>
      <c r="B489" t="s">
        <v>140</v>
      </c>
      <c r="C489" t="s">
        <v>222</v>
      </c>
      <c r="D489" s="110">
        <v>151295.6</v>
      </c>
      <c r="E489" s="110">
        <v>151295.6</v>
      </c>
      <c r="I489" s="110">
        <v>50</v>
      </c>
      <c r="J489" s="110">
        <v>50</v>
      </c>
    </row>
    <row r="490" spans="1:12" x14ac:dyDescent="0.2">
      <c r="A490" s="56" t="s">
        <v>218</v>
      </c>
      <c r="B490" t="s">
        <v>140</v>
      </c>
      <c r="C490" t="s">
        <v>223</v>
      </c>
      <c r="D490" s="110">
        <v>500</v>
      </c>
      <c r="I490" s="110">
        <v>0</v>
      </c>
    </row>
    <row r="491" spans="1:12" x14ac:dyDescent="0.2">
      <c r="A491" s="56" t="s">
        <v>218</v>
      </c>
      <c r="B491" t="s">
        <v>105</v>
      </c>
      <c r="C491" t="s">
        <v>220</v>
      </c>
      <c r="D491" s="110">
        <v>45623</v>
      </c>
      <c r="E491" s="110">
        <v>43923</v>
      </c>
      <c r="F491" s="110">
        <v>43923</v>
      </c>
      <c r="G491" s="110">
        <v>43923</v>
      </c>
      <c r="I491" s="110">
        <v>8167</v>
      </c>
      <c r="J491" s="110">
        <v>12907</v>
      </c>
      <c r="K491" s="110">
        <v>15008.72</v>
      </c>
      <c r="L491" s="110">
        <v>15568.72</v>
      </c>
    </row>
    <row r="492" spans="1:12" x14ac:dyDescent="0.2">
      <c r="A492" s="56" t="s">
        <v>218</v>
      </c>
      <c r="B492" t="s">
        <v>105</v>
      </c>
      <c r="C492" t="s">
        <v>221</v>
      </c>
      <c r="D492" s="110">
        <v>57324.5</v>
      </c>
      <c r="E492" s="110">
        <v>57312.959999999999</v>
      </c>
      <c r="F492" s="110">
        <v>57262.96</v>
      </c>
      <c r="I492" s="110">
        <v>8948</v>
      </c>
      <c r="J492" s="110">
        <v>12875</v>
      </c>
      <c r="K492" s="110">
        <v>15058.46</v>
      </c>
    </row>
    <row r="493" spans="1:12" x14ac:dyDescent="0.2">
      <c r="A493" s="56" t="s">
        <v>218</v>
      </c>
      <c r="B493" t="s">
        <v>105</v>
      </c>
      <c r="C493" t="s">
        <v>222</v>
      </c>
      <c r="D493" s="110">
        <v>54003</v>
      </c>
      <c r="E493" s="110">
        <v>53953</v>
      </c>
      <c r="I493" s="110">
        <v>7988.52</v>
      </c>
      <c r="J493" s="110">
        <v>12100.52</v>
      </c>
    </row>
    <row r="494" spans="1:12" x14ac:dyDescent="0.2">
      <c r="A494" s="56" t="s">
        <v>218</v>
      </c>
      <c r="B494" t="s">
        <v>105</v>
      </c>
      <c r="C494" t="s">
        <v>223</v>
      </c>
      <c r="D494" s="110">
        <v>45826</v>
      </c>
      <c r="I494" s="110">
        <v>6435</v>
      </c>
    </row>
    <row r="495" spans="1:12" x14ac:dyDescent="0.2">
      <c r="A495" s="56" t="s">
        <v>218</v>
      </c>
      <c r="B495" t="s">
        <v>111</v>
      </c>
      <c r="C495" t="s">
        <v>220</v>
      </c>
      <c r="D495" s="110">
        <v>4450</v>
      </c>
      <c r="E495" s="110">
        <v>4450</v>
      </c>
      <c r="F495" s="110">
        <v>4450</v>
      </c>
      <c r="G495" s="110">
        <v>4450</v>
      </c>
      <c r="I495" s="110">
        <v>850</v>
      </c>
      <c r="J495" s="110">
        <v>1435</v>
      </c>
      <c r="K495" s="110">
        <v>1615</v>
      </c>
      <c r="L495" s="110">
        <v>1615</v>
      </c>
    </row>
    <row r="496" spans="1:12" x14ac:dyDescent="0.2">
      <c r="A496" s="56" t="s">
        <v>218</v>
      </c>
      <c r="B496" t="s">
        <v>111</v>
      </c>
      <c r="C496" t="s">
        <v>221</v>
      </c>
      <c r="D496" s="110">
        <v>7680</v>
      </c>
      <c r="E496" s="110">
        <v>7680</v>
      </c>
      <c r="F496" s="110">
        <v>7680</v>
      </c>
      <c r="I496" s="110">
        <v>0</v>
      </c>
      <c r="J496" s="110">
        <v>365</v>
      </c>
      <c r="K496" s="110">
        <v>365</v>
      </c>
    </row>
    <row r="497" spans="1:12" x14ac:dyDescent="0.2">
      <c r="A497" s="56" t="s">
        <v>218</v>
      </c>
      <c r="B497" t="s">
        <v>111</v>
      </c>
      <c r="C497" t="s">
        <v>222</v>
      </c>
      <c r="D497" s="110">
        <v>12546.5</v>
      </c>
      <c r="E497" s="110">
        <v>12781.5</v>
      </c>
      <c r="I497" s="110">
        <v>250</v>
      </c>
      <c r="J497" s="110">
        <v>1060</v>
      </c>
    </row>
    <row r="498" spans="1:12" x14ac:dyDescent="0.2">
      <c r="A498" s="56" t="s">
        <v>218</v>
      </c>
      <c r="B498" t="s">
        <v>111</v>
      </c>
      <c r="C498" t="s">
        <v>223</v>
      </c>
      <c r="D498" s="110">
        <v>3955</v>
      </c>
      <c r="I498" s="110">
        <v>70</v>
      </c>
    </row>
    <row r="499" spans="1:12" x14ac:dyDescent="0.2">
      <c r="A499" s="56" t="s">
        <v>218</v>
      </c>
      <c r="B499" t="s">
        <v>109</v>
      </c>
      <c r="C499" t="s">
        <v>220</v>
      </c>
      <c r="D499" s="110">
        <v>80718</v>
      </c>
      <c r="E499" s="110">
        <v>79968</v>
      </c>
      <c r="F499" s="110">
        <v>79968</v>
      </c>
      <c r="G499" s="110">
        <v>79968</v>
      </c>
      <c r="I499" s="110">
        <v>36120.5</v>
      </c>
      <c r="J499" s="110">
        <v>44046.5</v>
      </c>
      <c r="K499" s="110">
        <v>49404.5</v>
      </c>
      <c r="L499" s="110">
        <v>51256.5</v>
      </c>
    </row>
    <row r="500" spans="1:12" x14ac:dyDescent="0.2">
      <c r="A500" s="56" t="s">
        <v>218</v>
      </c>
      <c r="B500" t="s">
        <v>109</v>
      </c>
      <c r="C500" t="s">
        <v>221</v>
      </c>
      <c r="D500" s="110">
        <v>69408.25</v>
      </c>
      <c r="E500" s="110">
        <v>69408.25</v>
      </c>
      <c r="F500" s="110">
        <v>69408.25</v>
      </c>
      <c r="I500" s="110">
        <v>27589.75</v>
      </c>
      <c r="J500" s="110">
        <v>34170.75</v>
      </c>
      <c r="K500" s="110">
        <v>36834.75</v>
      </c>
    </row>
    <row r="501" spans="1:12" x14ac:dyDescent="0.2">
      <c r="A501" s="56" t="s">
        <v>218</v>
      </c>
      <c r="B501" t="s">
        <v>109</v>
      </c>
      <c r="C501" t="s">
        <v>222</v>
      </c>
      <c r="D501" s="110">
        <v>75497.75</v>
      </c>
      <c r="E501" s="110">
        <v>75497.75</v>
      </c>
      <c r="I501" s="110">
        <v>28262.25</v>
      </c>
      <c r="J501" s="110">
        <v>34325.25</v>
      </c>
    </row>
    <row r="502" spans="1:12" x14ac:dyDescent="0.2">
      <c r="A502" s="56" t="s">
        <v>218</v>
      </c>
      <c r="B502" t="s">
        <v>109</v>
      </c>
      <c r="C502" t="s">
        <v>223</v>
      </c>
      <c r="D502" s="110">
        <v>59008</v>
      </c>
      <c r="I502" s="110">
        <v>15815</v>
      </c>
    </row>
    <row r="503" spans="1:12" x14ac:dyDescent="0.2">
      <c r="A503" s="56" t="s">
        <v>218</v>
      </c>
      <c r="B503" t="s">
        <v>106</v>
      </c>
      <c r="C503" t="s">
        <v>220</v>
      </c>
      <c r="D503" s="110">
        <v>24682</v>
      </c>
      <c r="E503" s="110">
        <v>24682</v>
      </c>
      <c r="F503" s="110">
        <v>24682</v>
      </c>
      <c r="G503" s="110">
        <v>24682</v>
      </c>
      <c r="I503" s="110">
        <v>24632</v>
      </c>
      <c r="J503" s="110">
        <v>24632</v>
      </c>
      <c r="K503" s="110">
        <v>24632</v>
      </c>
      <c r="L503" s="110">
        <v>24632</v>
      </c>
    </row>
    <row r="504" spans="1:12" x14ac:dyDescent="0.2">
      <c r="A504" s="56" t="s">
        <v>218</v>
      </c>
      <c r="B504" t="s">
        <v>106</v>
      </c>
      <c r="C504" t="s">
        <v>221</v>
      </c>
      <c r="D504" s="110">
        <v>29003</v>
      </c>
      <c r="E504" s="110">
        <v>29003</v>
      </c>
      <c r="F504" s="110">
        <v>29003</v>
      </c>
      <c r="I504" s="110">
        <v>29003</v>
      </c>
      <c r="J504" s="110">
        <v>29003</v>
      </c>
      <c r="K504" s="110">
        <v>29003</v>
      </c>
    </row>
    <row r="505" spans="1:12" x14ac:dyDescent="0.2">
      <c r="A505" s="56" t="s">
        <v>218</v>
      </c>
      <c r="B505" t="s">
        <v>106</v>
      </c>
      <c r="C505" t="s">
        <v>222</v>
      </c>
      <c r="D505" s="110">
        <v>33798.1</v>
      </c>
      <c r="E505" s="110">
        <v>33798.1</v>
      </c>
      <c r="I505" s="110">
        <v>32193.1</v>
      </c>
      <c r="J505" s="110">
        <v>32603.1</v>
      </c>
    </row>
    <row r="506" spans="1:12" x14ac:dyDescent="0.2">
      <c r="A506" s="56" t="s">
        <v>218</v>
      </c>
      <c r="B506" t="s">
        <v>106</v>
      </c>
      <c r="C506" t="s">
        <v>223</v>
      </c>
      <c r="D506" s="110">
        <v>31616</v>
      </c>
      <c r="I506" s="110">
        <v>30746</v>
      </c>
    </row>
    <row r="507" spans="1:12" x14ac:dyDescent="0.2">
      <c r="A507" s="56" t="s">
        <v>218</v>
      </c>
      <c r="B507" t="s">
        <v>107</v>
      </c>
      <c r="C507" t="s">
        <v>220</v>
      </c>
      <c r="D507" s="110">
        <v>35425</v>
      </c>
      <c r="E507" s="110">
        <v>35425</v>
      </c>
      <c r="F507" s="110">
        <v>35425</v>
      </c>
      <c r="G507" s="110">
        <v>35425</v>
      </c>
      <c r="I507" s="110">
        <v>34805</v>
      </c>
      <c r="J507" s="110">
        <v>35115</v>
      </c>
      <c r="K507" s="110">
        <v>35115</v>
      </c>
      <c r="L507" s="110">
        <v>35115</v>
      </c>
    </row>
    <row r="508" spans="1:12" x14ac:dyDescent="0.2">
      <c r="A508" s="56" t="s">
        <v>218</v>
      </c>
      <c r="B508" t="s">
        <v>107</v>
      </c>
      <c r="C508" t="s">
        <v>221</v>
      </c>
      <c r="D508" s="110">
        <v>33580</v>
      </c>
      <c r="E508" s="110">
        <v>33580</v>
      </c>
      <c r="F508" s="110">
        <v>33580</v>
      </c>
      <c r="I508" s="110">
        <v>33095</v>
      </c>
      <c r="J508" s="110">
        <v>33120</v>
      </c>
      <c r="K508" s="110">
        <v>33120</v>
      </c>
    </row>
    <row r="509" spans="1:12" x14ac:dyDescent="0.2">
      <c r="A509" s="56" t="s">
        <v>218</v>
      </c>
      <c r="B509" t="s">
        <v>107</v>
      </c>
      <c r="C509" t="s">
        <v>222</v>
      </c>
      <c r="D509" s="110">
        <v>25060</v>
      </c>
      <c r="E509" s="110">
        <v>25060</v>
      </c>
      <c r="I509" s="110">
        <v>25060</v>
      </c>
      <c r="J509" s="110">
        <v>25060</v>
      </c>
    </row>
    <row r="510" spans="1:12" x14ac:dyDescent="0.2">
      <c r="A510" s="56" t="s">
        <v>218</v>
      </c>
      <c r="B510" t="s">
        <v>107</v>
      </c>
      <c r="C510" t="s">
        <v>223</v>
      </c>
      <c r="D510" s="110">
        <v>38170</v>
      </c>
      <c r="I510" s="110">
        <v>36475</v>
      </c>
    </row>
    <row r="511" spans="1:12" x14ac:dyDescent="0.2">
      <c r="A511" s="56" t="s">
        <v>218</v>
      </c>
      <c r="B511" t="s">
        <v>108</v>
      </c>
      <c r="C511" t="s">
        <v>220</v>
      </c>
      <c r="D511" s="110">
        <v>6811</v>
      </c>
      <c r="E511" s="110">
        <v>6811</v>
      </c>
      <c r="F511" s="110">
        <v>6811</v>
      </c>
      <c r="G511" s="110">
        <v>6811</v>
      </c>
      <c r="I511" s="110">
        <v>6811</v>
      </c>
      <c r="J511" s="110">
        <v>6811</v>
      </c>
      <c r="K511" s="110">
        <v>6811</v>
      </c>
      <c r="L511" s="110">
        <v>6811</v>
      </c>
    </row>
    <row r="512" spans="1:12" x14ac:dyDescent="0.2">
      <c r="A512" s="56" t="s">
        <v>218</v>
      </c>
      <c r="B512" t="s">
        <v>108</v>
      </c>
      <c r="C512" t="s">
        <v>221</v>
      </c>
      <c r="D512" s="110">
        <v>13103</v>
      </c>
      <c r="E512" s="110">
        <v>13103</v>
      </c>
      <c r="F512" s="110">
        <v>13103</v>
      </c>
      <c r="I512" s="110">
        <v>13103</v>
      </c>
      <c r="J512" s="110">
        <v>13103</v>
      </c>
      <c r="K512" s="110">
        <v>13103</v>
      </c>
    </row>
    <row r="513" spans="1:12" x14ac:dyDescent="0.2">
      <c r="A513" s="56" t="s">
        <v>218</v>
      </c>
      <c r="B513" t="s">
        <v>108</v>
      </c>
      <c r="C513" t="s">
        <v>222</v>
      </c>
      <c r="D513" s="110">
        <v>10006</v>
      </c>
      <c r="E513" s="110">
        <v>10226</v>
      </c>
      <c r="I513" s="110">
        <v>10006</v>
      </c>
      <c r="J513" s="110">
        <v>10026</v>
      </c>
    </row>
    <row r="514" spans="1:12" x14ac:dyDescent="0.2">
      <c r="A514" s="56" t="s">
        <v>218</v>
      </c>
      <c r="B514" t="s">
        <v>108</v>
      </c>
      <c r="C514" t="s">
        <v>223</v>
      </c>
      <c r="D514" s="110">
        <v>12500</v>
      </c>
      <c r="I514" s="110">
        <v>12500</v>
      </c>
    </row>
    <row r="515" spans="1:12" x14ac:dyDescent="0.2">
      <c r="A515" s="56" t="s">
        <v>218</v>
      </c>
      <c r="B515" t="s">
        <v>70</v>
      </c>
      <c r="C515" t="s">
        <v>220</v>
      </c>
      <c r="D515" s="110">
        <v>23352.5</v>
      </c>
      <c r="E515" s="110">
        <v>23352.5</v>
      </c>
      <c r="F515" s="110">
        <v>23327.5</v>
      </c>
      <c r="G515" s="110">
        <v>23327.5</v>
      </c>
      <c r="I515" s="110">
        <v>19614</v>
      </c>
      <c r="J515" s="110">
        <v>20182</v>
      </c>
      <c r="K515" s="110">
        <v>20782</v>
      </c>
      <c r="L515" s="110">
        <v>21227.5</v>
      </c>
    </row>
    <row r="516" spans="1:12" x14ac:dyDescent="0.2">
      <c r="A516" s="56" t="s">
        <v>218</v>
      </c>
      <c r="B516" t="s">
        <v>70</v>
      </c>
      <c r="C516" t="s">
        <v>221</v>
      </c>
      <c r="D516" s="110">
        <v>23032.5</v>
      </c>
      <c r="E516" s="110">
        <v>23032.5</v>
      </c>
      <c r="F516" s="110">
        <v>23007.5</v>
      </c>
      <c r="I516" s="110">
        <v>20575</v>
      </c>
      <c r="J516" s="110">
        <v>21521</v>
      </c>
      <c r="K516" s="110">
        <v>21561</v>
      </c>
    </row>
    <row r="517" spans="1:12" x14ac:dyDescent="0.2">
      <c r="A517" s="56" t="s">
        <v>218</v>
      </c>
      <c r="B517" t="s">
        <v>70</v>
      </c>
      <c r="C517" t="s">
        <v>222</v>
      </c>
      <c r="D517" s="110">
        <v>26249.5</v>
      </c>
      <c r="E517" s="110">
        <v>26249.5</v>
      </c>
      <c r="I517" s="110">
        <v>21885.5</v>
      </c>
      <c r="J517" s="110">
        <v>23891.5</v>
      </c>
    </row>
    <row r="518" spans="1:12" x14ac:dyDescent="0.2">
      <c r="A518" s="56" t="s">
        <v>218</v>
      </c>
      <c r="B518" t="s">
        <v>70</v>
      </c>
      <c r="C518" t="s">
        <v>223</v>
      </c>
      <c r="D518" s="110">
        <v>20038.5</v>
      </c>
      <c r="I518" s="110">
        <v>16509.5</v>
      </c>
    </row>
    <row r="519" spans="1:12" x14ac:dyDescent="0.2">
      <c r="A519" s="56" t="s">
        <v>218</v>
      </c>
      <c r="B519" t="s">
        <v>110</v>
      </c>
      <c r="C519" t="s">
        <v>220</v>
      </c>
      <c r="D519" s="110">
        <v>152228.5</v>
      </c>
      <c r="E519" s="110">
        <v>149933.5</v>
      </c>
      <c r="F519" s="110">
        <v>149103.5</v>
      </c>
      <c r="G519" s="110">
        <v>149103.5</v>
      </c>
      <c r="I519" s="110">
        <v>67901.5</v>
      </c>
      <c r="J519" s="110">
        <v>124131</v>
      </c>
      <c r="K519" s="110">
        <v>131401</v>
      </c>
      <c r="L519" s="110">
        <v>133195</v>
      </c>
    </row>
    <row r="520" spans="1:12" x14ac:dyDescent="0.2">
      <c r="A520" s="56" t="s">
        <v>218</v>
      </c>
      <c r="B520" t="s">
        <v>110</v>
      </c>
      <c r="C520" t="s">
        <v>221</v>
      </c>
      <c r="D520" s="110">
        <v>129614.03</v>
      </c>
      <c r="E520" s="110">
        <v>128802.53</v>
      </c>
      <c r="F520" s="110">
        <v>128650.13</v>
      </c>
      <c r="I520" s="110">
        <v>59853.54</v>
      </c>
      <c r="J520" s="110">
        <v>102549.64</v>
      </c>
      <c r="K520" s="110">
        <v>112170.44</v>
      </c>
    </row>
    <row r="521" spans="1:12" x14ac:dyDescent="0.2">
      <c r="A521" s="56" t="s">
        <v>218</v>
      </c>
      <c r="B521" t="s">
        <v>110</v>
      </c>
      <c r="C521" t="s">
        <v>222</v>
      </c>
      <c r="D521" s="110">
        <v>205890</v>
      </c>
      <c r="E521" s="110">
        <v>202692.5</v>
      </c>
      <c r="I521" s="110">
        <v>89013.7</v>
      </c>
      <c r="J521" s="110">
        <v>158021.29999999999</v>
      </c>
    </row>
    <row r="522" spans="1:12" x14ac:dyDescent="0.2">
      <c r="A522" s="56" t="s">
        <v>218</v>
      </c>
      <c r="B522" t="s">
        <v>110</v>
      </c>
      <c r="C522" t="s">
        <v>223</v>
      </c>
      <c r="D522" s="110">
        <v>158991.78</v>
      </c>
      <c r="I522" s="110">
        <v>73947.600000000006</v>
      </c>
    </row>
    <row r="523" spans="1:12" x14ac:dyDescent="0.2">
      <c r="A523" t="s">
        <v>15</v>
      </c>
      <c r="B523" t="s">
        <v>104</v>
      </c>
      <c r="C523" t="s">
        <v>220</v>
      </c>
      <c r="D523" s="110">
        <v>44143</v>
      </c>
      <c r="E523" s="110">
        <v>44143</v>
      </c>
      <c r="F523" s="110">
        <v>44143</v>
      </c>
      <c r="G523" s="110">
        <v>44143</v>
      </c>
      <c r="I523" s="110">
        <v>6597</v>
      </c>
      <c r="J523" s="110">
        <v>6597</v>
      </c>
      <c r="K523" s="110">
        <v>7159</v>
      </c>
      <c r="L523" s="110">
        <v>7159</v>
      </c>
    </row>
    <row r="524" spans="1:12" x14ac:dyDescent="0.2">
      <c r="A524" t="s">
        <v>15</v>
      </c>
      <c r="B524" t="s">
        <v>104</v>
      </c>
      <c r="C524" t="s">
        <v>221</v>
      </c>
      <c r="D524" s="110">
        <v>96174</v>
      </c>
      <c r="E524" s="110">
        <v>96174</v>
      </c>
      <c r="F524" s="110">
        <v>96174</v>
      </c>
      <c r="I524" s="110">
        <v>327</v>
      </c>
      <c r="J524" s="110">
        <v>916</v>
      </c>
      <c r="K524" s="110">
        <v>1026</v>
      </c>
    </row>
    <row r="525" spans="1:12" x14ac:dyDescent="0.2">
      <c r="A525" t="s">
        <v>15</v>
      </c>
      <c r="B525" t="s">
        <v>104</v>
      </c>
      <c r="C525" t="s">
        <v>222</v>
      </c>
      <c r="D525" s="110">
        <v>51451</v>
      </c>
      <c r="E525" s="110">
        <v>51451</v>
      </c>
      <c r="I525" s="110">
        <v>5744</v>
      </c>
      <c r="J525" s="110">
        <v>5894</v>
      </c>
    </row>
    <row r="526" spans="1:12" x14ac:dyDescent="0.2">
      <c r="A526" t="s">
        <v>15</v>
      </c>
      <c r="B526" t="s">
        <v>104</v>
      </c>
      <c r="C526" t="s">
        <v>223</v>
      </c>
      <c r="D526" s="110">
        <v>31605</v>
      </c>
      <c r="I526" s="110">
        <v>375</v>
      </c>
    </row>
    <row r="527" spans="1:12" x14ac:dyDescent="0.2">
      <c r="A527" t="s">
        <v>15</v>
      </c>
      <c r="B527" t="s">
        <v>140</v>
      </c>
      <c r="C527" t="s">
        <v>220</v>
      </c>
      <c r="D527" s="110">
        <v>0</v>
      </c>
      <c r="E527" s="110">
        <v>0</v>
      </c>
      <c r="F527" s="110">
        <v>0</v>
      </c>
      <c r="G527" s="110">
        <v>0</v>
      </c>
      <c r="I527" s="110">
        <v>0</v>
      </c>
      <c r="J527" s="110">
        <v>0</v>
      </c>
      <c r="K527" s="110">
        <v>0</v>
      </c>
      <c r="L527" s="110">
        <v>0</v>
      </c>
    </row>
    <row r="528" spans="1:12" x14ac:dyDescent="0.2">
      <c r="A528" t="s">
        <v>15</v>
      </c>
      <c r="B528" t="s">
        <v>140</v>
      </c>
      <c r="C528" t="s">
        <v>221</v>
      </c>
      <c r="D528" s="110">
        <v>0</v>
      </c>
      <c r="E528" s="110">
        <v>0</v>
      </c>
      <c r="F528" s="110">
        <v>0</v>
      </c>
      <c r="I528" s="110">
        <v>0</v>
      </c>
      <c r="J528" s="110">
        <v>0</v>
      </c>
      <c r="K528" s="110">
        <v>0</v>
      </c>
    </row>
    <row r="529" spans="1:12" x14ac:dyDescent="0.2">
      <c r="A529" t="s">
        <v>15</v>
      </c>
      <c r="B529" t="s">
        <v>140</v>
      </c>
      <c r="C529" t="s">
        <v>222</v>
      </c>
      <c r="D529" s="110">
        <v>0</v>
      </c>
      <c r="E529" s="110">
        <v>0</v>
      </c>
      <c r="I529" s="110">
        <v>0</v>
      </c>
      <c r="J529" s="110">
        <v>0</v>
      </c>
    </row>
    <row r="530" spans="1:12" x14ac:dyDescent="0.2">
      <c r="A530" t="s">
        <v>15</v>
      </c>
      <c r="B530" t="s">
        <v>140</v>
      </c>
      <c r="C530" t="s">
        <v>223</v>
      </c>
      <c r="D530" s="110">
        <v>0</v>
      </c>
      <c r="I530" s="110">
        <v>0</v>
      </c>
    </row>
    <row r="531" spans="1:12" x14ac:dyDescent="0.2">
      <c r="A531" t="s">
        <v>15</v>
      </c>
      <c r="B531" t="s">
        <v>105</v>
      </c>
      <c r="C531" t="s">
        <v>220</v>
      </c>
      <c r="D531" s="110">
        <v>15428</v>
      </c>
      <c r="E531" s="110">
        <v>14948</v>
      </c>
      <c r="F531" s="110">
        <v>14998</v>
      </c>
      <c r="G531" s="110">
        <v>14968</v>
      </c>
      <c r="I531" s="110">
        <v>1248</v>
      </c>
      <c r="J531" s="110">
        <v>2012</v>
      </c>
      <c r="K531" s="110">
        <v>5353</v>
      </c>
      <c r="L531" s="110">
        <v>5850</v>
      </c>
    </row>
    <row r="532" spans="1:12" x14ac:dyDescent="0.2">
      <c r="A532" t="s">
        <v>15</v>
      </c>
      <c r="B532" t="s">
        <v>105</v>
      </c>
      <c r="C532" t="s">
        <v>221</v>
      </c>
      <c r="D532" s="110">
        <v>24606</v>
      </c>
      <c r="E532" s="110">
        <v>24656</v>
      </c>
      <c r="F532" s="110">
        <v>25126</v>
      </c>
      <c r="I532" s="110">
        <v>2950</v>
      </c>
      <c r="J532" s="110">
        <v>6203</v>
      </c>
      <c r="K532" s="110">
        <v>7372</v>
      </c>
    </row>
    <row r="533" spans="1:12" x14ac:dyDescent="0.2">
      <c r="A533" t="s">
        <v>15</v>
      </c>
      <c r="B533" t="s">
        <v>105</v>
      </c>
      <c r="C533" t="s">
        <v>222</v>
      </c>
      <c r="D533" s="110">
        <v>21914</v>
      </c>
      <c r="E533" s="110">
        <v>22014</v>
      </c>
      <c r="I533" s="110">
        <v>4183</v>
      </c>
      <c r="J533" s="110">
        <v>4973</v>
      </c>
    </row>
    <row r="534" spans="1:12" x14ac:dyDescent="0.2">
      <c r="A534" t="s">
        <v>15</v>
      </c>
      <c r="B534" t="s">
        <v>105</v>
      </c>
      <c r="C534" t="s">
        <v>223</v>
      </c>
      <c r="D534" s="110">
        <v>19964</v>
      </c>
      <c r="I534" s="110">
        <v>1662</v>
      </c>
    </row>
    <row r="535" spans="1:12" x14ac:dyDescent="0.2">
      <c r="A535" t="s">
        <v>15</v>
      </c>
      <c r="B535" t="s">
        <v>111</v>
      </c>
      <c r="C535" t="s">
        <v>220</v>
      </c>
      <c r="D535" s="110">
        <v>418</v>
      </c>
      <c r="E535" s="110">
        <v>418</v>
      </c>
      <c r="F535" s="110">
        <v>418</v>
      </c>
      <c r="G535" s="110">
        <v>418</v>
      </c>
      <c r="I535" s="110">
        <v>0</v>
      </c>
      <c r="J535" s="110">
        <v>0</v>
      </c>
      <c r="K535" s="110">
        <v>0</v>
      </c>
      <c r="L535" s="110">
        <v>0</v>
      </c>
    </row>
    <row r="536" spans="1:12" x14ac:dyDescent="0.2">
      <c r="A536" t="s">
        <v>15</v>
      </c>
      <c r="B536" t="s">
        <v>111</v>
      </c>
      <c r="C536" t="s">
        <v>221</v>
      </c>
      <c r="D536" s="110">
        <v>23223</v>
      </c>
      <c r="E536" s="110">
        <v>23223</v>
      </c>
      <c r="F536" s="110">
        <v>28223</v>
      </c>
      <c r="I536" s="110">
        <v>0</v>
      </c>
      <c r="J536" s="110">
        <v>0</v>
      </c>
      <c r="K536" s="110">
        <v>0</v>
      </c>
    </row>
    <row r="537" spans="1:12" x14ac:dyDescent="0.2">
      <c r="A537" t="s">
        <v>15</v>
      </c>
      <c r="B537" t="s">
        <v>111</v>
      </c>
      <c r="C537" t="s">
        <v>222</v>
      </c>
      <c r="D537" s="110">
        <v>676</v>
      </c>
      <c r="E537" s="110">
        <v>676</v>
      </c>
      <c r="I537" s="110">
        <v>0</v>
      </c>
      <c r="J537" s="110">
        <v>0</v>
      </c>
    </row>
    <row r="538" spans="1:12" x14ac:dyDescent="0.2">
      <c r="A538" t="s">
        <v>15</v>
      </c>
      <c r="B538" t="s">
        <v>111</v>
      </c>
      <c r="C538" t="s">
        <v>223</v>
      </c>
      <c r="D538" s="110">
        <v>1096</v>
      </c>
      <c r="I538" s="110">
        <v>268</v>
      </c>
    </row>
    <row r="539" spans="1:12" x14ac:dyDescent="0.2">
      <c r="A539" t="s">
        <v>15</v>
      </c>
      <c r="B539" t="s">
        <v>109</v>
      </c>
      <c r="C539" t="s">
        <v>220</v>
      </c>
      <c r="D539" s="110">
        <v>8680</v>
      </c>
      <c r="E539" s="110">
        <v>9018</v>
      </c>
      <c r="F539" s="110">
        <v>8818</v>
      </c>
      <c r="G539" s="110">
        <v>8818</v>
      </c>
      <c r="I539" s="110">
        <v>1663</v>
      </c>
      <c r="J539" s="110">
        <v>3374</v>
      </c>
      <c r="K539" s="110">
        <v>4685</v>
      </c>
      <c r="L539" s="110">
        <v>5342</v>
      </c>
    </row>
    <row r="540" spans="1:12" x14ac:dyDescent="0.2">
      <c r="A540" t="s">
        <v>15</v>
      </c>
      <c r="B540" t="s">
        <v>109</v>
      </c>
      <c r="C540" t="s">
        <v>221</v>
      </c>
      <c r="D540" s="110">
        <v>18099</v>
      </c>
      <c r="E540" s="110">
        <v>17729</v>
      </c>
      <c r="F540" s="110">
        <v>17729</v>
      </c>
      <c r="I540" s="110">
        <v>5050</v>
      </c>
      <c r="J540" s="110">
        <v>5776</v>
      </c>
      <c r="K540" s="110">
        <v>7684</v>
      </c>
    </row>
    <row r="541" spans="1:12" x14ac:dyDescent="0.2">
      <c r="A541" t="s">
        <v>15</v>
      </c>
      <c r="B541" t="s">
        <v>109</v>
      </c>
      <c r="C541" t="s">
        <v>222</v>
      </c>
      <c r="D541" s="110">
        <v>30331</v>
      </c>
      <c r="E541" s="110">
        <v>30356</v>
      </c>
      <c r="I541" s="110">
        <v>3519</v>
      </c>
      <c r="J541" s="110">
        <v>6836</v>
      </c>
    </row>
    <row r="542" spans="1:12" x14ac:dyDescent="0.2">
      <c r="A542" t="s">
        <v>15</v>
      </c>
      <c r="B542" t="s">
        <v>109</v>
      </c>
      <c r="C542" t="s">
        <v>223</v>
      </c>
      <c r="D542" s="110">
        <v>28044</v>
      </c>
      <c r="I542" s="110">
        <v>4360</v>
      </c>
    </row>
    <row r="543" spans="1:12" x14ac:dyDescent="0.2">
      <c r="A543" t="s">
        <v>15</v>
      </c>
      <c r="B543" t="s">
        <v>106</v>
      </c>
      <c r="C543" t="s">
        <v>220</v>
      </c>
      <c r="D543" s="110">
        <v>7025</v>
      </c>
      <c r="E543" s="110">
        <v>7855</v>
      </c>
      <c r="F543" s="110">
        <v>7855</v>
      </c>
      <c r="G543" s="110">
        <v>7855</v>
      </c>
      <c r="I543" s="110">
        <v>7025</v>
      </c>
      <c r="J543" s="110">
        <v>7855</v>
      </c>
      <c r="K543" s="110">
        <v>7855</v>
      </c>
      <c r="L543" s="110">
        <v>7855</v>
      </c>
    </row>
    <row r="544" spans="1:12" x14ac:dyDescent="0.2">
      <c r="A544" t="s">
        <v>15</v>
      </c>
      <c r="B544" t="s">
        <v>106</v>
      </c>
      <c r="C544" t="s">
        <v>221</v>
      </c>
      <c r="D544" s="110">
        <v>6990</v>
      </c>
      <c r="E544" s="110">
        <v>6990</v>
      </c>
      <c r="F544" s="110">
        <v>6990</v>
      </c>
      <c r="I544" s="110">
        <v>6990</v>
      </c>
      <c r="J544" s="110">
        <v>6990</v>
      </c>
      <c r="K544" s="110">
        <v>6990</v>
      </c>
    </row>
    <row r="545" spans="1:12" x14ac:dyDescent="0.2">
      <c r="A545" t="s">
        <v>15</v>
      </c>
      <c r="B545" t="s">
        <v>106</v>
      </c>
      <c r="C545" t="s">
        <v>222</v>
      </c>
      <c r="D545" s="110">
        <v>11435</v>
      </c>
      <c r="E545" s="110">
        <v>11435</v>
      </c>
      <c r="I545" s="110">
        <v>11435</v>
      </c>
      <c r="J545" s="110">
        <v>11435</v>
      </c>
    </row>
    <row r="546" spans="1:12" x14ac:dyDescent="0.2">
      <c r="A546" t="s">
        <v>15</v>
      </c>
      <c r="B546" t="s">
        <v>106</v>
      </c>
      <c r="C546" t="s">
        <v>223</v>
      </c>
      <c r="D546" s="110">
        <v>22254</v>
      </c>
      <c r="I546" s="110">
        <v>22254</v>
      </c>
    </row>
    <row r="547" spans="1:12" x14ac:dyDescent="0.2">
      <c r="A547" t="s">
        <v>15</v>
      </c>
      <c r="B547" t="s">
        <v>107</v>
      </c>
      <c r="C547" t="s">
        <v>220</v>
      </c>
      <c r="D547" s="110">
        <v>15052</v>
      </c>
      <c r="E547" s="110">
        <v>15732</v>
      </c>
      <c r="F547" s="110">
        <v>15732</v>
      </c>
      <c r="G547" s="110">
        <v>15732</v>
      </c>
      <c r="I547" s="110">
        <v>15052</v>
      </c>
      <c r="J547" s="110">
        <v>15732</v>
      </c>
      <c r="K547" s="110">
        <v>15732</v>
      </c>
      <c r="L547" s="110">
        <v>15732</v>
      </c>
    </row>
    <row r="548" spans="1:12" x14ac:dyDescent="0.2">
      <c r="A548" t="s">
        <v>15</v>
      </c>
      <c r="B548" t="s">
        <v>107</v>
      </c>
      <c r="C548" t="s">
        <v>221</v>
      </c>
      <c r="D548" s="110">
        <v>15161</v>
      </c>
      <c r="E548" s="110">
        <v>15923</v>
      </c>
      <c r="F548" s="110">
        <v>15923</v>
      </c>
      <c r="I548" s="110">
        <v>15161</v>
      </c>
      <c r="J548" s="110">
        <v>15923</v>
      </c>
      <c r="K548" s="110">
        <v>15923</v>
      </c>
    </row>
    <row r="549" spans="1:12" x14ac:dyDescent="0.2">
      <c r="A549" t="s">
        <v>15</v>
      </c>
      <c r="B549" t="s">
        <v>107</v>
      </c>
      <c r="C549" t="s">
        <v>222</v>
      </c>
      <c r="D549" s="110">
        <v>16142</v>
      </c>
      <c r="E549" s="110">
        <v>16462</v>
      </c>
      <c r="I549" s="110">
        <v>16142</v>
      </c>
      <c r="J549" s="110">
        <v>16462</v>
      </c>
    </row>
    <row r="550" spans="1:12" x14ac:dyDescent="0.2">
      <c r="A550" t="s">
        <v>15</v>
      </c>
      <c r="B550" t="s">
        <v>107</v>
      </c>
      <c r="C550" t="s">
        <v>223</v>
      </c>
      <c r="D550" s="110">
        <v>14144</v>
      </c>
      <c r="I550" s="110">
        <v>14144</v>
      </c>
    </row>
    <row r="551" spans="1:12" x14ac:dyDescent="0.2">
      <c r="A551" t="s">
        <v>15</v>
      </c>
      <c r="B551" t="s">
        <v>108</v>
      </c>
      <c r="C551" t="s">
        <v>220</v>
      </c>
      <c r="D551" s="110">
        <v>5835</v>
      </c>
      <c r="E551" s="110">
        <v>6305</v>
      </c>
      <c r="F551" s="110">
        <v>6263</v>
      </c>
      <c r="G551" s="110">
        <v>6263</v>
      </c>
      <c r="I551" s="110">
        <v>5835</v>
      </c>
      <c r="J551" s="110">
        <v>6305</v>
      </c>
      <c r="K551" s="110">
        <v>6263</v>
      </c>
      <c r="L551" s="110">
        <v>6263</v>
      </c>
    </row>
    <row r="552" spans="1:12" x14ac:dyDescent="0.2">
      <c r="A552" t="s">
        <v>15</v>
      </c>
      <c r="B552" t="s">
        <v>108</v>
      </c>
      <c r="C552" t="s">
        <v>221</v>
      </c>
      <c r="D552" s="110">
        <v>7116</v>
      </c>
      <c r="E552" s="110">
        <v>7116</v>
      </c>
      <c r="F552" s="110">
        <v>7116</v>
      </c>
      <c r="I552" s="110">
        <v>7116</v>
      </c>
      <c r="J552" s="110">
        <v>7116</v>
      </c>
      <c r="K552" s="110">
        <v>7116</v>
      </c>
    </row>
    <row r="553" spans="1:12" x14ac:dyDescent="0.2">
      <c r="A553" t="s">
        <v>15</v>
      </c>
      <c r="B553" t="s">
        <v>108</v>
      </c>
      <c r="C553" t="s">
        <v>222</v>
      </c>
      <c r="D553" s="110">
        <v>8140</v>
      </c>
      <c r="E553" s="110">
        <v>8140</v>
      </c>
      <c r="I553" s="110">
        <v>8140</v>
      </c>
      <c r="J553" s="110">
        <v>8140</v>
      </c>
    </row>
    <row r="554" spans="1:12" x14ac:dyDescent="0.2">
      <c r="A554" t="s">
        <v>15</v>
      </c>
      <c r="B554" t="s">
        <v>108</v>
      </c>
      <c r="C554" t="s">
        <v>223</v>
      </c>
      <c r="D554" s="110">
        <v>9147</v>
      </c>
      <c r="I554" s="110">
        <v>9147</v>
      </c>
    </row>
    <row r="555" spans="1:12" x14ac:dyDescent="0.2">
      <c r="A555" t="s">
        <v>15</v>
      </c>
      <c r="B555" t="s">
        <v>70</v>
      </c>
      <c r="C555" t="s">
        <v>220</v>
      </c>
      <c r="D555" s="110">
        <v>6156</v>
      </c>
      <c r="E555" s="110">
        <v>6305</v>
      </c>
      <c r="F555" s="110">
        <v>6552</v>
      </c>
      <c r="G555" s="110">
        <v>6552</v>
      </c>
      <c r="I555" s="110">
        <v>6156</v>
      </c>
      <c r="J555" s="110">
        <v>6305</v>
      </c>
      <c r="K555" s="110">
        <v>6552</v>
      </c>
      <c r="L555" s="110">
        <v>6552</v>
      </c>
    </row>
    <row r="556" spans="1:12" x14ac:dyDescent="0.2">
      <c r="A556" t="s">
        <v>15</v>
      </c>
      <c r="B556" t="s">
        <v>70</v>
      </c>
      <c r="C556" t="s">
        <v>221</v>
      </c>
      <c r="D556" s="110">
        <v>12326</v>
      </c>
      <c r="E556" s="110">
        <v>12714</v>
      </c>
      <c r="F556" s="110">
        <v>12714</v>
      </c>
      <c r="I556" s="110">
        <v>12326</v>
      </c>
      <c r="J556" s="110">
        <v>12714</v>
      </c>
      <c r="K556" s="110">
        <v>12714</v>
      </c>
    </row>
    <row r="557" spans="1:12" x14ac:dyDescent="0.2">
      <c r="A557" t="s">
        <v>15</v>
      </c>
      <c r="B557" t="s">
        <v>70</v>
      </c>
      <c r="C557" t="s">
        <v>222</v>
      </c>
      <c r="D557" s="110">
        <v>8545</v>
      </c>
      <c r="E557" s="110">
        <v>8665</v>
      </c>
      <c r="I557" s="110">
        <v>8545</v>
      </c>
      <c r="J557" s="110">
        <v>8665</v>
      </c>
    </row>
    <row r="558" spans="1:12" x14ac:dyDescent="0.2">
      <c r="A558" t="s">
        <v>15</v>
      </c>
      <c r="B558" t="s">
        <v>70</v>
      </c>
      <c r="C558" t="s">
        <v>223</v>
      </c>
      <c r="D558" s="110">
        <v>9147</v>
      </c>
      <c r="I558" s="110">
        <v>9147</v>
      </c>
    </row>
    <row r="559" spans="1:12" x14ac:dyDescent="0.2">
      <c r="A559" t="s">
        <v>15</v>
      </c>
      <c r="B559" t="s">
        <v>110</v>
      </c>
      <c r="C559" t="s">
        <v>220</v>
      </c>
      <c r="D559" s="110">
        <v>35248</v>
      </c>
      <c r="E559" s="110">
        <v>34315</v>
      </c>
      <c r="F559" s="110">
        <v>34467</v>
      </c>
      <c r="G559" s="110">
        <v>34473</v>
      </c>
      <c r="I559" s="110">
        <v>10856</v>
      </c>
      <c r="J559" s="110">
        <v>25006</v>
      </c>
      <c r="K559" s="110">
        <v>27788</v>
      </c>
      <c r="L559" s="110">
        <v>28196</v>
      </c>
    </row>
    <row r="560" spans="1:12" x14ac:dyDescent="0.2">
      <c r="A560" t="s">
        <v>15</v>
      </c>
      <c r="B560" t="s">
        <v>110</v>
      </c>
      <c r="C560" t="s">
        <v>221</v>
      </c>
      <c r="D560" s="110">
        <v>48619</v>
      </c>
      <c r="E560" s="110">
        <v>47992</v>
      </c>
      <c r="F560" s="110">
        <v>48948</v>
      </c>
      <c r="I560" s="110">
        <v>21964</v>
      </c>
      <c r="J560" s="110">
        <v>35187</v>
      </c>
      <c r="K560" s="110">
        <v>37454</v>
      </c>
    </row>
    <row r="561" spans="1:12" x14ac:dyDescent="0.2">
      <c r="A561" t="s">
        <v>15</v>
      </c>
      <c r="B561" t="s">
        <v>110</v>
      </c>
      <c r="C561" t="s">
        <v>222</v>
      </c>
      <c r="D561" s="110">
        <v>63005</v>
      </c>
      <c r="E561" s="110">
        <v>61528</v>
      </c>
      <c r="I561" s="110">
        <v>26832</v>
      </c>
      <c r="J561" s="110">
        <v>43361</v>
      </c>
    </row>
    <row r="562" spans="1:12" x14ac:dyDescent="0.2">
      <c r="A562" t="s">
        <v>15</v>
      </c>
      <c r="B562" t="s">
        <v>110</v>
      </c>
      <c r="C562" t="s">
        <v>223</v>
      </c>
      <c r="D562" s="110">
        <v>79312</v>
      </c>
      <c r="I562" s="110">
        <v>29051</v>
      </c>
    </row>
    <row r="563" spans="1:12" x14ac:dyDescent="0.2">
      <c r="A563" t="s">
        <v>16</v>
      </c>
      <c r="B563" t="s">
        <v>104</v>
      </c>
      <c r="C563" t="s">
        <v>220</v>
      </c>
      <c r="D563" s="110">
        <v>2425552.1</v>
      </c>
      <c r="E563" s="110">
        <v>2425552.1</v>
      </c>
      <c r="F563" s="110">
        <v>2425552.1</v>
      </c>
      <c r="G563" s="110">
        <v>2424449.61</v>
      </c>
      <c r="I563" s="110">
        <v>100560.8</v>
      </c>
      <c r="J563" s="110">
        <v>135588.63</v>
      </c>
      <c r="K563" s="110">
        <v>156395.59</v>
      </c>
      <c r="L563" s="110">
        <v>174616.78</v>
      </c>
    </row>
    <row r="564" spans="1:12" x14ac:dyDescent="0.2">
      <c r="A564" t="s">
        <v>16</v>
      </c>
      <c r="B564" t="s">
        <v>104</v>
      </c>
      <c r="C564" t="s">
        <v>221</v>
      </c>
      <c r="D564" s="110">
        <v>2904166.01</v>
      </c>
      <c r="E564" s="110">
        <v>2904166.01</v>
      </c>
      <c r="F564" s="110">
        <v>2903216.01</v>
      </c>
      <c r="I564" s="110">
        <v>1179392.8799999999</v>
      </c>
      <c r="J564" s="110">
        <v>1208883.6499999999</v>
      </c>
      <c r="K564" s="110">
        <v>1225609.3600000001</v>
      </c>
    </row>
    <row r="565" spans="1:12" x14ac:dyDescent="0.2">
      <c r="A565" t="s">
        <v>16</v>
      </c>
      <c r="B565" t="s">
        <v>104</v>
      </c>
      <c r="C565" t="s">
        <v>222</v>
      </c>
      <c r="D565" s="110">
        <v>2829986</v>
      </c>
      <c r="E565" s="110">
        <v>2821614</v>
      </c>
      <c r="I565" s="110">
        <v>156936.98000000001</v>
      </c>
      <c r="J565" s="110">
        <v>190845.22</v>
      </c>
    </row>
    <row r="566" spans="1:12" x14ac:dyDescent="0.2">
      <c r="A566" t="s">
        <v>16</v>
      </c>
      <c r="B566" t="s">
        <v>104</v>
      </c>
      <c r="C566" t="s">
        <v>223</v>
      </c>
      <c r="D566" s="110">
        <v>4636613.28</v>
      </c>
      <c r="I566" s="110">
        <v>147802.34</v>
      </c>
    </row>
    <row r="567" spans="1:12" x14ac:dyDescent="0.2">
      <c r="A567" t="s">
        <v>16</v>
      </c>
      <c r="B567" t="s">
        <v>140</v>
      </c>
      <c r="C567" t="s">
        <v>220</v>
      </c>
      <c r="D567" s="110">
        <v>1216273</v>
      </c>
      <c r="E567" s="110">
        <v>1216273</v>
      </c>
      <c r="F567" s="110">
        <v>1216273</v>
      </c>
      <c r="G567" s="110">
        <v>1216323</v>
      </c>
      <c r="I567" s="110">
        <v>274</v>
      </c>
      <c r="J567" s="110">
        <v>274</v>
      </c>
      <c r="K567" s="110">
        <v>1516</v>
      </c>
      <c r="L567" s="110">
        <v>1516</v>
      </c>
    </row>
    <row r="568" spans="1:12" x14ac:dyDescent="0.2">
      <c r="A568" t="s">
        <v>16</v>
      </c>
      <c r="B568" t="s">
        <v>140</v>
      </c>
      <c r="C568" t="s">
        <v>221</v>
      </c>
      <c r="D568" s="110">
        <v>587808.86</v>
      </c>
      <c r="E568" s="110">
        <v>587808.86</v>
      </c>
      <c r="F568" s="110">
        <v>587908.86</v>
      </c>
      <c r="I568" s="110">
        <v>28.28</v>
      </c>
      <c r="J568" s="110">
        <v>28.28</v>
      </c>
      <c r="K568" s="110">
        <v>28.28</v>
      </c>
    </row>
    <row r="569" spans="1:12" x14ac:dyDescent="0.2">
      <c r="A569" t="s">
        <v>16</v>
      </c>
      <c r="B569" t="s">
        <v>140</v>
      </c>
      <c r="C569" t="s">
        <v>222</v>
      </c>
      <c r="D569" s="110">
        <v>1585803.14</v>
      </c>
      <c r="E569" s="110">
        <v>1585852.14</v>
      </c>
      <c r="I569" s="110">
        <v>128.28</v>
      </c>
      <c r="J569" s="110">
        <v>440.28</v>
      </c>
    </row>
    <row r="570" spans="1:12" x14ac:dyDescent="0.2">
      <c r="A570" t="s">
        <v>16</v>
      </c>
      <c r="B570" t="s">
        <v>140</v>
      </c>
      <c r="C570" t="s">
        <v>223</v>
      </c>
      <c r="D570" s="110">
        <v>2663737.9</v>
      </c>
      <c r="I570" s="110">
        <v>287.8</v>
      </c>
    </row>
    <row r="571" spans="1:12" x14ac:dyDescent="0.2">
      <c r="A571" t="s">
        <v>16</v>
      </c>
      <c r="B571" t="s">
        <v>105</v>
      </c>
      <c r="C571" t="s">
        <v>220</v>
      </c>
      <c r="D571" s="110">
        <v>1094858.76</v>
      </c>
      <c r="E571" s="110">
        <v>1094858.76</v>
      </c>
      <c r="F571" s="110">
        <v>1094858.76</v>
      </c>
      <c r="G571" s="110">
        <v>1094303.76</v>
      </c>
      <c r="I571" s="110">
        <v>168623.52</v>
      </c>
      <c r="J571" s="110">
        <v>266799.67</v>
      </c>
      <c r="K571" s="110">
        <v>312655.52</v>
      </c>
      <c r="L571" s="110">
        <v>339853.7</v>
      </c>
    </row>
    <row r="572" spans="1:12" x14ac:dyDescent="0.2">
      <c r="A572" t="s">
        <v>16</v>
      </c>
      <c r="B572" t="s">
        <v>105</v>
      </c>
      <c r="C572" t="s">
        <v>221</v>
      </c>
      <c r="D572" s="110">
        <v>1194556.29</v>
      </c>
      <c r="E572" s="110">
        <v>1194556.29</v>
      </c>
      <c r="F572" s="110">
        <v>1191867.67</v>
      </c>
      <c r="I572" s="110">
        <v>187211.45</v>
      </c>
      <c r="J572" s="110">
        <v>288246.53999999998</v>
      </c>
      <c r="K572" s="110">
        <v>331202.31</v>
      </c>
    </row>
    <row r="573" spans="1:12" x14ac:dyDescent="0.2">
      <c r="A573" t="s">
        <v>16</v>
      </c>
      <c r="B573" t="s">
        <v>105</v>
      </c>
      <c r="C573" t="s">
        <v>222</v>
      </c>
      <c r="D573" s="110">
        <v>1487873.78</v>
      </c>
      <c r="E573" s="110">
        <v>1480186.78</v>
      </c>
      <c r="I573" s="110">
        <v>205570.33</v>
      </c>
      <c r="J573" s="110">
        <v>317874.71000000002</v>
      </c>
    </row>
    <row r="574" spans="1:12" x14ac:dyDescent="0.2">
      <c r="A574" t="s">
        <v>16</v>
      </c>
      <c r="B574" t="s">
        <v>105</v>
      </c>
      <c r="C574" t="s">
        <v>223</v>
      </c>
      <c r="D574" s="110">
        <v>1334453.24</v>
      </c>
      <c r="I574" s="110">
        <v>192759.81</v>
      </c>
    </row>
    <row r="575" spans="1:12" x14ac:dyDescent="0.2">
      <c r="A575" t="s">
        <v>16</v>
      </c>
      <c r="B575" t="s">
        <v>111</v>
      </c>
      <c r="C575" t="s">
        <v>220</v>
      </c>
      <c r="D575" s="110">
        <v>37915.5</v>
      </c>
      <c r="E575" s="110">
        <v>37915.5</v>
      </c>
      <c r="F575" s="110">
        <v>37915.5</v>
      </c>
      <c r="G575" s="110">
        <v>37866.5</v>
      </c>
      <c r="I575" s="110">
        <v>519.5</v>
      </c>
      <c r="J575" s="110">
        <v>1119.5</v>
      </c>
      <c r="K575" s="110">
        <v>1276.5</v>
      </c>
      <c r="L575" s="110">
        <v>1426.5</v>
      </c>
    </row>
    <row r="576" spans="1:12" x14ac:dyDescent="0.2">
      <c r="A576" t="s">
        <v>16</v>
      </c>
      <c r="B576" t="s">
        <v>111</v>
      </c>
      <c r="C576" t="s">
        <v>221</v>
      </c>
      <c r="D576" s="110">
        <v>39198</v>
      </c>
      <c r="E576" s="110">
        <v>39198</v>
      </c>
      <c r="F576" s="110">
        <v>38791</v>
      </c>
      <c r="I576" s="110">
        <v>1029</v>
      </c>
      <c r="J576" s="110">
        <v>1302</v>
      </c>
      <c r="K576" s="110">
        <v>2102</v>
      </c>
    </row>
    <row r="577" spans="1:12" x14ac:dyDescent="0.2">
      <c r="A577" t="s">
        <v>16</v>
      </c>
      <c r="B577" t="s">
        <v>111</v>
      </c>
      <c r="C577" t="s">
        <v>222</v>
      </c>
      <c r="D577" s="110">
        <v>39410.629999999997</v>
      </c>
      <c r="E577" s="110">
        <v>38439.629999999997</v>
      </c>
      <c r="I577" s="110">
        <v>384.63</v>
      </c>
      <c r="J577" s="110">
        <v>934.63</v>
      </c>
    </row>
    <row r="578" spans="1:12" x14ac:dyDescent="0.2">
      <c r="A578" t="s">
        <v>16</v>
      </c>
      <c r="B578" t="s">
        <v>111</v>
      </c>
      <c r="C578" t="s">
        <v>223</v>
      </c>
      <c r="D578" s="110">
        <v>35536</v>
      </c>
      <c r="I578" s="110">
        <v>624</v>
      </c>
    </row>
    <row r="579" spans="1:12" x14ac:dyDescent="0.2">
      <c r="A579" t="s">
        <v>16</v>
      </c>
      <c r="B579" t="s">
        <v>109</v>
      </c>
      <c r="C579" t="s">
        <v>220</v>
      </c>
      <c r="D579" s="110">
        <v>1663994.69</v>
      </c>
      <c r="E579" s="110">
        <v>1663994.69</v>
      </c>
      <c r="F579" s="110">
        <v>1663994.69</v>
      </c>
      <c r="G579" s="110">
        <v>1660086.94</v>
      </c>
      <c r="I579" s="110">
        <v>356269.06</v>
      </c>
      <c r="J579" s="110">
        <v>712098.82</v>
      </c>
      <c r="K579" s="110">
        <v>861690.07</v>
      </c>
      <c r="L579" s="110">
        <v>944247.12</v>
      </c>
    </row>
    <row r="580" spans="1:12" x14ac:dyDescent="0.2">
      <c r="A580" t="s">
        <v>16</v>
      </c>
      <c r="B580" t="s">
        <v>109</v>
      </c>
      <c r="C580" t="s">
        <v>221</v>
      </c>
      <c r="D580" s="110">
        <v>1858482.56</v>
      </c>
      <c r="E580" s="110">
        <v>1858482.56</v>
      </c>
      <c r="F580" s="110">
        <v>1854925.31</v>
      </c>
      <c r="I580" s="110">
        <v>443418.57</v>
      </c>
      <c r="J580" s="110">
        <v>776536.45</v>
      </c>
      <c r="K580" s="110">
        <v>919283.17</v>
      </c>
    </row>
    <row r="581" spans="1:12" x14ac:dyDescent="0.2">
      <c r="A581" t="s">
        <v>16</v>
      </c>
      <c r="B581" t="s">
        <v>109</v>
      </c>
      <c r="C581" t="s">
        <v>222</v>
      </c>
      <c r="D581" s="110">
        <v>2210277.21</v>
      </c>
      <c r="E581" s="110">
        <v>2204658.21</v>
      </c>
      <c r="I581" s="110">
        <v>503771.02</v>
      </c>
      <c r="J581" s="110">
        <v>850031.34</v>
      </c>
    </row>
    <row r="582" spans="1:12" x14ac:dyDescent="0.2">
      <c r="A582" t="s">
        <v>16</v>
      </c>
      <c r="B582" t="s">
        <v>109</v>
      </c>
      <c r="C582" t="s">
        <v>223</v>
      </c>
      <c r="D582" s="110">
        <v>1794387.29</v>
      </c>
      <c r="I582" s="110">
        <v>397213.47</v>
      </c>
    </row>
    <row r="583" spans="1:12" x14ac:dyDescent="0.2">
      <c r="A583" t="s">
        <v>16</v>
      </c>
      <c r="B583" t="s">
        <v>106</v>
      </c>
      <c r="C583" t="s">
        <v>220</v>
      </c>
      <c r="D583" s="110">
        <v>1590578.68</v>
      </c>
      <c r="E583" s="110">
        <v>1590578.68</v>
      </c>
      <c r="F583" s="110">
        <v>1590578.68</v>
      </c>
      <c r="G583" s="110">
        <v>1588890.68</v>
      </c>
      <c r="I583" s="110">
        <v>1582411.48</v>
      </c>
      <c r="J583" s="110">
        <v>1584527.48</v>
      </c>
      <c r="K583" s="110">
        <v>1580154.48</v>
      </c>
      <c r="L583" s="110">
        <v>1577405.18</v>
      </c>
    </row>
    <row r="584" spans="1:12" x14ac:dyDescent="0.2">
      <c r="A584" t="s">
        <v>16</v>
      </c>
      <c r="B584" t="s">
        <v>106</v>
      </c>
      <c r="C584" t="s">
        <v>221</v>
      </c>
      <c r="D584" s="110">
        <v>1724065.25</v>
      </c>
      <c r="E584" s="110">
        <v>1724065.25</v>
      </c>
      <c r="F584" s="110">
        <v>1720270.25</v>
      </c>
      <c r="I584" s="110">
        <v>1694997.11</v>
      </c>
      <c r="J584" s="110">
        <v>1717614.25</v>
      </c>
      <c r="K584" s="110">
        <v>1714477.25</v>
      </c>
    </row>
    <row r="585" spans="1:12" x14ac:dyDescent="0.2">
      <c r="A585" t="s">
        <v>16</v>
      </c>
      <c r="B585" t="s">
        <v>106</v>
      </c>
      <c r="C585" t="s">
        <v>222</v>
      </c>
      <c r="D585" s="110">
        <v>1656890.19</v>
      </c>
      <c r="E585" s="110">
        <v>1651679.19</v>
      </c>
      <c r="I585" s="110">
        <v>1636439.24</v>
      </c>
      <c r="J585" s="110">
        <v>1635004.2</v>
      </c>
    </row>
    <row r="586" spans="1:12" x14ac:dyDescent="0.2">
      <c r="A586" t="s">
        <v>16</v>
      </c>
      <c r="B586" t="s">
        <v>106</v>
      </c>
      <c r="C586" t="s">
        <v>223</v>
      </c>
      <c r="D586" s="110">
        <v>1579794.87</v>
      </c>
      <c r="I586" s="110">
        <v>1566828.41</v>
      </c>
    </row>
    <row r="587" spans="1:12" x14ac:dyDescent="0.2">
      <c r="A587" t="s">
        <v>16</v>
      </c>
      <c r="B587" t="s">
        <v>107</v>
      </c>
      <c r="C587" t="s">
        <v>220</v>
      </c>
      <c r="D587" s="110">
        <v>1837941.36</v>
      </c>
      <c r="E587" s="110">
        <v>1837941.36</v>
      </c>
      <c r="F587" s="110">
        <v>1837941.36</v>
      </c>
      <c r="G587" s="110">
        <v>1837486.36</v>
      </c>
      <c r="I587" s="110">
        <v>1840448.08</v>
      </c>
      <c r="J587" s="110">
        <v>1838421.58</v>
      </c>
      <c r="K587" s="110">
        <v>1836019.08</v>
      </c>
      <c r="L587" s="110">
        <v>1835025.08</v>
      </c>
    </row>
    <row r="588" spans="1:12" x14ac:dyDescent="0.2">
      <c r="A588" t="s">
        <v>16</v>
      </c>
      <c r="B588" t="s">
        <v>107</v>
      </c>
      <c r="C588" t="s">
        <v>221</v>
      </c>
      <c r="D588" s="110">
        <v>1906839.58</v>
      </c>
      <c r="E588" s="110">
        <v>1906839.58</v>
      </c>
      <c r="F588" s="110">
        <v>1905817.58</v>
      </c>
      <c r="I588" s="110">
        <v>1909906.16</v>
      </c>
      <c r="J588" s="110">
        <v>1905697.66</v>
      </c>
      <c r="K588" s="110">
        <v>1904563.66</v>
      </c>
    </row>
    <row r="589" spans="1:12" x14ac:dyDescent="0.2">
      <c r="A589" t="s">
        <v>16</v>
      </c>
      <c r="B589" t="s">
        <v>107</v>
      </c>
      <c r="C589" t="s">
        <v>222</v>
      </c>
      <c r="D589" s="110">
        <v>1875616.55</v>
      </c>
      <c r="E589" s="110">
        <v>1873502.55</v>
      </c>
      <c r="I589" s="110">
        <v>1874354.33</v>
      </c>
      <c r="J589" s="110">
        <v>1872304.33</v>
      </c>
    </row>
    <row r="590" spans="1:12" x14ac:dyDescent="0.2">
      <c r="A590" t="s">
        <v>16</v>
      </c>
      <c r="B590" t="s">
        <v>107</v>
      </c>
      <c r="C590" t="s">
        <v>223</v>
      </c>
      <c r="D590" s="110">
        <v>1942939.39</v>
      </c>
      <c r="I590" s="110">
        <v>1938306.96</v>
      </c>
    </row>
    <row r="591" spans="1:12" x14ac:dyDescent="0.2">
      <c r="A591" t="s">
        <v>16</v>
      </c>
      <c r="B591" t="s">
        <v>108</v>
      </c>
      <c r="C591" t="s">
        <v>220</v>
      </c>
      <c r="D591" s="110">
        <v>234535.09</v>
      </c>
      <c r="E591" s="110">
        <v>234535.09</v>
      </c>
      <c r="F591" s="110">
        <v>234535.09</v>
      </c>
      <c r="G591" s="110">
        <v>234535.09</v>
      </c>
      <c r="I591" s="110">
        <v>232153.09</v>
      </c>
      <c r="J591" s="110">
        <v>232257.65</v>
      </c>
      <c r="K591" s="110">
        <v>232719.65</v>
      </c>
      <c r="L591" s="110">
        <v>232719.65</v>
      </c>
    </row>
    <row r="592" spans="1:12" x14ac:dyDescent="0.2">
      <c r="A592" t="s">
        <v>16</v>
      </c>
      <c r="B592" t="s">
        <v>108</v>
      </c>
      <c r="C592" t="s">
        <v>221</v>
      </c>
      <c r="D592" s="110">
        <v>249810.13</v>
      </c>
      <c r="E592" s="110">
        <v>249810.13</v>
      </c>
      <c r="F592" s="110">
        <v>249810.13</v>
      </c>
      <c r="I592" s="110">
        <v>245718.13</v>
      </c>
      <c r="J592" s="110">
        <v>248028.13</v>
      </c>
      <c r="K592" s="110">
        <v>248490.13</v>
      </c>
    </row>
    <row r="593" spans="1:12" x14ac:dyDescent="0.2">
      <c r="A593" t="s">
        <v>16</v>
      </c>
      <c r="B593" t="s">
        <v>108</v>
      </c>
      <c r="C593" t="s">
        <v>222</v>
      </c>
      <c r="D593" s="110">
        <v>239401.5</v>
      </c>
      <c r="E593" s="110">
        <v>239291.5</v>
      </c>
      <c r="I593" s="110">
        <v>237589.5</v>
      </c>
      <c r="J593" s="110">
        <v>238051.5</v>
      </c>
    </row>
    <row r="594" spans="1:12" x14ac:dyDescent="0.2">
      <c r="A594" t="s">
        <v>16</v>
      </c>
      <c r="B594" t="s">
        <v>108</v>
      </c>
      <c r="C594" t="s">
        <v>223</v>
      </c>
      <c r="D594" s="110">
        <v>249632.23</v>
      </c>
      <c r="I594" s="110">
        <v>247030.23</v>
      </c>
    </row>
    <row r="595" spans="1:12" x14ac:dyDescent="0.2">
      <c r="A595" t="s">
        <v>16</v>
      </c>
      <c r="B595" t="s">
        <v>70</v>
      </c>
      <c r="C595" t="s">
        <v>220</v>
      </c>
      <c r="D595" s="110">
        <v>515888.5</v>
      </c>
      <c r="E595" s="110">
        <v>515888.5</v>
      </c>
      <c r="F595" s="110">
        <v>515888.5</v>
      </c>
      <c r="G595" s="110">
        <v>515888.5</v>
      </c>
      <c r="I595" s="110">
        <v>506930.22</v>
      </c>
      <c r="J595" s="110">
        <v>507969.73</v>
      </c>
      <c r="K595" s="110">
        <v>507969.73</v>
      </c>
      <c r="L595" s="110">
        <v>507969.73</v>
      </c>
    </row>
    <row r="596" spans="1:12" x14ac:dyDescent="0.2">
      <c r="A596" t="s">
        <v>16</v>
      </c>
      <c r="B596" t="s">
        <v>70</v>
      </c>
      <c r="C596" t="s">
        <v>221</v>
      </c>
      <c r="D596" s="110">
        <v>564743.5</v>
      </c>
      <c r="E596" s="110">
        <v>564743.5</v>
      </c>
      <c r="F596" s="110">
        <v>564743.5</v>
      </c>
      <c r="I596" s="110">
        <v>554119</v>
      </c>
      <c r="J596" s="110">
        <v>554274.5</v>
      </c>
      <c r="K596" s="110">
        <v>554274.5</v>
      </c>
    </row>
    <row r="597" spans="1:12" x14ac:dyDescent="0.2">
      <c r="A597" t="s">
        <v>16</v>
      </c>
      <c r="B597" t="s">
        <v>70</v>
      </c>
      <c r="C597" t="s">
        <v>222</v>
      </c>
      <c r="D597" s="110">
        <v>582125.11</v>
      </c>
      <c r="E597" s="110">
        <v>582584.11</v>
      </c>
      <c r="I597" s="110">
        <v>564431.84</v>
      </c>
      <c r="J597" s="110">
        <v>564850.84</v>
      </c>
    </row>
    <row r="598" spans="1:12" x14ac:dyDescent="0.2">
      <c r="A598" t="s">
        <v>16</v>
      </c>
      <c r="B598" t="s">
        <v>70</v>
      </c>
      <c r="C598" t="s">
        <v>223</v>
      </c>
      <c r="D598" s="110">
        <v>540519</v>
      </c>
      <c r="I598" s="110">
        <v>5249990</v>
      </c>
    </row>
    <row r="599" spans="1:12" x14ac:dyDescent="0.2">
      <c r="A599" t="s">
        <v>16</v>
      </c>
      <c r="B599" t="s">
        <v>110</v>
      </c>
      <c r="C599" t="s">
        <v>220</v>
      </c>
      <c r="D599" s="110">
        <v>3300270.49</v>
      </c>
      <c r="E599" s="110">
        <v>3300270.49</v>
      </c>
      <c r="F599" s="110">
        <v>3300270.49</v>
      </c>
      <c r="G599" s="110">
        <v>3301440.49</v>
      </c>
      <c r="I599" s="110">
        <v>1613022.33</v>
      </c>
      <c r="J599" s="110">
        <v>2646656.81</v>
      </c>
      <c r="K599" s="110">
        <v>2822530.52</v>
      </c>
      <c r="L599" s="110">
        <v>2875144.11</v>
      </c>
    </row>
    <row r="600" spans="1:12" x14ac:dyDescent="0.2">
      <c r="A600" t="s">
        <v>16</v>
      </c>
      <c r="B600" t="s">
        <v>110</v>
      </c>
      <c r="C600" t="s">
        <v>221</v>
      </c>
      <c r="D600" s="110">
        <v>4156727.71</v>
      </c>
      <c r="E600" s="110">
        <v>4156727.71</v>
      </c>
      <c r="F600" s="110">
        <v>4163068.82</v>
      </c>
      <c r="I600" s="110">
        <v>2095739.52</v>
      </c>
      <c r="J600" s="110">
        <v>3343551.9</v>
      </c>
      <c r="K600" s="110">
        <v>3538418.71</v>
      </c>
    </row>
    <row r="601" spans="1:12" x14ac:dyDescent="0.2">
      <c r="A601" t="s">
        <v>16</v>
      </c>
      <c r="B601" t="s">
        <v>110</v>
      </c>
      <c r="C601" t="s">
        <v>222</v>
      </c>
      <c r="D601" s="110">
        <v>4091810.87</v>
      </c>
      <c r="E601" s="110">
        <v>4168540.48</v>
      </c>
      <c r="I601" s="110">
        <v>2021421.37</v>
      </c>
      <c r="J601" s="110">
        <v>3213982.04</v>
      </c>
    </row>
    <row r="602" spans="1:12" x14ac:dyDescent="0.2">
      <c r="A602" t="s">
        <v>16</v>
      </c>
      <c r="B602" t="s">
        <v>110</v>
      </c>
      <c r="C602" t="s">
        <v>223</v>
      </c>
      <c r="D602" s="110">
        <v>3585097.58</v>
      </c>
      <c r="I602" s="110">
        <v>1713150.4</v>
      </c>
    </row>
    <row r="603" spans="1:12" x14ac:dyDescent="0.2">
      <c r="A603" t="s">
        <v>17</v>
      </c>
      <c r="B603" t="s">
        <v>104</v>
      </c>
      <c r="C603" t="s">
        <v>220</v>
      </c>
      <c r="D603" s="110">
        <v>9123299.1300000008</v>
      </c>
      <c r="E603" s="110">
        <v>9069906.1300000008</v>
      </c>
      <c r="F603" s="110">
        <v>9068551.6300000008</v>
      </c>
      <c r="G603" s="110">
        <v>9068836.6300000008</v>
      </c>
      <c r="I603" s="110">
        <v>42217.08</v>
      </c>
      <c r="J603" s="110">
        <v>70169.58</v>
      </c>
      <c r="K603" s="110">
        <v>92352.52</v>
      </c>
      <c r="L603" s="110">
        <v>118974.04</v>
      </c>
    </row>
    <row r="604" spans="1:12" x14ac:dyDescent="0.2">
      <c r="A604" t="s">
        <v>17</v>
      </c>
      <c r="B604" t="s">
        <v>104</v>
      </c>
      <c r="C604" t="s">
        <v>221</v>
      </c>
      <c r="D604" s="110">
        <v>2683169.59</v>
      </c>
      <c r="E604" s="110">
        <v>2677251.09</v>
      </c>
      <c r="F604" s="110">
        <v>2672828.9700000002</v>
      </c>
      <c r="I604" s="110">
        <v>70162.509999999995</v>
      </c>
      <c r="J604" s="110">
        <v>96729.05</v>
      </c>
      <c r="K604" s="110">
        <v>115050.04</v>
      </c>
    </row>
    <row r="605" spans="1:12" x14ac:dyDescent="0.2">
      <c r="A605" t="s">
        <v>17</v>
      </c>
      <c r="B605" t="s">
        <v>104</v>
      </c>
      <c r="C605" t="s">
        <v>222</v>
      </c>
      <c r="D605" s="110">
        <v>2475194.9</v>
      </c>
      <c r="E605" s="110">
        <v>2472567.4</v>
      </c>
      <c r="I605" s="110">
        <v>55416.21</v>
      </c>
      <c r="J605" s="110">
        <v>76848.75</v>
      </c>
    </row>
    <row r="606" spans="1:12" x14ac:dyDescent="0.2">
      <c r="A606" t="s">
        <v>17</v>
      </c>
      <c r="B606" t="s">
        <v>104</v>
      </c>
      <c r="C606" t="s">
        <v>223</v>
      </c>
      <c r="D606" s="110">
        <v>13268099.800000001</v>
      </c>
      <c r="I606" s="110">
        <v>59945.69</v>
      </c>
    </row>
    <row r="607" spans="1:12" x14ac:dyDescent="0.2">
      <c r="A607" t="s">
        <v>17</v>
      </c>
      <c r="B607" t="s">
        <v>140</v>
      </c>
      <c r="C607" t="s">
        <v>220</v>
      </c>
      <c r="D607" s="110">
        <v>1853252</v>
      </c>
      <c r="E607" s="110">
        <v>1803252</v>
      </c>
      <c r="F607" s="110">
        <v>1803252</v>
      </c>
      <c r="G607" s="110">
        <v>1803252</v>
      </c>
      <c r="I607" s="110">
        <v>337</v>
      </c>
      <c r="J607" s="110">
        <v>1543</v>
      </c>
      <c r="K607" s="110">
        <v>1543</v>
      </c>
      <c r="L607" s="110">
        <v>1613</v>
      </c>
    </row>
    <row r="608" spans="1:12" x14ac:dyDescent="0.2">
      <c r="A608" t="s">
        <v>17</v>
      </c>
      <c r="B608" t="s">
        <v>140</v>
      </c>
      <c r="C608" t="s">
        <v>221</v>
      </c>
      <c r="D608" s="110">
        <v>1499018</v>
      </c>
      <c r="E608" s="110">
        <v>1498918</v>
      </c>
      <c r="F608" s="110">
        <v>1498868</v>
      </c>
      <c r="I608" s="110">
        <v>3047</v>
      </c>
      <c r="J608" s="110">
        <v>3054</v>
      </c>
      <c r="K608" s="110">
        <v>3054</v>
      </c>
    </row>
    <row r="609" spans="1:12" x14ac:dyDescent="0.2">
      <c r="A609" t="s">
        <v>17</v>
      </c>
      <c r="B609" t="s">
        <v>140</v>
      </c>
      <c r="C609" t="s">
        <v>222</v>
      </c>
      <c r="D609" s="110">
        <v>1430635.15</v>
      </c>
      <c r="E609" s="110">
        <v>1430535.15</v>
      </c>
      <c r="I609" s="110">
        <v>794.15</v>
      </c>
      <c r="J609" s="110">
        <v>2520.9899999999998</v>
      </c>
    </row>
    <row r="610" spans="1:12" x14ac:dyDescent="0.2">
      <c r="A610" t="s">
        <v>17</v>
      </c>
      <c r="B610" t="s">
        <v>140</v>
      </c>
      <c r="C610" t="s">
        <v>223</v>
      </c>
      <c r="D610" s="110">
        <v>2961521</v>
      </c>
      <c r="I610" s="110">
        <v>16220</v>
      </c>
    </row>
    <row r="611" spans="1:12" x14ac:dyDescent="0.2">
      <c r="A611" t="s">
        <v>17</v>
      </c>
      <c r="B611" t="s">
        <v>105</v>
      </c>
      <c r="C611" t="s">
        <v>220</v>
      </c>
      <c r="D611" s="110">
        <v>746111.9</v>
      </c>
      <c r="E611" s="110">
        <v>742715.65</v>
      </c>
      <c r="F611" s="110">
        <v>739513.65</v>
      </c>
      <c r="G611" s="110">
        <v>735350.65</v>
      </c>
      <c r="I611" s="110">
        <v>144058.68</v>
      </c>
      <c r="J611" s="110">
        <v>207895.93</v>
      </c>
      <c r="K611" s="110">
        <v>252362.14</v>
      </c>
      <c r="L611" s="110">
        <v>289789.27</v>
      </c>
    </row>
    <row r="612" spans="1:12" x14ac:dyDescent="0.2">
      <c r="A612" t="s">
        <v>17</v>
      </c>
      <c r="B612" t="s">
        <v>105</v>
      </c>
      <c r="C612" t="s">
        <v>221</v>
      </c>
      <c r="D612" s="110">
        <v>749000.9</v>
      </c>
      <c r="E612" s="110">
        <v>745952.4</v>
      </c>
      <c r="F612" s="110">
        <v>742537.4</v>
      </c>
      <c r="I612" s="110">
        <v>169852.47</v>
      </c>
      <c r="J612" s="110">
        <v>227486.78</v>
      </c>
      <c r="K612" s="110">
        <v>263349.24</v>
      </c>
    </row>
    <row r="613" spans="1:12" x14ac:dyDescent="0.2">
      <c r="A613" t="s">
        <v>17</v>
      </c>
      <c r="B613" t="s">
        <v>105</v>
      </c>
      <c r="C613" t="s">
        <v>222</v>
      </c>
      <c r="D613" s="110">
        <v>723246.3</v>
      </c>
      <c r="E613" s="110">
        <v>717397.3</v>
      </c>
      <c r="I613" s="110">
        <v>158302.37</v>
      </c>
      <c r="J613" s="110">
        <v>212957.67</v>
      </c>
    </row>
    <row r="614" spans="1:12" x14ac:dyDescent="0.2">
      <c r="A614" t="s">
        <v>17</v>
      </c>
      <c r="B614" t="s">
        <v>105</v>
      </c>
      <c r="C614" t="s">
        <v>223</v>
      </c>
      <c r="D614" s="110">
        <v>709311.17</v>
      </c>
      <c r="I614" s="110">
        <v>147323.10999999999</v>
      </c>
    </row>
    <row r="615" spans="1:12" x14ac:dyDescent="0.2">
      <c r="A615" t="s">
        <v>17</v>
      </c>
      <c r="B615" t="s">
        <v>111</v>
      </c>
      <c r="C615" t="s">
        <v>220</v>
      </c>
      <c r="D615" s="110">
        <v>123339.25</v>
      </c>
      <c r="E615" s="110">
        <v>120865.26</v>
      </c>
      <c r="F615" s="110">
        <v>115933.08</v>
      </c>
      <c r="G615" s="110">
        <v>109523.46</v>
      </c>
      <c r="I615" s="110">
        <v>3292.5</v>
      </c>
      <c r="J615" s="110">
        <v>5201.3999999999996</v>
      </c>
      <c r="K615" s="110">
        <v>5689</v>
      </c>
      <c r="L615" s="110">
        <v>6976.07</v>
      </c>
    </row>
    <row r="616" spans="1:12" x14ac:dyDescent="0.2">
      <c r="A616" t="s">
        <v>17</v>
      </c>
      <c r="B616" t="s">
        <v>111</v>
      </c>
      <c r="C616" t="s">
        <v>221</v>
      </c>
      <c r="D616" s="110">
        <v>93499.1</v>
      </c>
      <c r="E616" s="110">
        <v>89848.04</v>
      </c>
      <c r="F616" s="110">
        <v>81578.02</v>
      </c>
      <c r="I616" s="110">
        <v>4112.8999999999996</v>
      </c>
      <c r="J616" s="110">
        <v>5380.4</v>
      </c>
      <c r="K616" s="110">
        <v>6658.48</v>
      </c>
    </row>
    <row r="617" spans="1:12" x14ac:dyDescent="0.2">
      <c r="A617" t="s">
        <v>17</v>
      </c>
      <c r="B617" t="s">
        <v>111</v>
      </c>
      <c r="C617" t="s">
        <v>222</v>
      </c>
      <c r="D617" s="110">
        <v>98097.57</v>
      </c>
      <c r="E617" s="110">
        <v>94879.33</v>
      </c>
      <c r="I617" s="110">
        <v>4550.5</v>
      </c>
      <c r="J617" s="110">
        <v>5556.5</v>
      </c>
    </row>
    <row r="618" spans="1:12" x14ac:dyDescent="0.2">
      <c r="A618" t="s">
        <v>17</v>
      </c>
      <c r="B618" t="s">
        <v>111</v>
      </c>
      <c r="C618" t="s">
        <v>223</v>
      </c>
      <c r="D618" s="110">
        <v>82971.649999999994</v>
      </c>
      <c r="I618" s="110">
        <v>3647.65</v>
      </c>
    </row>
    <row r="619" spans="1:12" x14ac:dyDescent="0.2">
      <c r="A619" t="s">
        <v>17</v>
      </c>
      <c r="B619" t="s">
        <v>109</v>
      </c>
      <c r="C619" t="s">
        <v>220</v>
      </c>
      <c r="D619" s="110">
        <v>351240.3</v>
      </c>
      <c r="E619" s="110">
        <v>343889.8</v>
      </c>
      <c r="F619" s="110">
        <v>342334.8</v>
      </c>
      <c r="G619" s="110">
        <v>342055.05</v>
      </c>
      <c r="I619" s="110">
        <v>67145.8</v>
      </c>
      <c r="J619" s="110">
        <v>116395.79</v>
      </c>
      <c r="K619" s="110">
        <v>136277.62</v>
      </c>
      <c r="L619" s="110">
        <v>149122.04999999999</v>
      </c>
    </row>
    <row r="620" spans="1:12" x14ac:dyDescent="0.2">
      <c r="A620" t="s">
        <v>17</v>
      </c>
      <c r="B620" t="s">
        <v>109</v>
      </c>
      <c r="C620" t="s">
        <v>221</v>
      </c>
      <c r="D620" s="110">
        <v>373793.75</v>
      </c>
      <c r="E620" s="110">
        <v>371084</v>
      </c>
      <c r="F620" s="110">
        <v>369893</v>
      </c>
      <c r="I620" s="110">
        <v>99919.5</v>
      </c>
      <c r="J620" s="110">
        <v>141221.75</v>
      </c>
      <c r="K620" s="110">
        <v>160860.6</v>
      </c>
    </row>
    <row r="621" spans="1:12" x14ac:dyDescent="0.2">
      <c r="A621" t="s">
        <v>17</v>
      </c>
      <c r="B621" t="s">
        <v>109</v>
      </c>
      <c r="C621" t="s">
        <v>222</v>
      </c>
      <c r="D621" s="110">
        <v>328409.34999999998</v>
      </c>
      <c r="E621" s="110">
        <v>322092.34999999998</v>
      </c>
      <c r="I621" s="110">
        <v>74907.600000000006</v>
      </c>
      <c r="J621" s="110">
        <v>114563.25</v>
      </c>
    </row>
    <row r="622" spans="1:12" x14ac:dyDescent="0.2">
      <c r="A622" t="s">
        <v>17</v>
      </c>
      <c r="B622" t="s">
        <v>109</v>
      </c>
      <c r="C622" t="s">
        <v>223</v>
      </c>
      <c r="D622" s="110">
        <v>283728</v>
      </c>
      <c r="I622" s="110">
        <v>63050</v>
      </c>
    </row>
    <row r="623" spans="1:12" x14ac:dyDescent="0.2">
      <c r="A623" t="s">
        <v>17</v>
      </c>
      <c r="B623" t="s">
        <v>106</v>
      </c>
      <c r="C623" t="s">
        <v>220</v>
      </c>
      <c r="D623" s="110">
        <v>413588.81</v>
      </c>
      <c r="E623" s="110">
        <v>413096.31</v>
      </c>
      <c r="F623" s="110">
        <v>412296.31</v>
      </c>
      <c r="G623" s="110">
        <v>411896.31</v>
      </c>
      <c r="I623" s="110">
        <v>398493.31</v>
      </c>
      <c r="J623" s="110">
        <v>402508.81</v>
      </c>
      <c r="K623" s="110">
        <v>402881.31</v>
      </c>
      <c r="L623" s="110">
        <v>402586.31</v>
      </c>
    </row>
    <row r="624" spans="1:12" x14ac:dyDescent="0.2">
      <c r="A624" t="s">
        <v>17</v>
      </c>
      <c r="B624" t="s">
        <v>106</v>
      </c>
      <c r="C624" t="s">
        <v>221</v>
      </c>
      <c r="D624" s="110">
        <v>384722.01</v>
      </c>
      <c r="E624" s="110">
        <v>383947.01</v>
      </c>
      <c r="F624" s="110">
        <v>383177.01</v>
      </c>
      <c r="I624" s="110">
        <v>373174.04</v>
      </c>
      <c r="J624" s="110">
        <v>377043.91</v>
      </c>
      <c r="K624" s="110">
        <v>376679.38</v>
      </c>
    </row>
    <row r="625" spans="1:12" x14ac:dyDescent="0.2">
      <c r="A625" t="s">
        <v>17</v>
      </c>
      <c r="B625" t="s">
        <v>106</v>
      </c>
      <c r="C625" t="s">
        <v>222</v>
      </c>
      <c r="D625" s="110">
        <v>378609.59</v>
      </c>
      <c r="E625" s="110">
        <v>378910.09</v>
      </c>
      <c r="I625" s="110">
        <v>375450.43</v>
      </c>
      <c r="J625" s="110">
        <v>376938.09</v>
      </c>
    </row>
    <row r="626" spans="1:12" x14ac:dyDescent="0.2">
      <c r="A626" t="s">
        <v>17</v>
      </c>
      <c r="B626" t="s">
        <v>106</v>
      </c>
      <c r="C626" t="s">
        <v>223</v>
      </c>
      <c r="D626" s="110">
        <v>350991.2</v>
      </c>
      <c r="I626" s="110">
        <v>341953.2</v>
      </c>
    </row>
    <row r="627" spans="1:12" x14ac:dyDescent="0.2">
      <c r="A627" t="s">
        <v>17</v>
      </c>
      <c r="B627" t="s">
        <v>107</v>
      </c>
      <c r="C627" t="s">
        <v>220</v>
      </c>
      <c r="D627" s="110">
        <v>352461.1</v>
      </c>
      <c r="E627" s="110">
        <v>352461.1</v>
      </c>
      <c r="F627" s="110">
        <v>352461.1</v>
      </c>
      <c r="G627" s="110">
        <v>352461.1</v>
      </c>
      <c r="I627" s="110">
        <v>351007.8</v>
      </c>
      <c r="J627" s="110">
        <v>351795.8</v>
      </c>
      <c r="K627" s="110">
        <v>351795.8</v>
      </c>
      <c r="L627" s="110">
        <v>351796.8</v>
      </c>
    </row>
    <row r="628" spans="1:12" x14ac:dyDescent="0.2">
      <c r="A628" t="s">
        <v>17</v>
      </c>
      <c r="B628" t="s">
        <v>107</v>
      </c>
      <c r="C628" t="s">
        <v>221</v>
      </c>
      <c r="D628" s="110">
        <v>339934.63</v>
      </c>
      <c r="E628" s="110">
        <v>339934.63</v>
      </c>
      <c r="F628" s="110">
        <v>339934.63</v>
      </c>
      <c r="I628" s="110">
        <v>337814.47</v>
      </c>
      <c r="J628" s="110">
        <v>338544.47</v>
      </c>
      <c r="K628" s="110">
        <v>338544.47</v>
      </c>
    </row>
    <row r="629" spans="1:12" x14ac:dyDescent="0.2">
      <c r="A629" t="s">
        <v>17</v>
      </c>
      <c r="B629" t="s">
        <v>107</v>
      </c>
      <c r="C629" t="s">
        <v>222</v>
      </c>
      <c r="D629" s="110">
        <v>350534.46</v>
      </c>
      <c r="E629" s="110">
        <v>350531.46</v>
      </c>
      <c r="I629" s="110">
        <v>349185.26</v>
      </c>
      <c r="J629" s="110">
        <v>349639.26</v>
      </c>
    </row>
    <row r="630" spans="1:12" x14ac:dyDescent="0.2">
      <c r="A630" t="s">
        <v>17</v>
      </c>
      <c r="B630" t="s">
        <v>107</v>
      </c>
      <c r="C630" t="s">
        <v>223</v>
      </c>
      <c r="D630" s="110">
        <v>449900.97</v>
      </c>
      <c r="I630" s="110">
        <v>447917.66</v>
      </c>
    </row>
    <row r="631" spans="1:12" x14ac:dyDescent="0.2">
      <c r="A631" t="s">
        <v>17</v>
      </c>
      <c r="B631" t="s">
        <v>108</v>
      </c>
      <c r="C631" t="s">
        <v>220</v>
      </c>
      <c r="D631" s="110">
        <v>97666.01</v>
      </c>
      <c r="E631" s="110">
        <v>97526.01</v>
      </c>
      <c r="F631" s="110">
        <v>97213.01</v>
      </c>
      <c r="G631" s="110">
        <v>96437.01</v>
      </c>
      <c r="I631" s="110">
        <v>95699.5</v>
      </c>
      <c r="J631" s="110">
        <v>96443.01</v>
      </c>
      <c r="K631" s="110">
        <v>96773.51</v>
      </c>
      <c r="L631" s="110">
        <v>96189.51</v>
      </c>
    </row>
    <row r="632" spans="1:12" x14ac:dyDescent="0.2">
      <c r="A632" t="s">
        <v>17</v>
      </c>
      <c r="B632" t="s">
        <v>108</v>
      </c>
      <c r="C632" t="s">
        <v>221</v>
      </c>
      <c r="D632" s="110">
        <v>121588.44</v>
      </c>
      <c r="E632" s="110">
        <v>121357.44</v>
      </c>
      <c r="F632" s="110">
        <v>121004.44</v>
      </c>
      <c r="I632" s="110">
        <v>119493.17</v>
      </c>
      <c r="J632" s="110">
        <v>121218.67</v>
      </c>
      <c r="K632" s="110">
        <v>120873.67</v>
      </c>
    </row>
    <row r="633" spans="1:12" x14ac:dyDescent="0.2">
      <c r="A633" t="s">
        <v>17</v>
      </c>
      <c r="B633" t="s">
        <v>108</v>
      </c>
      <c r="C633" t="s">
        <v>222</v>
      </c>
      <c r="D633" s="110">
        <v>113486.1</v>
      </c>
      <c r="E633" s="110">
        <v>113486.1</v>
      </c>
      <c r="I633" s="110">
        <v>112636.6</v>
      </c>
      <c r="J633" s="110">
        <v>113235.1</v>
      </c>
    </row>
    <row r="634" spans="1:12" x14ac:dyDescent="0.2">
      <c r="A634" t="s">
        <v>17</v>
      </c>
      <c r="B634" t="s">
        <v>108</v>
      </c>
      <c r="C634" t="s">
        <v>223</v>
      </c>
      <c r="D634" s="110">
        <v>114327.3</v>
      </c>
      <c r="I634" s="110">
        <v>113198.3</v>
      </c>
    </row>
    <row r="635" spans="1:12" x14ac:dyDescent="0.2">
      <c r="A635" t="s">
        <v>17</v>
      </c>
      <c r="B635" t="s">
        <v>70</v>
      </c>
      <c r="C635" t="s">
        <v>220</v>
      </c>
      <c r="D635" s="110">
        <v>153551.65</v>
      </c>
      <c r="E635" s="110">
        <v>152731.65</v>
      </c>
      <c r="F635" s="110">
        <v>152334.15</v>
      </c>
      <c r="G635" s="110">
        <v>152334.15</v>
      </c>
      <c r="I635" s="110">
        <v>146398.54999999999</v>
      </c>
      <c r="J635" s="110">
        <v>148421.15</v>
      </c>
      <c r="K635" s="110">
        <v>148442.15</v>
      </c>
      <c r="L635" s="110">
        <v>148443.65</v>
      </c>
    </row>
    <row r="636" spans="1:12" x14ac:dyDescent="0.2">
      <c r="A636" t="s">
        <v>17</v>
      </c>
      <c r="B636" t="s">
        <v>70</v>
      </c>
      <c r="C636" t="s">
        <v>221</v>
      </c>
      <c r="D636" s="110">
        <v>191263.21</v>
      </c>
      <c r="E636" s="110">
        <v>190946.56</v>
      </c>
      <c r="F636" s="110">
        <v>190586.56</v>
      </c>
      <c r="I636" s="110">
        <v>178987.91</v>
      </c>
      <c r="J636" s="110">
        <v>184580.66</v>
      </c>
      <c r="K636" s="110">
        <v>184547.96</v>
      </c>
    </row>
    <row r="637" spans="1:12" x14ac:dyDescent="0.2">
      <c r="A637" t="s">
        <v>17</v>
      </c>
      <c r="B637" t="s">
        <v>70</v>
      </c>
      <c r="C637" t="s">
        <v>222</v>
      </c>
      <c r="D637" s="110">
        <v>182243.66</v>
      </c>
      <c r="E637" s="110">
        <v>180423.66</v>
      </c>
      <c r="I637" s="110">
        <v>172957.85</v>
      </c>
      <c r="J637" s="110">
        <v>175644.3</v>
      </c>
    </row>
    <row r="638" spans="1:12" x14ac:dyDescent="0.2">
      <c r="A638" t="s">
        <v>17</v>
      </c>
      <c r="B638" t="s">
        <v>70</v>
      </c>
      <c r="C638" t="s">
        <v>223</v>
      </c>
      <c r="D638" s="110">
        <v>177354.47</v>
      </c>
      <c r="I638" s="110">
        <v>165831.17000000001</v>
      </c>
    </row>
    <row r="639" spans="1:12" x14ac:dyDescent="0.2">
      <c r="A639" t="s">
        <v>17</v>
      </c>
      <c r="B639" t="s">
        <v>110</v>
      </c>
      <c r="C639" t="s">
        <v>220</v>
      </c>
      <c r="D639" s="110">
        <v>1131536.7</v>
      </c>
      <c r="E639" s="110">
        <v>1095872.82</v>
      </c>
      <c r="F639" s="110">
        <v>1093071.92</v>
      </c>
      <c r="G639" s="110">
        <v>1089079.93</v>
      </c>
      <c r="I639" s="110">
        <v>494330.82</v>
      </c>
      <c r="J639" s="110">
        <v>817586.18</v>
      </c>
      <c r="K639" s="110">
        <v>854790.74</v>
      </c>
      <c r="L639" s="110">
        <v>865653.62</v>
      </c>
    </row>
    <row r="640" spans="1:12" x14ac:dyDescent="0.2">
      <c r="A640" t="s">
        <v>17</v>
      </c>
      <c r="B640" t="s">
        <v>110</v>
      </c>
      <c r="C640" t="s">
        <v>221</v>
      </c>
      <c r="D640" s="110">
        <v>1077405.78</v>
      </c>
      <c r="E640" s="110">
        <v>1047985.56</v>
      </c>
      <c r="F640" s="110">
        <v>1042506.46</v>
      </c>
      <c r="I640" s="110">
        <v>521990.97</v>
      </c>
      <c r="J640" s="110">
        <v>807972.24</v>
      </c>
      <c r="K640" s="110">
        <v>841722.16</v>
      </c>
    </row>
    <row r="641" spans="1:12" x14ac:dyDescent="0.2">
      <c r="A641" t="s">
        <v>17</v>
      </c>
      <c r="B641" t="s">
        <v>110</v>
      </c>
      <c r="C641" t="s">
        <v>222</v>
      </c>
      <c r="D641" s="110">
        <v>1103557.73</v>
      </c>
      <c r="E641" s="110">
        <v>1066171.78</v>
      </c>
      <c r="I641" s="110">
        <v>505061.59</v>
      </c>
      <c r="J641" s="110">
        <v>830710.58</v>
      </c>
    </row>
    <row r="642" spans="1:12" x14ac:dyDescent="0.2">
      <c r="A642" t="s">
        <v>17</v>
      </c>
      <c r="B642" t="s">
        <v>110</v>
      </c>
      <c r="C642" t="s">
        <v>223</v>
      </c>
      <c r="D642" s="110">
        <v>1206185.2</v>
      </c>
      <c r="I642" s="110">
        <v>571894.84</v>
      </c>
    </row>
    <row r="643" spans="1:12" x14ac:dyDescent="0.2">
      <c r="A643" t="s">
        <v>18</v>
      </c>
      <c r="B643" t="s">
        <v>104</v>
      </c>
      <c r="C643" t="s">
        <v>220</v>
      </c>
      <c r="D643" s="110">
        <v>136642</v>
      </c>
      <c r="E643" s="110">
        <v>136542</v>
      </c>
      <c r="F643" s="110">
        <v>136254.39999999999</v>
      </c>
      <c r="G643" s="110">
        <v>135354.4</v>
      </c>
      <c r="I643" s="110">
        <v>5893.7</v>
      </c>
      <c r="J643" s="110">
        <v>11498.17</v>
      </c>
      <c r="K643" s="110">
        <v>17916.89</v>
      </c>
      <c r="L643" s="110">
        <v>23326.69</v>
      </c>
    </row>
    <row r="644" spans="1:12" x14ac:dyDescent="0.2">
      <c r="A644" t="s">
        <v>18</v>
      </c>
      <c r="B644" t="s">
        <v>104</v>
      </c>
      <c r="C644" t="s">
        <v>221</v>
      </c>
      <c r="D644" s="110">
        <v>132317.5</v>
      </c>
      <c r="E644" s="110">
        <v>132103.5</v>
      </c>
      <c r="F644" s="110">
        <v>131503.5</v>
      </c>
      <c r="I644" s="110">
        <v>5335.57</v>
      </c>
      <c r="J644" s="110">
        <v>10994.56</v>
      </c>
      <c r="K644" s="110">
        <v>17850.080000000002</v>
      </c>
    </row>
    <row r="645" spans="1:12" x14ac:dyDescent="0.2">
      <c r="A645" t="s">
        <v>18</v>
      </c>
      <c r="B645" t="s">
        <v>104</v>
      </c>
      <c r="C645" t="s">
        <v>222</v>
      </c>
      <c r="D645" s="110">
        <v>99746</v>
      </c>
      <c r="E645" s="110">
        <v>97986.35</v>
      </c>
      <c r="I645" s="110">
        <v>3124.8</v>
      </c>
      <c r="J645" s="110">
        <v>5534.74</v>
      </c>
    </row>
    <row r="646" spans="1:12" x14ac:dyDescent="0.2">
      <c r="A646" t="s">
        <v>18</v>
      </c>
      <c r="B646" t="s">
        <v>104</v>
      </c>
      <c r="C646" t="s">
        <v>223</v>
      </c>
      <c r="D646" s="110">
        <v>108688</v>
      </c>
      <c r="I646" s="110">
        <v>2672.16</v>
      </c>
    </row>
    <row r="647" spans="1:12" x14ac:dyDescent="0.2">
      <c r="A647" t="s">
        <v>18</v>
      </c>
      <c r="B647" t="s">
        <v>140</v>
      </c>
      <c r="C647" t="s">
        <v>220</v>
      </c>
      <c r="D647" s="110">
        <v>0</v>
      </c>
      <c r="E647" s="110">
        <v>0</v>
      </c>
      <c r="F647" s="110">
        <v>0</v>
      </c>
      <c r="G647" s="110">
        <v>0</v>
      </c>
      <c r="I647" s="110">
        <v>0</v>
      </c>
      <c r="J647" s="110">
        <v>0</v>
      </c>
      <c r="K647" s="110">
        <v>0</v>
      </c>
      <c r="L647" s="110">
        <v>0</v>
      </c>
    </row>
    <row r="648" spans="1:12" x14ac:dyDescent="0.2">
      <c r="A648" t="s">
        <v>18</v>
      </c>
      <c r="B648" t="s">
        <v>140</v>
      </c>
      <c r="C648" t="s">
        <v>221</v>
      </c>
      <c r="D648" s="110">
        <v>0</v>
      </c>
      <c r="E648" s="110">
        <v>0</v>
      </c>
      <c r="F648" s="110">
        <v>0</v>
      </c>
      <c r="I648" s="110">
        <v>0</v>
      </c>
      <c r="J648" s="110">
        <v>0</v>
      </c>
      <c r="K648" s="110">
        <v>0</v>
      </c>
    </row>
    <row r="649" spans="1:12" x14ac:dyDescent="0.2">
      <c r="A649" t="s">
        <v>18</v>
      </c>
      <c r="B649" t="s">
        <v>140</v>
      </c>
      <c r="C649" t="s">
        <v>222</v>
      </c>
      <c r="D649" s="110">
        <v>100</v>
      </c>
      <c r="E649" s="110">
        <v>100</v>
      </c>
      <c r="I649" s="110">
        <v>0</v>
      </c>
      <c r="J649" s="110">
        <v>0</v>
      </c>
    </row>
    <row r="650" spans="1:12" x14ac:dyDescent="0.2">
      <c r="A650" t="s">
        <v>18</v>
      </c>
      <c r="B650" t="s">
        <v>140</v>
      </c>
      <c r="C650" t="s">
        <v>223</v>
      </c>
      <c r="D650" s="110">
        <v>100</v>
      </c>
      <c r="I650" s="110">
        <v>0</v>
      </c>
    </row>
    <row r="651" spans="1:12" x14ac:dyDescent="0.2">
      <c r="A651" t="s">
        <v>18</v>
      </c>
      <c r="B651" t="s">
        <v>105</v>
      </c>
      <c r="C651" t="s">
        <v>220</v>
      </c>
      <c r="D651" s="110">
        <v>67721</v>
      </c>
      <c r="E651" s="110">
        <v>67055</v>
      </c>
      <c r="F651" s="110">
        <v>66755</v>
      </c>
      <c r="G651" s="110">
        <v>66655</v>
      </c>
      <c r="I651" s="110">
        <v>15510.58</v>
      </c>
      <c r="J651" s="110">
        <v>26647.86</v>
      </c>
      <c r="K651" s="110">
        <v>32062.15</v>
      </c>
      <c r="L651" s="110">
        <v>33488.83</v>
      </c>
    </row>
    <row r="652" spans="1:12" x14ac:dyDescent="0.2">
      <c r="A652" t="s">
        <v>18</v>
      </c>
      <c r="B652" t="s">
        <v>105</v>
      </c>
      <c r="C652" t="s">
        <v>221</v>
      </c>
      <c r="D652" s="110">
        <v>74143</v>
      </c>
      <c r="E652" s="110">
        <v>73218</v>
      </c>
      <c r="F652" s="110">
        <v>72818</v>
      </c>
      <c r="I652" s="110">
        <v>19045.43</v>
      </c>
      <c r="J652" s="110">
        <v>33543.64</v>
      </c>
      <c r="K652" s="110">
        <v>38319.550000000003</v>
      </c>
    </row>
    <row r="653" spans="1:12" x14ac:dyDescent="0.2">
      <c r="A653" t="s">
        <v>18</v>
      </c>
      <c r="B653" t="s">
        <v>105</v>
      </c>
      <c r="C653" t="s">
        <v>222</v>
      </c>
      <c r="D653" s="110">
        <v>68564</v>
      </c>
      <c r="E653" s="110">
        <v>68089</v>
      </c>
      <c r="I653" s="110">
        <v>14783.82</v>
      </c>
      <c r="J653" s="110">
        <v>23912.86</v>
      </c>
    </row>
    <row r="654" spans="1:12" x14ac:dyDescent="0.2">
      <c r="A654" t="s">
        <v>18</v>
      </c>
      <c r="B654" t="s">
        <v>105</v>
      </c>
      <c r="C654" t="s">
        <v>223</v>
      </c>
      <c r="D654" s="110">
        <v>71547</v>
      </c>
      <c r="I654" s="110">
        <v>11684.86</v>
      </c>
    </row>
    <row r="655" spans="1:12" x14ac:dyDescent="0.2">
      <c r="A655" t="s">
        <v>18</v>
      </c>
      <c r="B655" t="s">
        <v>111</v>
      </c>
      <c r="C655" t="s">
        <v>220</v>
      </c>
      <c r="D655" s="110">
        <v>4854</v>
      </c>
      <c r="E655" s="110">
        <v>4942</v>
      </c>
      <c r="F655" s="110">
        <v>4942</v>
      </c>
      <c r="G655" s="110">
        <v>4792</v>
      </c>
      <c r="I655" s="110">
        <v>42</v>
      </c>
      <c r="J655" s="110">
        <v>230</v>
      </c>
      <c r="K655" s="110">
        <v>280</v>
      </c>
      <c r="L655" s="110">
        <v>317</v>
      </c>
    </row>
    <row r="656" spans="1:12" x14ac:dyDescent="0.2">
      <c r="A656" t="s">
        <v>18</v>
      </c>
      <c r="B656" t="s">
        <v>111</v>
      </c>
      <c r="C656" t="s">
        <v>221</v>
      </c>
      <c r="D656" s="110">
        <v>6518</v>
      </c>
      <c r="E656" s="110">
        <v>6518</v>
      </c>
      <c r="F656" s="110">
        <v>6518</v>
      </c>
      <c r="I656" s="110">
        <v>282</v>
      </c>
      <c r="J656" s="110">
        <v>756</v>
      </c>
      <c r="K656" s="110">
        <v>944</v>
      </c>
    </row>
    <row r="657" spans="1:12" x14ac:dyDescent="0.2">
      <c r="A657" t="s">
        <v>18</v>
      </c>
      <c r="B657" t="s">
        <v>111</v>
      </c>
      <c r="C657" t="s">
        <v>222</v>
      </c>
      <c r="D657" s="110">
        <v>4133</v>
      </c>
      <c r="E657" s="110">
        <v>3933</v>
      </c>
      <c r="I657" s="110">
        <v>70</v>
      </c>
      <c r="J657" s="110">
        <v>426</v>
      </c>
    </row>
    <row r="658" spans="1:12" x14ac:dyDescent="0.2">
      <c r="A658" t="s">
        <v>18</v>
      </c>
      <c r="B658" t="s">
        <v>111</v>
      </c>
      <c r="C658" t="s">
        <v>223</v>
      </c>
      <c r="D658" s="110">
        <v>4632</v>
      </c>
      <c r="I658" s="110">
        <v>50</v>
      </c>
    </row>
    <row r="659" spans="1:12" x14ac:dyDescent="0.2">
      <c r="A659" t="s">
        <v>18</v>
      </c>
      <c r="B659" t="s">
        <v>109</v>
      </c>
      <c r="C659" t="s">
        <v>220</v>
      </c>
      <c r="D659" s="110">
        <v>81285</v>
      </c>
      <c r="E659" s="110">
        <v>81235</v>
      </c>
      <c r="F659" s="110">
        <v>81235</v>
      </c>
      <c r="G659" s="110">
        <v>81235</v>
      </c>
      <c r="I659" s="110">
        <v>25366.3</v>
      </c>
      <c r="J659" s="110">
        <v>44121.69</v>
      </c>
      <c r="K659" s="110">
        <v>56536.55</v>
      </c>
      <c r="L659" s="110">
        <v>59805.35</v>
      </c>
    </row>
    <row r="660" spans="1:12" x14ac:dyDescent="0.2">
      <c r="A660" t="s">
        <v>18</v>
      </c>
      <c r="B660" t="s">
        <v>109</v>
      </c>
      <c r="C660" t="s">
        <v>221</v>
      </c>
      <c r="D660" s="110">
        <v>105507</v>
      </c>
      <c r="E660" s="110">
        <v>105705</v>
      </c>
      <c r="F660" s="110">
        <v>105275</v>
      </c>
      <c r="I660" s="110">
        <v>34663.660000000003</v>
      </c>
      <c r="J660" s="110">
        <v>67124.509999999995</v>
      </c>
      <c r="K660" s="110">
        <v>78595.679999999993</v>
      </c>
    </row>
    <row r="661" spans="1:12" x14ac:dyDescent="0.2">
      <c r="A661" t="s">
        <v>18</v>
      </c>
      <c r="B661" t="s">
        <v>109</v>
      </c>
      <c r="C661" t="s">
        <v>222</v>
      </c>
      <c r="D661" s="110">
        <v>102973</v>
      </c>
      <c r="E661" s="110">
        <v>103064</v>
      </c>
      <c r="I661" s="110">
        <v>31843.48</v>
      </c>
      <c r="J661" s="110">
        <v>56769.24</v>
      </c>
    </row>
    <row r="662" spans="1:12" x14ac:dyDescent="0.2">
      <c r="A662" t="s">
        <v>18</v>
      </c>
      <c r="B662" t="s">
        <v>109</v>
      </c>
      <c r="C662" t="s">
        <v>223</v>
      </c>
      <c r="D662" s="110">
        <v>87510.5</v>
      </c>
      <c r="I662" s="110">
        <v>32962</v>
      </c>
    </row>
    <row r="663" spans="1:12" x14ac:dyDescent="0.2">
      <c r="A663" t="s">
        <v>18</v>
      </c>
      <c r="B663" t="s">
        <v>106</v>
      </c>
      <c r="C663" t="s">
        <v>220</v>
      </c>
      <c r="D663" s="110">
        <v>154526.04999999999</v>
      </c>
      <c r="E663" s="110">
        <v>154526.04999999999</v>
      </c>
      <c r="F663" s="110">
        <v>153621.04999999999</v>
      </c>
      <c r="G663" s="110">
        <v>153621.04999999999</v>
      </c>
      <c r="I663" s="110">
        <v>154126.04999999999</v>
      </c>
      <c r="J663" s="110">
        <v>154126.04999999999</v>
      </c>
      <c r="K663" s="110">
        <v>153221.04999999999</v>
      </c>
      <c r="L663" s="110">
        <v>153221.04999999999</v>
      </c>
    </row>
    <row r="664" spans="1:12" x14ac:dyDescent="0.2">
      <c r="A664" t="s">
        <v>18</v>
      </c>
      <c r="B664" t="s">
        <v>106</v>
      </c>
      <c r="C664" t="s">
        <v>221</v>
      </c>
      <c r="D664" s="110">
        <v>172948.96</v>
      </c>
      <c r="E664" s="110">
        <v>172948.96</v>
      </c>
      <c r="F664" s="110">
        <v>172948.96</v>
      </c>
      <c r="I664" s="110">
        <v>171993.96</v>
      </c>
      <c r="J664" s="110">
        <v>172948.96</v>
      </c>
      <c r="K664" s="110">
        <v>172948.96</v>
      </c>
    </row>
    <row r="665" spans="1:12" x14ac:dyDescent="0.2">
      <c r="A665" t="s">
        <v>18</v>
      </c>
      <c r="B665" t="s">
        <v>106</v>
      </c>
      <c r="C665" t="s">
        <v>222</v>
      </c>
      <c r="D665" s="110">
        <v>157420.78</v>
      </c>
      <c r="E665" s="110">
        <v>156515.78</v>
      </c>
      <c r="I665" s="110">
        <v>155415.78</v>
      </c>
      <c r="J665" s="110">
        <v>154510.78</v>
      </c>
    </row>
    <row r="666" spans="1:12" x14ac:dyDescent="0.2">
      <c r="A666" t="s">
        <v>18</v>
      </c>
      <c r="B666" t="s">
        <v>106</v>
      </c>
      <c r="C666" t="s">
        <v>223</v>
      </c>
      <c r="D666" s="110">
        <v>146262.76999999999</v>
      </c>
      <c r="I666" s="110">
        <v>146262.76999999999</v>
      </c>
    </row>
    <row r="667" spans="1:12" x14ac:dyDescent="0.2">
      <c r="A667" t="s">
        <v>18</v>
      </c>
      <c r="B667" t="s">
        <v>107</v>
      </c>
      <c r="C667" t="s">
        <v>220</v>
      </c>
      <c r="D667" s="110">
        <v>138658.1</v>
      </c>
      <c r="E667" s="110">
        <v>138658.1</v>
      </c>
      <c r="F667" s="110">
        <v>138658.1</v>
      </c>
      <c r="G667" s="110">
        <v>138658.1</v>
      </c>
      <c r="I667" s="110">
        <v>138050.1</v>
      </c>
      <c r="J667" s="110">
        <v>138388.1</v>
      </c>
      <c r="K667" s="110">
        <v>138388.1</v>
      </c>
      <c r="L667" s="110">
        <v>138388.1</v>
      </c>
    </row>
    <row r="668" spans="1:12" x14ac:dyDescent="0.2">
      <c r="A668" t="s">
        <v>18</v>
      </c>
      <c r="B668" t="s">
        <v>107</v>
      </c>
      <c r="C668" t="s">
        <v>221</v>
      </c>
      <c r="D668" s="110">
        <v>125324.7</v>
      </c>
      <c r="E668" s="110">
        <v>125324.7</v>
      </c>
      <c r="F668" s="110">
        <v>125324.7</v>
      </c>
      <c r="I668" s="110">
        <v>125239.7</v>
      </c>
      <c r="J668" s="110">
        <v>125239.7</v>
      </c>
      <c r="K668" s="110">
        <v>125239.7</v>
      </c>
    </row>
    <row r="669" spans="1:12" x14ac:dyDescent="0.2">
      <c r="A669" t="s">
        <v>18</v>
      </c>
      <c r="B669" t="s">
        <v>107</v>
      </c>
      <c r="C669" t="s">
        <v>222</v>
      </c>
      <c r="D669" s="110">
        <v>176528.48</v>
      </c>
      <c r="E669" s="110">
        <v>176473.47</v>
      </c>
      <c r="I669" s="110">
        <v>175958.48</v>
      </c>
      <c r="J669" s="110">
        <v>176368.48</v>
      </c>
    </row>
    <row r="670" spans="1:12" x14ac:dyDescent="0.2">
      <c r="A670" t="s">
        <v>18</v>
      </c>
      <c r="B670" t="s">
        <v>107</v>
      </c>
      <c r="C670" t="s">
        <v>223</v>
      </c>
      <c r="D670" s="110">
        <v>189327.88</v>
      </c>
      <c r="I670" s="110">
        <v>188427.88</v>
      </c>
    </row>
    <row r="671" spans="1:12" x14ac:dyDescent="0.2">
      <c r="A671" t="s">
        <v>18</v>
      </c>
      <c r="B671" t="s">
        <v>108</v>
      </c>
      <c r="C671" t="s">
        <v>220</v>
      </c>
      <c r="D671" s="110">
        <v>43695.5</v>
      </c>
      <c r="E671" s="110">
        <v>43695.5</v>
      </c>
      <c r="F671" s="110">
        <v>43695.5</v>
      </c>
      <c r="G671" s="110">
        <v>43695.5</v>
      </c>
      <c r="I671" s="110">
        <v>43695.5</v>
      </c>
      <c r="J671" s="110">
        <v>43695.5</v>
      </c>
      <c r="K671" s="110">
        <v>43695.5</v>
      </c>
      <c r="L671" s="110">
        <v>43695.5</v>
      </c>
    </row>
    <row r="672" spans="1:12" x14ac:dyDescent="0.2">
      <c r="A672" t="s">
        <v>18</v>
      </c>
      <c r="B672" t="s">
        <v>108</v>
      </c>
      <c r="C672" t="s">
        <v>221</v>
      </c>
      <c r="D672" s="110">
        <v>48143.07</v>
      </c>
      <c r="E672" s="110">
        <v>48143.07</v>
      </c>
      <c r="F672" s="110">
        <v>47908.07</v>
      </c>
      <c r="I672" s="110">
        <v>48143.07</v>
      </c>
      <c r="J672" s="110">
        <v>48143.07</v>
      </c>
      <c r="K672" s="110">
        <v>47908.07</v>
      </c>
    </row>
    <row r="673" spans="1:12" x14ac:dyDescent="0.2">
      <c r="A673" t="s">
        <v>18</v>
      </c>
      <c r="B673" t="s">
        <v>108</v>
      </c>
      <c r="C673" t="s">
        <v>222</v>
      </c>
      <c r="D673" s="110">
        <v>68306.5</v>
      </c>
      <c r="E673" s="110">
        <v>68306.5</v>
      </c>
      <c r="I673" s="110">
        <v>68056.5</v>
      </c>
      <c r="J673" s="110">
        <v>68306.5</v>
      </c>
    </row>
    <row r="674" spans="1:12" x14ac:dyDescent="0.2">
      <c r="A674" t="s">
        <v>18</v>
      </c>
      <c r="B674" t="s">
        <v>108</v>
      </c>
      <c r="C674" t="s">
        <v>223</v>
      </c>
      <c r="D674" s="110">
        <v>51494.5</v>
      </c>
      <c r="I674" s="110">
        <v>51263.5</v>
      </c>
    </row>
    <row r="675" spans="1:12" x14ac:dyDescent="0.2">
      <c r="A675" t="s">
        <v>18</v>
      </c>
      <c r="B675" t="s">
        <v>70</v>
      </c>
      <c r="C675" t="s">
        <v>220</v>
      </c>
      <c r="D675" s="110">
        <v>52442.5</v>
      </c>
      <c r="E675" s="110">
        <v>51218.5</v>
      </c>
      <c r="F675" s="110">
        <v>51218.5</v>
      </c>
      <c r="G675" s="110">
        <v>51218.5</v>
      </c>
      <c r="I675" s="110">
        <v>49623.28</v>
      </c>
      <c r="J675" s="110">
        <v>50081.64</v>
      </c>
      <c r="K675" s="110">
        <v>50212.639999999999</v>
      </c>
      <c r="L675" s="110">
        <v>50212.639999999999</v>
      </c>
    </row>
    <row r="676" spans="1:12" x14ac:dyDescent="0.2">
      <c r="A676" t="s">
        <v>18</v>
      </c>
      <c r="B676" t="s">
        <v>70</v>
      </c>
      <c r="C676" t="s">
        <v>221</v>
      </c>
      <c r="D676" s="110">
        <v>60772</v>
      </c>
      <c r="E676" s="110">
        <v>60354</v>
      </c>
      <c r="F676" s="110">
        <v>60354</v>
      </c>
      <c r="I676" s="110">
        <v>57097.32</v>
      </c>
      <c r="J676" s="110">
        <v>58667.57</v>
      </c>
      <c r="K676" s="110">
        <v>58951.66</v>
      </c>
    </row>
    <row r="677" spans="1:12" x14ac:dyDescent="0.2">
      <c r="A677" t="s">
        <v>18</v>
      </c>
      <c r="B677" t="s">
        <v>70</v>
      </c>
      <c r="C677" t="s">
        <v>222</v>
      </c>
      <c r="D677" s="110">
        <v>61878</v>
      </c>
      <c r="E677" s="110">
        <v>61568</v>
      </c>
      <c r="I677" s="110">
        <v>59943.34</v>
      </c>
      <c r="J677" s="110">
        <v>60639.01</v>
      </c>
    </row>
    <row r="678" spans="1:12" x14ac:dyDescent="0.2">
      <c r="A678" t="s">
        <v>18</v>
      </c>
      <c r="B678" t="s">
        <v>70</v>
      </c>
      <c r="C678" t="s">
        <v>223</v>
      </c>
      <c r="D678" s="110">
        <v>48374</v>
      </c>
      <c r="I678" s="110">
        <v>46071.99</v>
      </c>
    </row>
    <row r="679" spans="1:12" x14ac:dyDescent="0.2">
      <c r="A679" t="s">
        <v>18</v>
      </c>
      <c r="B679" t="s">
        <v>110</v>
      </c>
      <c r="C679" t="s">
        <v>220</v>
      </c>
      <c r="D679" s="110">
        <v>268741.7</v>
      </c>
      <c r="E679" s="110">
        <v>261624.45</v>
      </c>
      <c r="F679" s="110">
        <v>259642.5</v>
      </c>
      <c r="G679" s="110">
        <v>259476.5</v>
      </c>
      <c r="I679" s="110">
        <v>129324.5</v>
      </c>
      <c r="J679" s="110">
        <v>222103.5</v>
      </c>
      <c r="K679" s="110">
        <v>230736.45</v>
      </c>
      <c r="L679" s="110">
        <v>235359.18</v>
      </c>
    </row>
    <row r="680" spans="1:12" x14ac:dyDescent="0.2">
      <c r="A680" t="s">
        <v>18</v>
      </c>
      <c r="B680" t="s">
        <v>110</v>
      </c>
      <c r="C680" t="s">
        <v>221</v>
      </c>
      <c r="D680" s="110">
        <v>313759.65000000002</v>
      </c>
      <c r="E680" s="110">
        <v>306905.33</v>
      </c>
      <c r="F680" s="110">
        <v>303054.18</v>
      </c>
      <c r="I680" s="110">
        <v>159110.1</v>
      </c>
      <c r="J680" s="110">
        <v>260023.05</v>
      </c>
      <c r="K680" s="110">
        <v>271855.8</v>
      </c>
    </row>
    <row r="681" spans="1:12" x14ac:dyDescent="0.2">
      <c r="A681" t="s">
        <v>18</v>
      </c>
      <c r="B681" t="s">
        <v>110</v>
      </c>
      <c r="C681" t="s">
        <v>222</v>
      </c>
      <c r="D681" s="110">
        <v>389262.95</v>
      </c>
      <c r="E681" s="110">
        <v>381898.35</v>
      </c>
      <c r="I681" s="110">
        <v>198321.35</v>
      </c>
      <c r="J681" s="110">
        <v>320438.71000000002</v>
      </c>
    </row>
    <row r="682" spans="1:12" x14ac:dyDescent="0.2">
      <c r="A682" t="s">
        <v>18</v>
      </c>
      <c r="B682" t="s">
        <v>110</v>
      </c>
      <c r="C682" t="s">
        <v>223</v>
      </c>
      <c r="D682" s="110">
        <v>313793.34999999998</v>
      </c>
      <c r="I682" s="110">
        <v>158313.57999999999</v>
      </c>
    </row>
    <row r="683" spans="1:12" x14ac:dyDescent="0.2">
      <c r="A683" t="s">
        <v>19</v>
      </c>
      <c r="B683" t="s">
        <v>104</v>
      </c>
      <c r="C683" t="s">
        <v>220</v>
      </c>
      <c r="D683" s="110">
        <v>25831</v>
      </c>
      <c r="E683" s="110">
        <v>25831</v>
      </c>
      <c r="F683" s="110">
        <v>25831</v>
      </c>
      <c r="G683" s="110">
        <v>25831</v>
      </c>
      <c r="I683" s="110">
        <v>103</v>
      </c>
      <c r="J683" s="110">
        <v>314.54000000000002</v>
      </c>
      <c r="K683" s="110">
        <v>506.84</v>
      </c>
      <c r="L683" s="110">
        <v>873</v>
      </c>
    </row>
    <row r="684" spans="1:12" x14ac:dyDescent="0.2">
      <c r="A684" t="s">
        <v>19</v>
      </c>
      <c r="B684" t="s">
        <v>104</v>
      </c>
      <c r="C684" t="s">
        <v>221</v>
      </c>
      <c r="D684" s="110">
        <v>49860</v>
      </c>
      <c r="E684" s="110">
        <v>49835</v>
      </c>
      <c r="F684" s="110">
        <v>49835</v>
      </c>
      <c r="I684" s="110">
        <v>1081.3599999999999</v>
      </c>
      <c r="J684" s="110">
        <v>2207.08</v>
      </c>
      <c r="K684" s="110">
        <v>2357.08</v>
      </c>
    </row>
    <row r="685" spans="1:12" x14ac:dyDescent="0.2">
      <c r="A685" t="s">
        <v>19</v>
      </c>
      <c r="B685" t="s">
        <v>104</v>
      </c>
      <c r="C685" t="s">
        <v>222</v>
      </c>
      <c r="D685" s="110">
        <v>28154</v>
      </c>
      <c r="E685" s="110">
        <v>28506</v>
      </c>
      <c r="I685" s="110">
        <v>200</v>
      </c>
      <c r="J685" s="110">
        <v>995</v>
      </c>
    </row>
    <row r="686" spans="1:12" x14ac:dyDescent="0.2">
      <c r="A686" t="s">
        <v>19</v>
      </c>
      <c r="B686" t="s">
        <v>104</v>
      </c>
      <c r="C686" t="s">
        <v>223</v>
      </c>
      <c r="D686" s="110">
        <v>34353</v>
      </c>
      <c r="I686" s="110">
        <v>179.88</v>
      </c>
    </row>
    <row r="687" spans="1:12" x14ac:dyDescent="0.2">
      <c r="A687" t="s">
        <v>19</v>
      </c>
      <c r="B687" t="s">
        <v>140</v>
      </c>
      <c r="C687" t="s">
        <v>220</v>
      </c>
      <c r="D687" s="110">
        <v>0</v>
      </c>
      <c r="E687" s="110">
        <v>0</v>
      </c>
      <c r="F687" s="110">
        <v>0</v>
      </c>
      <c r="G687" s="110">
        <v>0</v>
      </c>
      <c r="I687" s="110">
        <v>0</v>
      </c>
      <c r="J687" s="110">
        <v>0</v>
      </c>
      <c r="K687" s="110">
        <v>0</v>
      </c>
      <c r="L687" s="110">
        <v>0</v>
      </c>
    </row>
    <row r="688" spans="1:12" x14ac:dyDescent="0.2">
      <c r="A688" t="s">
        <v>19</v>
      </c>
      <c r="B688" t="s">
        <v>140</v>
      </c>
      <c r="C688" t="s">
        <v>221</v>
      </c>
      <c r="D688" s="110">
        <v>0</v>
      </c>
      <c r="E688" s="110">
        <v>0</v>
      </c>
      <c r="F688" s="110">
        <v>0</v>
      </c>
      <c r="I688" s="110">
        <v>0</v>
      </c>
      <c r="J688" s="110">
        <v>0</v>
      </c>
      <c r="K688" s="110">
        <v>0</v>
      </c>
    </row>
    <row r="689" spans="1:12" x14ac:dyDescent="0.2">
      <c r="A689" t="s">
        <v>19</v>
      </c>
      <c r="B689" t="s">
        <v>140</v>
      </c>
      <c r="C689" t="s">
        <v>222</v>
      </c>
      <c r="D689" s="110">
        <v>0</v>
      </c>
      <c r="E689" s="110">
        <v>0</v>
      </c>
      <c r="I689" s="110">
        <v>0</v>
      </c>
      <c r="J689" s="110">
        <v>0</v>
      </c>
    </row>
    <row r="690" spans="1:12" x14ac:dyDescent="0.2">
      <c r="A690" t="s">
        <v>19</v>
      </c>
      <c r="B690" t="s">
        <v>140</v>
      </c>
      <c r="C690" t="s">
        <v>223</v>
      </c>
      <c r="D690" s="110">
        <v>0</v>
      </c>
      <c r="I690" s="110">
        <v>0</v>
      </c>
    </row>
    <row r="691" spans="1:12" x14ac:dyDescent="0.2">
      <c r="A691" t="s">
        <v>19</v>
      </c>
      <c r="B691" t="s">
        <v>105</v>
      </c>
      <c r="C691" t="s">
        <v>220</v>
      </c>
      <c r="D691" s="110">
        <v>34911.5</v>
      </c>
      <c r="E691" s="110">
        <v>34641.5</v>
      </c>
      <c r="F691" s="110">
        <v>34136.5</v>
      </c>
      <c r="G691" s="110">
        <v>33761.5</v>
      </c>
      <c r="I691" s="110">
        <v>5886.5</v>
      </c>
      <c r="J691" s="110">
        <v>10398.5</v>
      </c>
      <c r="K691" s="110">
        <v>11682</v>
      </c>
      <c r="L691" s="110">
        <v>12562</v>
      </c>
    </row>
    <row r="692" spans="1:12" x14ac:dyDescent="0.2">
      <c r="A692" t="s">
        <v>19</v>
      </c>
      <c r="B692" t="s">
        <v>105</v>
      </c>
      <c r="C692" t="s">
        <v>221</v>
      </c>
      <c r="D692" s="110">
        <v>32324.71</v>
      </c>
      <c r="E692" s="110">
        <v>31824.71</v>
      </c>
      <c r="F692" s="110">
        <v>31824.71</v>
      </c>
      <c r="I692" s="110">
        <v>6768</v>
      </c>
      <c r="J692" s="110">
        <v>11125.43</v>
      </c>
      <c r="K692" s="110">
        <v>13519.14</v>
      </c>
    </row>
    <row r="693" spans="1:12" x14ac:dyDescent="0.2">
      <c r="A693" t="s">
        <v>19</v>
      </c>
      <c r="B693" t="s">
        <v>105</v>
      </c>
      <c r="C693" t="s">
        <v>222</v>
      </c>
      <c r="D693" s="110">
        <v>30760</v>
      </c>
      <c r="E693" s="110">
        <v>31064</v>
      </c>
      <c r="I693" s="110">
        <v>6469</v>
      </c>
      <c r="J693" s="110">
        <v>10523</v>
      </c>
    </row>
    <row r="694" spans="1:12" x14ac:dyDescent="0.2">
      <c r="A694" t="s">
        <v>19</v>
      </c>
      <c r="B694" t="s">
        <v>105</v>
      </c>
      <c r="C694" t="s">
        <v>223</v>
      </c>
      <c r="D694" s="110">
        <v>33510</v>
      </c>
      <c r="I694" s="110">
        <v>6890</v>
      </c>
    </row>
    <row r="695" spans="1:12" x14ac:dyDescent="0.2">
      <c r="A695" t="s">
        <v>19</v>
      </c>
      <c r="B695" t="s">
        <v>111</v>
      </c>
      <c r="C695" t="s">
        <v>220</v>
      </c>
      <c r="D695" s="110">
        <v>982</v>
      </c>
      <c r="E695" s="110">
        <v>982</v>
      </c>
      <c r="F695" s="110">
        <v>982</v>
      </c>
      <c r="G695" s="110">
        <v>982</v>
      </c>
      <c r="I695" s="110">
        <v>982</v>
      </c>
      <c r="J695" s="110">
        <v>982</v>
      </c>
      <c r="K695" s="110">
        <v>982</v>
      </c>
      <c r="L695" s="110">
        <v>982</v>
      </c>
    </row>
    <row r="696" spans="1:12" x14ac:dyDescent="0.2">
      <c r="A696" t="s">
        <v>19</v>
      </c>
      <c r="B696" t="s">
        <v>111</v>
      </c>
      <c r="C696" t="s">
        <v>221</v>
      </c>
      <c r="D696" s="110">
        <v>10.5</v>
      </c>
      <c r="E696" s="110">
        <v>7</v>
      </c>
      <c r="F696" s="110">
        <v>7</v>
      </c>
      <c r="I696" s="110">
        <v>7</v>
      </c>
      <c r="J696" s="110">
        <v>7</v>
      </c>
      <c r="K696" s="110">
        <v>7</v>
      </c>
    </row>
    <row r="697" spans="1:12" x14ac:dyDescent="0.2">
      <c r="A697" t="s">
        <v>19</v>
      </c>
      <c r="B697" t="s">
        <v>111</v>
      </c>
      <c r="C697" t="s">
        <v>222</v>
      </c>
      <c r="D697" s="110">
        <v>3.5</v>
      </c>
      <c r="E697" s="110">
        <v>3.5</v>
      </c>
      <c r="I697" s="110">
        <v>3.5</v>
      </c>
      <c r="J697" s="110">
        <v>3.5</v>
      </c>
    </row>
    <row r="698" spans="1:12" x14ac:dyDescent="0.2">
      <c r="A698" t="s">
        <v>19</v>
      </c>
      <c r="B698" t="s">
        <v>111</v>
      </c>
      <c r="C698" t="s">
        <v>223</v>
      </c>
      <c r="D698" s="110">
        <v>1089</v>
      </c>
      <c r="I698" s="110">
        <v>0</v>
      </c>
    </row>
    <row r="699" spans="1:12" x14ac:dyDescent="0.2">
      <c r="A699" t="s">
        <v>19</v>
      </c>
      <c r="B699" t="s">
        <v>109</v>
      </c>
      <c r="C699" t="s">
        <v>220</v>
      </c>
      <c r="D699" s="110">
        <v>25902</v>
      </c>
      <c r="E699" s="110">
        <v>25902</v>
      </c>
      <c r="F699" s="110">
        <v>25902</v>
      </c>
      <c r="G699" s="110">
        <v>25902</v>
      </c>
      <c r="I699" s="110">
        <v>9930</v>
      </c>
      <c r="J699" s="110">
        <v>13097</v>
      </c>
      <c r="K699" s="110">
        <v>14793</v>
      </c>
      <c r="L699" s="110">
        <v>16148</v>
      </c>
    </row>
    <row r="700" spans="1:12" x14ac:dyDescent="0.2">
      <c r="A700" t="s">
        <v>19</v>
      </c>
      <c r="B700" t="s">
        <v>109</v>
      </c>
      <c r="C700" t="s">
        <v>221</v>
      </c>
      <c r="D700" s="110">
        <v>13377</v>
      </c>
      <c r="E700" s="110">
        <v>13377</v>
      </c>
      <c r="F700" s="110">
        <v>13377</v>
      </c>
      <c r="I700" s="110">
        <v>4257</v>
      </c>
      <c r="J700" s="110">
        <v>5561</v>
      </c>
      <c r="K700" s="110">
        <v>6511</v>
      </c>
    </row>
    <row r="701" spans="1:12" x14ac:dyDescent="0.2">
      <c r="A701" t="s">
        <v>19</v>
      </c>
      <c r="B701" t="s">
        <v>109</v>
      </c>
      <c r="C701" t="s">
        <v>222</v>
      </c>
      <c r="D701" s="110">
        <v>15767</v>
      </c>
      <c r="E701" s="110">
        <v>15767</v>
      </c>
      <c r="I701" s="110">
        <v>3807.29</v>
      </c>
      <c r="J701" s="110">
        <v>5457</v>
      </c>
    </row>
    <row r="702" spans="1:12" x14ac:dyDescent="0.2">
      <c r="A702" t="s">
        <v>19</v>
      </c>
      <c r="B702" t="s">
        <v>109</v>
      </c>
      <c r="C702" t="s">
        <v>223</v>
      </c>
      <c r="D702" s="110">
        <v>16758</v>
      </c>
      <c r="I702" s="110">
        <v>7675</v>
      </c>
    </row>
    <row r="703" spans="1:12" x14ac:dyDescent="0.2">
      <c r="A703" t="s">
        <v>19</v>
      </c>
      <c r="B703" t="s">
        <v>106</v>
      </c>
      <c r="C703" t="s">
        <v>220</v>
      </c>
      <c r="D703" s="110">
        <v>5500</v>
      </c>
      <c r="E703" s="110">
        <v>5500</v>
      </c>
      <c r="F703" s="110">
        <v>5500</v>
      </c>
      <c r="G703" s="110">
        <v>5500</v>
      </c>
      <c r="I703" s="110">
        <v>5500</v>
      </c>
      <c r="J703" s="110">
        <v>5500</v>
      </c>
      <c r="K703" s="110">
        <v>5500</v>
      </c>
      <c r="L703" s="110">
        <v>5500</v>
      </c>
    </row>
    <row r="704" spans="1:12" x14ac:dyDescent="0.2">
      <c r="A704" t="s">
        <v>19</v>
      </c>
      <c r="B704" t="s">
        <v>106</v>
      </c>
      <c r="C704" t="s">
        <v>221</v>
      </c>
      <c r="D704" s="110">
        <v>14852.5</v>
      </c>
      <c r="E704" s="110">
        <v>14852.5</v>
      </c>
      <c r="F704" s="110">
        <v>14852.5</v>
      </c>
      <c r="I704" s="110">
        <v>14852.5</v>
      </c>
      <c r="J704" s="110">
        <v>14852.5</v>
      </c>
      <c r="K704" s="110">
        <v>14852.5</v>
      </c>
    </row>
    <row r="705" spans="1:12" x14ac:dyDescent="0.2">
      <c r="A705" t="s">
        <v>19</v>
      </c>
      <c r="B705" t="s">
        <v>106</v>
      </c>
      <c r="C705" t="s">
        <v>222</v>
      </c>
      <c r="D705" s="110">
        <v>21745</v>
      </c>
      <c r="E705" s="110">
        <v>21745</v>
      </c>
      <c r="I705" s="110">
        <v>21745</v>
      </c>
      <c r="J705" s="110">
        <v>21745</v>
      </c>
    </row>
    <row r="706" spans="1:12" x14ac:dyDescent="0.2">
      <c r="A706" t="s">
        <v>19</v>
      </c>
      <c r="B706" t="s">
        <v>106</v>
      </c>
      <c r="C706" t="s">
        <v>223</v>
      </c>
      <c r="D706" s="110">
        <v>23697.5</v>
      </c>
      <c r="I706" s="110">
        <v>23697.5</v>
      </c>
    </row>
    <row r="707" spans="1:12" x14ac:dyDescent="0.2">
      <c r="A707" t="s">
        <v>19</v>
      </c>
      <c r="B707" t="s">
        <v>107</v>
      </c>
      <c r="C707" t="s">
        <v>220</v>
      </c>
      <c r="D707" s="110">
        <v>6250</v>
      </c>
      <c r="E707" s="110">
        <v>6250</v>
      </c>
      <c r="F707" s="110">
        <v>6250</v>
      </c>
      <c r="G707" s="110">
        <v>6250</v>
      </c>
      <c r="I707" s="110">
        <v>6250</v>
      </c>
      <c r="J707" s="110">
        <v>6250</v>
      </c>
      <c r="K707" s="110">
        <v>6250</v>
      </c>
      <c r="L707" s="110">
        <v>6250</v>
      </c>
    </row>
    <row r="708" spans="1:12" x14ac:dyDescent="0.2">
      <c r="A708" t="s">
        <v>19</v>
      </c>
      <c r="B708" t="s">
        <v>107</v>
      </c>
      <c r="C708" t="s">
        <v>221</v>
      </c>
      <c r="D708" s="110">
        <v>6315</v>
      </c>
      <c r="E708" s="110">
        <v>6005</v>
      </c>
      <c r="F708" s="110">
        <v>6005</v>
      </c>
      <c r="I708" s="110">
        <v>5995</v>
      </c>
      <c r="J708" s="110">
        <v>6005</v>
      </c>
      <c r="K708" s="110">
        <v>6005</v>
      </c>
    </row>
    <row r="709" spans="1:12" x14ac:dyDescent="0.2">
      <c r="A709" t="s">
        <v>19</v>
      </c>
      <c r="B709" t="s">
        <v>107</v>
      </c>
      <c r="C709" t="s">
        <v>222</v>
      </c>
      <c r="D709" s="110">
        <v>9670</v>
      </c>
      <c r="E709" s="110">
        <v>9310</v>
      </c>
      <c r="I709" s="110">
        <v>9000</v>
      </c>
      <c r="J709" s="110">
        <v>9310</v>
      </c>
    </row>
    <row r="710" spans="1:12" x14ac:dyDescent="0.2">
      <c r="A710" t="s">
        <v>19</v>
      </c>
      <c r="B710" t="s">
        <v>107</v>
      </c>
      <c r="C710" t="s">
        <v>223</v>
      </c>
      <c r="D710" s="110">
        <v>9970</v>
      </c>
      <c r="I710" s="110">
        <v>9970</v>
      </c>
    </row>
    <row r="711" spans="1:12" x14ac:dyDescent="0.2">
      <c r="A711" t="s">
        <v>19</v>
      </c>
      <c r="B711" t="s">
        <v>108</v>
      </c>
      <c r="C711" t="s">
        <v>220</v>
      </c>
      <c r="D711" s="110">
        <v>6861</v>
      </c>
      <c r="E711" s="110">
        <v>6861</v>
      </c>
      <c r="F711" s="110">
        <v>6861</v>
      </c>
      <c r="G711" s="110">
        <v>6861</v>
      </c>
      <c r="I711" s="110">
        <v>6861</v>
      </c>
      <c r="J711" s="110">
        <v>6861</v>
      </c>
      <c r="K711" s="110">
        <v>6861</v>
      </c>
      <c r="L711" s="110">
        <v>6861</v>
      </c>
    </row>
    <row r="712" spans="1:12" x14ac:dyDescent="0.2">
      <c r="A712" t="s">
        <v>19</v>
      </c>
      <c r="B712" t="s">
        <v>108</v>
      </c>
      <c r="C712" t="s">
        <v>221</v>
      </c>
      <c r="D712" s="110">
        <v>2980</v>
      </c>
      <c r="E712" s="110">
        <v>2980</v>
      </c>
      <c r="F712" s="110">
        <v>2980</v>
      </c>
      <c r="I712" s="110">
        <v>2980</v>
      </c>
      <c r="J712" s="110">
        <v>2980</v>
      </c>
      <c r="K712" s="110">
        <v>2980</v>
      </c>
    </row>
    <row r="713" spans="1:12" x14ac:dyDescent="0.2">
      <c r="A713" t="s">
        <v>19</v>
      </c>
      <c r="B713" t="s">
        <v>108</v>
      </c>
      <c r="C713" t="s">
        <v>222</v>
      </c>
      <c r="D713" s="110">
        <v>3826</v>
      </c>
      <c r="E713" s="110">
        <v>3826</v>
      </c>
      <c r="I713" s="110">
        <v>3826</v>
      </c>
      <c r="J713" s="110">
        <v>3826</v>
      </c>
    </row>
    <row r="714" spans="1:12" x14ac:dyDescent="0.2">
      <c r="A714" t="s">
        <v>19</v>
      </c>
      <c r="B714" t="s">
        <v>108</v>
      </c>
      <c r="C714" t="s">
        <v>223</v>
      </c>
      <c r="D714" s="110">
        <v>8197</v>
      </c>
      <c r="I714" s="110">
        <v>8197</v>
      </c>
    </row>
    <row r="715" spans="1:12" x14ac:dyDescent="0.2">
      <c r="A715" t="s">
        <v>19</v>
      </c>
      <c r="B715" t="s">
        <v>70</v>
      </c>
      <c r="C715" t="s">
        <v>220</v>
      </c>
      <c r="D715" s="110">
        <v>4218</v>
      </c>
      <c r="E715" s="110">
        <v>4218</v>
      </c>
      <c r="F715" s="110">
        <v>4218</v>
      </c>
      <c r="G715" s="110">
        <v>4218</v>
      </c>
      <c r="I715" s="110">
        <v>3968</v>
      </c>
      <c r="J715" s="110">
        <v>3968</v>
      </c>
      <c r="K715" s="110">
        <v>3968</v>
      </c>
      <c r="L715" s="110">
        <v>3968</v>
      </c>
    </row>
    <row r="716" spans="1:12" x14ac:dyDescent="0.2">
      <c r="A716" t="s">
        <v>19</v>
      </c>
      <c r="B716" t="s">
        <v>70</v>
      </c>
      <c r="C716" t="s">
        <v>221</v>
      </c>
      <c r="D716" s="110">
        <v>5547</v>
      </c>
      <c r="E716" s="110">
        <v>5149.5</v>
      </c>
      <c r="F716" s="110">
        <v>5149.5</v>
      </c>
      <c r="I716" s="110">
        <v>4949.5</v>
      </c>
      <c r="J716" s="110">
        <v>4949.5</v>
      </c>
      <c r="K716" s="110">
        <v>4949.5</v>
      </c>
    </row>
    <row r="717" spans="1:12" x14ac:dyDescent="0.2">
      <c r="A717" t="s">
        <v>19</v>
      </c>
      <c r="B717" t="s">
        <v>70</v>
      </c>
      <c r="C717" t="s">
        <v>222</v>
      </c>
      <c r="D717" s="110">
        <v>7056.5</v>
      </c>
      <c r="E717" s="110">
        <v>6756.5</v>
      </c>
      <c r="I717" s="110">
        <v>6009</v>
      </c>
      <c r="J717" s="110">
        <v>6009</v>
      </c>
    </row>
    <row r="718" spans="1:12" x14ac:dyDescent="0.2">
      <c r="A718" t="s">
        <v>19</v>
      </c>
      <c r="B718" t="s">
        <v>70</v>
      </c>
      <c r="C718" t="s">
        <v>223</v>
      </c>
      <c r="D718" s="110">
        <v>4927.5</v>
      </c>
      <c r="I718" s="110">
        <v>3627.5</v>
      </c>
    </row>
    <row r="719" spans="1:12" x14ac:dyDescent="0.2">
      <c r="A719" t="s">
        <v>19</v>
      </c>
      <c r="B719" t="s">
        <v>110</v>
      </c>
      <c r="C719" t="s">
        <v>220</v>
      </c>
      <c r="D719" s="110">
        <v>16032.5</v>
      </c>
      <c r="E719" s="110">
        <v>15262.5</v>
      </c>
      <c r="F719" s="110">
        <v>14858.5</v>
      </c>
      <c r="G719" s="110">
        <v>14542.5</v>
      </c>
      <c r="I719" s="110">
        <v>7664.5</v>
      </c>
      <c r="J719" s="110">
        <v>12101.5</v>
      </c>
      <c r="K719" s="110">
        <v>12326.5</v>
      </c>
      <c r="L719" s="110">
        <v>12480.5</v>
      </c>
    </row>
    <row r="720" spans="1:12" x14ac:dyDescent="0.2">
      <c r="A720" t="s">
        <v>19</v>
      </c>
      <c r="B720" t="s">
        <v>110</v>
      </c>
      <c r="C720" t="s">
        <v>221</v>
      </c>
      <c r="D720" s="110">
        <v>25366.5</v>
      </c>
      <c r="E720" s="110">
        <v>24321.05</v>
      </c>
      <c r="F720" s="110">
        <v>23677.8</v>
      </c>
      <c r="I720" s="110">
        <v>12380.5</v>
      </c>
      <c r="J720" s="110">
        <v>19599.939999999999</v>
      </c>
      <c r="K720" s="110">
        <v>20086.8</v>
      </c>
    </row>
    <row r="721" spans="1:12" x14ac:dyDescent="0.2">
      <c r="A721" t="s">
        <v>19</v>
      </c>
      <c r="B721" t="s">
        <v>110</v>
      </c>
      <c r="C721" t="s">
        <v>222</v>
      </c>
      <c r="D721" s="110">
        <v>30211.599999999999</v>
      </c>
      <c r="E721" s="110">
        <v>28191.3</v>
      </c>
      <c r="I721" s="110">
        <v>12265.1</v>
      </c>
      <c r="J721" s="110">
        <v>23088.05</v>
      </c>
    </row>
    <row r="722" spans="1:12" x14ac:dyDescent="0.2">
      <c r="A722" t="s">
        <v>19</v>
      </c>
      <c r="B722" t="s">
        <v>110</v>
      </c>
      <c r="C722" t="s">
        <v>223</v>
      </c>
      <c r="D722" s="110">
        <v>32699.4</v>
      </c>
      <c r="I722" s="110">
        <v>19297.650000000001</v>
      </c>
    </row>
    <row r="723" spans="1:12" x14ac:dyDescent="0.2">
      <c r="A723" t="s">
        <v>20</v>
      </c>
      <c r="B723" t="s">
        <v>104</v>
      </c>
      <c r="C723" t="s">
        <v>220</v>
      </c>
      <c r="D723" s="110">
        <v>62649</v>
      </c>
      <c r="E723" s="110">
        <v>62249</v>
      </c>
      <c r="F723" s="110">
        <v>62249</v>
      </c>
      <c r="G723" s="110">
        <v>62249</v>
      </c>
      <c r="I723" s="110">
        <v>1088</v>
      </c>
      <c r="J723" s="110">
        <v>2898</v>
      </c>
      <c r="K723" s="110">
        <v>6328</v>
      </c>
      <c r="L723" s="110">
        <v>7676</v>
      </c>
    </row>
    <row r="724" spans="1:12" x14ac:dyDescent="0.2">
      <c r="A724" t="s">
        <v>20</v>
      </c>
      <c r="B724" t="s">
        <v>104</v>
      </c>
      <c r="C724" t="s">
        <v>221</v>
      </c>
      <c r="D724" s="110">
        <v>118353</v>
      </c>
      <c r="E724" s="110">
        <v>118198</v>
      </c>
      <c r="F724" s="110">
        <v>117948</v>
      </c>
      <c r="I724" s="110">
        <v>1132</v>
      </c>
      <c r="J724" s="110">
        <v>1860</v>
      </c>
      <c r="K724" s="110">
        <v>2175</v>
      </c>
    </row>
    <row r="725" spans="1:12" x14ac:dyDescent="0.2">
      <c r="A725" t="s">
        <v>20</v>
      </c>
      <c r="B725" t="s">
        <v>104</v>
      </c>
      <c r="C725" t="s">
        <v>222</v>
      </c>
      <c r="D725" s="110">
        <v>173050.6</v>
      </c>
      <c r="E725" s="110">
        <v>172933</v>
      </c>
      <c r="I725" s="110">
        <v>2967.6</v>
      </c>
      <c r="J725" s="110">
        <v>6490.62</v>
      </c>
    </row>
    <row r="726" spans="1:12" x14ac:dyDescent="0.2">
      <c r="A726" t="s">
        <v>20</v>
      </c>
      <c r="B726" t="s">
        <v>104</v>
      </c>
      <c r="C726" t="s">
        <v>223</v>
      </c>
      <c r="D726" s="110">
        <v>70090</v>
      </c>
      <c r="I726" s="110">
        <v>961</v>
      </c>
    </row>
    <row r="727" spans="1:12" x14ac:dyDescent="0.2">
      <c r="A727" t="s">
        <v>20</v>
      </c>
      <c r="B727" t="s">
        <v>140</v>
      </c>
      <c r="C727" t="s">
        <v>220</v>
      </c>
      <c r="D727" s="110">
        <v>27428</v>
      </c>
      <c r="E727" s="110">
        <v>27123</v>
      </c>
      <c r="F727" s="110">
        <v>27073</v>
      </c>
      <c r="G727" s="110">
        <v>27023</v>
      </c>
      <c r="I727" s="110">
        <v>645</v>
      </c>
      <c r="J727" s="110">
        <v>2335</v>
      </c>
      <c r="K727" s="110">
        <v>3870</v>
      </c>
      <c r="L727" s="110">
        <v>4758</v>
      </c>
    </row>
    <row r="728" spans="1:12" x14ac:dyDescent="0.2">
      <c r="A728" t="s">
        <v>20</v>
      </c>
      <c r="B728" t="s">
        <v>140</v>
      </c>
      <c r="C728" t="s">
        <v>221</v>
      </c>
      <c r="D728" s="110">
        <v>81485</v>
      </c>
      <c r="E728" s="110">
        <v>80492</v>
      </c>
      <c r="F728" s="110">
        <v>80092</v>
      </c>
      <c r="I728" s="110">
        <v>1687</v>
      </c>
      <c r="J728" s="110">
        <v>3732</v>
      </c>
      <c r="K728" s="110">
        <v>4352</v>
      </c>
    </row>
    <row r="729" spans="1:12" x14ac:dyDescent="0.2">
      <c r="A729" t="s">
        <v>20</v>
      </c>
      <c r="B729" t="s">
        <v>140</v>
      </c>
      <c r="C729" t="s">
        <v>222</v>
      </c>
      <c r="D729" s="110">
        <v>128419</v>
      </c>
      <c r="E729" s="110">
        <v>128269</v>
      </c>
      <c r="I729" s="110">
        <v>570</v>
      </c>
      <c r="J729" s="110">
        <v>3122.62</v>
      </c>
    </row>
    <row r="730" spans="1:12" x14ac:dyDescent="0.2">
      <c r="A730" t="s">
        <v>20</v>
      </c>
      <c r="B730" t="s">
        <v>140</v>
      </c>
      <c r="C730" t="s">
        <v>223</v>
      </c>
      <c r="D730" s="110">
        <v>26893</v>
      </c>
      <c r="I730" s="110">
        <v>371</v>
      </c>
    </row>
    <row r="731" spans="1:12" x14ac:dyDescent="0.2">
      <c r="A731" t="s">
        <v>20</v>
      </c>
      <c r="B731" t="s">
        <v>105</v>
      </c>
      <c r="C731" t="s">
        <v>220</v>
      </c>
      <c r="D731" s="110">
        <v>43053</v>
      </c>
      <c r="E731" s="110">
        <v>41998</v>
      </c>
      <c r="F731" s="110">
        <v>41598</v>
      </c>
      <c r="G731" s="110">
        <v>41148</v>
      </c>
      <c r="I731" s="110">
        <v>2143</v>
      </c>
      <c r="J731" s="110">
        <v>5078</v>
      </c>
      <c r="K731" s="110">
        <v>9990</v>
      </c>
      <c r="L731" s="110">
        <v>11530</v>
      </c>
    </row>
    <row r="732" spans="1:12" x14ac:dyDescent="0.2">
      <c r="A732" t="s">
        <v>20</v>
      </c>
      <c r="B732" t="s">
        <v>105</v>
      </c>
      <c r="C732" t="s">
        <v>221</v>
      </c>
      <c r="D732" s="110">
        <v>47866.5</v>
      </c>
      <c r="E732" s="110">
        <v>47046.5</v>
      </c>
      <c r="F732" s="110">
        <v>45296.5</v>
      </c>
      <c r="I732" s="110">
        <v>4995.5</v>
      </c>
      <c r="J732" s="110">
        <v>10624.5</v>
      </c>
      <c r="K732" s="110">
        <v>13304.5</v>
      </c>
    </row>
    <row r="733" spans="1:12" x14ac:dyDescent="0.2">
      <c r="A733" t="s">
        <v>20</v>
      </c>
      <c r="B733" t="s">
        <v>105</v>
      </c>
      <c r="C733" t="s">
        <v>222</v>
      </c>
      <c r="D733" s="110">
        <v>39694</v>
      </c>
      <c r="E733" s="110">
        <v>37399</v>
      </c>
      <c r="I733" s="110">
        <v>2884</v>
      </c>
      <c r="J733" s="110">
        <v>8011</v>
      </c>
    </row>
    <row r="734" spans="1:12" x14ac:dyDescent="0.2">
      <c r="A734" t="s">
        <v>20</v>
      </c>
      <c r="B734" t="s">
        <v>105</v>
      </c>
      <c r="C734" t="s">
        <v>223</v>
      </c>
      <c r="D734" s="110">
        <v>34810</v>
      </c>
      <c r="I734" s="110">
        <v>3924.5</v>
      </c>
    </row>
    <row r="735" spans="1:12" x14ac:dyDescent="0.2">
      <c r="A735" t="s">
        <v>20</v>
      </c>
      <c r="B735" t="s">
        <v>111</v>
      </c>
      <c r="C735" t="s">
        <v>220</v>
      </c>
      <c r="D735" s="110">
        <v>2450</v>
      </c>
      <c r="E735" s="110">
        <v>2450</v>
      </c>
      <c r="F735" s="110">
        <v>2450</v>
      </c>
      <c r="G735" s="110">
        <v>2450</v>
      </c>
      <c r="I735" s="110">
        <v>50</v>
      </c>
      <c r="J735" s="110">
        <v>860</v>
      </c>
      <c r="K735" s="110">
        <v>1146.75</v>
      </c>
      <c r="L735" s="110">
        <v>1146.75</v>
      </c>
    </row>
    <row r="736" spans="1:12" x14ac:dyDescent="0.2">
      <c r="A736" t="s">
        <v>20</v>
      </c>
      <c r="B736" t="s">
        <v>111</v>
      </c>
      <c r="C736" t="s">
        <v>221</v>
      </c>
      <c r="D736" s="110">
        <v>3502</v>
      </c>
      <c r="E736" s="110">
        <v>3452</v>
      </c>
      <c r="F736" s="110">
        <v>3202</v>
      </c>
      <c r="I736" s="110">
        <v>200</v>
      </c>
      <c r="J736" s="110">
        <v>694.5</v>
      </c>
      <c r="K736" s="110">
        <v>1028</v>
      </c>
    </row>
    <row r="737" spans="1:12" x14ac:dyDescent="0.2">
      <c r="A737" t="s">
        <v>20</v>
      </c>
      <c r="B737" t="s">
        <v>111</v>
      </c>
      <c r="C737" t="s">
        <v>222</v>
      </c>
      <c r="D737" s="110">
        <v>2100</v>
      </c>
      <c r="E737" s="110">
        <v>2100</v>
      </c>
      <c r="I737" s="110">
        <v>100</v>
      </c>
      <c r="J737" s="110">
        <v>300</v>
      </c>
    </row>
    <row r="738" spans="1:12" x14ac:dyDescent="0.2">
      <c r="A738" t="s">
        <v>20</v>
      </c>
      <c r="B738" t="s">
        <v>111</v>
      </c>
      <c r="C738" t="s">
        <v>223</v>
      </c>
      <c r="D738" s="110">
        <v>5480</v>
      </c>
      <c r="I738" s="110">
        <v>200</v>
      </c>
    </row>
    <row r="739" spans="1:12" x14ac:dyDescent="0.2">
      <c r="A739" t="s">
        <v>20</v>
      </c>
      <c r="B739" t="s">
        <v>109</v>
      </c>
      <c r="C739" t="s">
        <v>220</v>
      </c>
      <c r="D739" s="110">
        <v>53411</v>
      </c>
      <c r="E739" s="110">
        <v>52071</v>
      </c>
      <c r="F739" s="110">
        <v>51771</v>
      </c>
      <c r="G739" s="110">
        <v>51771</v>
      </c>
      <c r="I739" s="110">
        <v>20023.75</v>
      </c>
      <c r="J739" s="110">
        <v>29208.39</v>
      </c>
      <c r="K739" s="110">
        <v>31541.1</v>
      </c>
      <c r="L739" s="110">
        <v>32515.25</v>
      </c>
    </row>
    <row r="740" spans="1:12" x14ac:dyDescent="0.2">
      <c r="A740" t="s">
        <v>20</v>
      </c>
      <c r="B740" t="s">
        <v>109</v>
      </c>
      <c r="C740" t="s">
        <v>221</v>
      </c>
      <c r="D740" s="110">
        <v>62971</v>
      </c>
      <c r="E740" s="110">
        <v>62277</v>
      </c>
      <c r="F740" s="110">
        <v>61032</v>
      </c>
      <c r="I740" s="110">
        <v>17351.099999999999</v>
      </c>
      <c r="J740" s="110">
        <v>25969.8</v>
      </c>
      <c r="K740" s="110">
        <v>28929.97</v>
      </c>
    </row>
    <row r="741" spans="1:12" x14ac:dyDescent="0.2">
      <c r="A741" t="s">
        <v>20</v>
      </c>
      <c r="B741" t="s">
        <v>109</v>
      </c>
      <c r="C741" t="s">
        <v>222</v>
      </c>
      <c r="D741" s="110">
        <v>64278</v>
      </c>
      <c r="E741" s="110">
        <v>60971</v>
      </c>
      <c r="I741" s="110">
        <v>13441.6</v>
      </c>
      <c r="J741" s="110">
        <v>23863.99</v>
      </c>
    </row>
    <row r="742" spans="1:12" x14ac:dyDescent="0.2">
      <c r="A742" t="s">
        <v>20</v>
      </c>
      <c r="B742" t="s">
        <v>109</v>
      </c>
      <c r="C742" t="s">
        <v>223</v>
      </c>
      <c r="D742" s="110">
        <v>53147</v>
      </c>
      <c r="I742" s="110">
        <v>14225.86</v>
      </c>
    </row>
    <row r="743" spans="1:12" x14ac:dyDescent="0.2">
      <c r="A743" t="s">
        <v>20</v>
      </c>
      <c r="B743" t="s">
        <v>106</v>
      </c>
      <c r="C743" t="s">
        <v>220</v>
      </c>
      <c r="D743" s="110">
        <v>51418.71</v>
      </c>
      <c r="E743" s="110">
        <v>51418.71</v>
      </c>
      <c r="F743" s="110">
        <v>51418.71</v>
      </c>
      <c r="G743" s="110">
        <v>51418.71</v>
      </c>
      <c r="I743" s="110">
        <v>46933.71</v>
      </c>
      <c r="J743" s="110">
        <v>47408.71</v>
      </c>
      <c r="K743" s="110">
        <v>47408.71</v>
      </c>
      <c r="L743" s="110">
        <v>47408.71</v>
      </c>
    </row>
    <row r="744" spans="1:12" x14ac:dyDescent="0.2">
      <c r="A744" t="s">
        <v>20</v>
      </c>
      <c r="B744" t="s">
        <v>106</v>
      </c>
      <c r="C744" t="s">
        <v>221</v>
      </c>
      <c r="D744" s="110">
        <v>123706.93</v>
      </c>
      <c r="E744" s="110">
        <v>123306.93</v>
      </c>
      <c r="F744" s="110">
        <v>123306.93</v>
      </c>
      <c r="I744" s="110">
        <v>122896.93</v>
      </c>
      <c r="J744" s="110">
        <v>122896.93</v>
      </c>
      <c r="K744" s="110">
        <v>122896.93</v>
      </c>
    </row>
    <row r="745" spans="1:12" x14ac:dyDescent="0.2">
      <c r="A745" t="s">
        <v>20</v>
      </c>
      <c r="B745" t="s">
        <v>106</v>
      </c>
      <c r="C745" t="s">
        <v>222</v>
      </c>
      <c r="D745" s="110">
        <v>99789.45</v>
      </c>
      <c r="E745" s="110">
        <v>99789.45</v>
      </c>
      <c r="I745" s="110">
        <v>95254.45</v>
      </c>
      <c r="J745" s="110">
        <v>99324.45</v>
      </c>
    </row>
    <row r="746" spans="1:12" x14ac:dyDescent="0.2">
      <c r="A746" t="s">
        <v>20</v>
      </c>
      <c r="B746" t="s">
        <v>106</v>
      </c>
      <c r="C746" t="s">
        <v>223</v>
      </c>
      <c r="D746" s="110">
        <v>84053.5</v>
      </c>
      <c r="I746" s="110">
        <v>81408.5</v>
      </c>
    </row>
    <row r="747" spans="1:12" x14ac:dyDescent="0.2">
      <c r="A747" t="s">
        <v>20</v>
      </c>
      <c r="B747" t="s">
        <v>107</v>
      </c>
      <c r="C747" t="s">
        <v>220</v>
      </c>
      <c r="D747" s="110">
        <v>39943.589999999997</v>
      </c>
      <c r="E747" s="110">
        <v>39943.589999999997</v>
      </c>
      <c r="F747" s="110">
        <v>39943.589999999997</v>
      </c>
      <c r="G747" s="110">
        <v>39943.589999999997</v>
      </c>
      <c r="I747" s="110">
        <v>39856.339999999997</v>
      </c>
      <c r="J747" s="110">
        <v>39931.339999999997</v>
      </c>
      <c r="K747" s="110">
        <v>39931.339999999997</v>
      </c>
      <c r="L747" s="110">
        <v>39931.339999999997</v>
      </c>
    </row>
    <row r="748" spans="1:12" x14ac:dyDescent="0.2">
      <c r="A748" t="s">
        <v>20</v>
      </c>
      <c r="B748" t="s">
        <v>107</v>
      </c>
      <c r="C748" t="s">
        <v>221</v>
      </c>
      <c r="D748" s="110">
        <v>64036</v>
      </c>
      <c r="E748" s="110">
        <v>64036</v>
      </c>
      <c r="F748" s="110">
        <v>64036</v>
      </c>
      <c r="I748" s="110">
        <v>60501</v>
      </c>
      <c r="J748" s="110">
        <v>63376</v>
      </c>
      <c r="K748" s="110">
        <v>63376</v>
      </c>
    </row>
    <row r="749" spans="1:12" x14ac:dyDescent="0.2">
      <c r="A749" t="s">
        <v>20</v>
      </c>
      <c r="B749" t="s">
        <v>107</v>
      </c>
      <c r="C749" t="s">
        <v>222</v>
      </c>
      <c r="D749" s="110">
        <v>70408.070000000007</v>
      </c>
      <c r="E749" s="110">
        <v>70408.070000000007</v>
      </c>
      <c r="I749" s="110">
        <v>63019.07</v>
      </c>
      <c r="J749" s="110">
        <v>69472.070000000007</v>
      </c>
    </row>
    <row r="750" spans="1:12" x14ac:dyDescent="0.2">
      <c r="A750" t="s">
        <v>20</v>
      </c>
      <c r="B750" t="s">
        <v>107</v>
      </c>
      <c r="C750" t="s">
        <v>223</v>
      </c>
      <c r="D750" s="110">
        <v>77602.14</v>
      </c>
      <c r="I750" s="110">
        <v>74333.14</v>
      </c>
    </row>
    <row r="751" spans="1:12" x14ac:dyDescent="0.2">
      <c r="A751" t="s">
        <v>20</v>
      </c>
      <c r="B751" t="s">
        <v>108</v>
      </c>
      <c r="C751" t="s">
        <v>220</v>
      </c>
      <c r="D751" s="110">
        <v>14424.75</v>
      </c>
      <c r="E751" s="110">
        <v>14424.75</v>
      </c>
      <c r="F751" s="110">
        <v>14424.75</v>
      </c>
      <c r="G751" s="110">
        <v>14424.75</v>
      </c>
      <c r="I751" s="110">
        <v>14424.75</v>
      </c>
      <c r="J751" s="110">
        <v>14424.75</v>
      </c>
      <c r="K751" s="110">
        <v>14424.75</v>
      </c>
      <c r="L751" s="110">
        <v>14424.75</v>
      </c>
    </row>
    <row r="752" spans="1:12" x14ac:dyDescent="0.2">
      <c r="A752" t="s">
        <v>20</v>
      </c>
      <c r="B752" t="s">
        <v>108</v>
      </c>
      <c r="C752" t="s">
        <v>221</v>
      </c>
      <c r="D752" s="110">
        <v>17799.05</v>
      </c>
      <c r="E752" s="110">
        <v>17799.05</v>
      </c>
      <c r="F752" s="110">
        <v>17799.05</v>
      </c>
      <c r="I752" s="110">
        <v>17793.05</v>
      </c>
      <c r="J752" s="110">
        <v>17799.05</v>
      </c>
      <c r="K752" s="110">
        <v>17799.05</v>
      </c>
    </row>
    <row r="753" spans="1:12" x14ac:dyDescent="0.2">
      <c r="A753" t="s">
        <v>20</v>
      </c>
      <c r="B753" t="s">
        <v>108</v>
      </c>
      <c r="C753" t="s">
        <v>222</v>
      </c>
      <c r="D753" s="110">
        <v>13874.65</v>
      </c>
      <c r="E753" s="110">
        <v>13874.65</v>
      </c>
      <c r="I753" s="110">
        <v>13639.65</v>
      </c>
      <c r="J753" s="110">
        <v>13874.65</v>
      </c>
    </row>
    <row r="754" spans="1:12" x14ac:dyDescent="0.2">
      <c r="A754" t="s">
        <v>20</v>
      </c>
      <c r="B754" t="s">
        <v>108</v>
      </c>
      <c r="C754" t="s">
        <v>223</v>
      </c>
      <c r="D754" s="110">
        <v>16250</v>
      </c>
      <c r="I754" s="110">
        <v>16220</v>
      </c>
    </row>
    <row r="755" spans="1:12" x14ac:dyDescent="0.2">
      <c r="A755" t="s">
        <v>20</v>
      </c>
      <c r="B755" t="s">
        <v>70</v>
      </c>
      <c r="C755" t="s">
        <v>220</v>
      </c>
      <c r="D755" s="110">
        <v>9535.0499999999993</v>
      </c>
      <c r="E755" s="110">
        <v>9535.0499999999993</v>
      </c>
      <c r="F755" s="110">
        <v>9535.0499999999993</v>
      </c>
      <c r="G755" s="110">
        <v>9535.0499999999993</v>
      </c>
      <c r="I755" s="110">
        <v>9525.0499999999993</v>
      </c>
      <c r="J755" s="110">
        <v>9525.0499999999993</v>
      </c>
      <c r="K755" s="110">
        <v>9525.0499999999993</v>
      </c>
      <c r="L755" s="110">
        <v>9525.0499999999993</v>
      </c>
    </row>
    <row r="756" spans="1:12" x14ac:dyDescent="0.2">
      <c r="A756" t="s">
        <v>20</v>
      </c>
      <c r="B756" t="s">
        <v>70</v>
      </c>
      <c r="C756" t="s">
        <v>221</v>
      </c>
      <c r="D756" s="110">
        <v>19450</v>
      </c>
      <c r="E756" s="110">
        <v>19042.5</v>
      </c>
      <c r="F756" s="110">
        <v>19042.5</v>
      </c>
      <c r="I756" s="110">
        <v>18220.5</v>
      </c>
      <c r="J756" s="110">
        <v>18632</v>
      </c>
      <c r="K756" s="110">
        <v>18632</v>
      </c>
    </row>
    <row r="757" spans="1:12" x14ac:dyDescent="0.2">
      <c r="A757" t="s">
        <v>20</v>
      </c>
      <c r="B757" t="s">
        <v>70</v>
      </c>
      <c r="C757" t="s">
        <v>222</v>
      </c>
      <c r="D757" s="110">
        <v>19505.650000000001</v>
      </c>
      <c r="E757" s="110">
        <v>19505.650000000001</v>
      </c>
      <c r="I757" s="110">
        <v>19045.150000000001</v>
      </c>
      <c r="J757" s="110">
        <v>19088.150000000001</v>
      </c>
    </row>
    <row r="758" spans="1:12" x14ac:dyDescent="0.2">
      <c r="A758" t="s">
        <v>20</v>
      </c>
      <c r="B758" t="s">
        <v>70</v>
      </c>
      <c r="C758" t="s">
        <v>223</v>
      </c>
      <c r="D758" s="110">
        <v>14288.3</v>
      </c>
      <c r="I758" s="110">
        <v>11902.55</v>
      </c>
    </row>
    <row r="759" spans="1:12" x14ac:dyDescent="0.2">
      <c r="A759" t="s">
        <v>20</v>
      </c>
      <c r="B759" t="s">
        <v>110</v>
      </c>
      <c r="C759" t="s">
        <v>220</v>
      </c>
      <c r="D759" s="110">
        <v>141730.25</v>
      </c>
      <c r="E759" s="110">
        <v>132349.75</v>
      </c>
      <c r="F759" s="110">
        <v>130300.75</v>
      </c>
      <c r="G759" s="110">
        <v>129159.75</v>
      </c>
      <c r="I759" s="110">
        <v>38254</v>
      </c>
      <c r="J759" s="110">
        <v>86589.75</v>
      </c>
      <c r="K759" s="110">
        <v>99061.75</v>
      </c>
      <c r="L759" s="110">
        <v>103839.75</v>
      </c>
    </row>
    <row r="760" spans="1:12" x14ac:dyDescent="0.2">
      <c r="A760" t="s">
        <v>20</v>
      </c>
      <c r="B760" t="s">
        <v>110</v>
      </c>
      <c r="C760" t="s">
        <v>221</v>
      </c>
      <c r="D760" s="110">
        <v>188308.18</v>
      </c>
      <c r="E760" s="110">
        <v>179474.23</v>
      </c>
      <c r="F760" s="110">
        <v>177136.23</v>
      </c>
      <c r="I760" s="110">
        <v>72951.13</v>
      </c>
      <c r="J760" s="110">
        <v>127997.73</v>
      </c>
      <c r="K760" s="110">
        <v>142850.73000000001</v>
      </c>
    </row>
    <row r="761" spans="1:12" x14ac:dyDescent="0.2">
      <c r="A761" t="s">
        <v>20</v>
      </c>
      <c r="B761" t="s">
        <v>110</v>
      </c>
      <c r="C761" t="s">
        <v>222</v>
      </c>
      <c r="D761" s="110">
        <v>268165.59000000003</v>
      </c>
      <c r="E761" s="110">
        <v>249361.04</v>
      </c>
      <c r="I761" s="110">
        <v>105180.19</v>
      </c>
      <c r="J761" s="110">
        <v>173636.29</v>
      </c>
    </row>
    <row r="762" spans="1:12" x14ac:dyDescent="0.2">
      <c r="A762" t="s">
        <v>20</v>
      </c>
      <c r="B762" t="s">
        <v>110</v>
      </c>
      <c r="C762" t="s">
        <v>223</v>
      </c>
      <c r="D762" s="110">
        <v>239309.3</v>
      </c>
      <c r="I762" s="110">
        <v>93037.7</v>
      </c>
    </row>
    <row r="763" spans="1:12" x14ac:dyDescent="0.2">
      <c r="A763" t="s">
        <v>21</v>
      </c>
      <c r="B763" t="s">
        <v>104</v>
      </c>
      <c r="C763" t="s">
        <v>220</v>
      </c>
      <c r="D763" s="110">
        <v>30105</v>
      </c>
      <c r="E763" s="110">
        <v>30105</v>
      </c>
      <c r="F763" s="110">
        <v>30105</v>
      </c>
      <c r="G763" s="110">
        <v>30155</v>
      </c>
      <c r="I763" s="110">
        <v>1325</v>
      </c>
      <c r="J763" s="110">
        <v>2565.25</v>
      </c>
      <c r="K763" s="110">
        <v>3597.46</v>
      </c>
      <c r="L763" s="110">
        <v>4585.7700000000004</v>
      </c>
    </row>
    <row r="764" spans="1:12" x14ac:dyDescent="0.2">
      <c r="A764" t="s">
        <v>21</v>
      </c>
      <c r="B764" t="s">
        <v>104</v>
      </c>
      <c r="C764" t="s">
        <v>221</v>
      </c>
      <c r="D764" s="110">
        <v>29860.5</v>
      </c>
      <c r="E764" s="110">
        <v>29860.5</v>
      </c>
      <c r="F764" s="110">
        <v>29860.5</v>
      </c>
      <c r="I764" s="110">
        <v>1733.96</v>
      </c>
      <c r="J764" s="110">
        <v>2792.69</v>
      </c>
      <c r="K764" s="110">
        <v>3315.68</v>
      </c>
    </row>
    <row r="765" spans="1:12" x14ac:dyDescent="0.2">
      <c r="A765" t="s">
        <v>21</v>
      </c>
      <c r="B765" t="s">
        <v>104</v>
      </c>
      <c r="C765" t="s">
        <v>222</v>
      </c>
      <c r="D765" s="110">
        <v>23935</v>
      </c>
      <c r="E765" s="110">
        <v>23935</v>
      </c>
      <c r="I765" s="110">
        <v>246.98</v>
      </c>
      <c r="J765" s="110">
        <v>935</v>
      </c>
    </row>
    <row r="766" spans="1:12" x14ac:dyDescent="0.2">
      <c r="A766" t="s">
        <v>21</v>
      </c>
      <c r="B766" t="s">
        <v>104</v>
      </c>
      <c r="C766" t="s">
        <v>223</v>
      </c>
      <c r="D766" s="110">
        <v>23220</v>
      </c>
      <c r="I766" s="110">
        <v>1352</v>
      </c>
    </row>
    <row r="767" spans="1:12" x14ac:dyDescent="0.2">
      <c r="A767" t="s">
        <v>21</v>
      </c>
      <c r="B767" t="s">
        <v>140</v>
      </c>
      <c r="C767" t="s">
        <v>220</v>
      </c>
      <c r="I767" s="110">
        <v>0</v>
      </c>
    </row>
    <row r="768" spans="1:12" x14ac:dyDescent="0.2">
      <c r="A768" t="s">
        <v>21</v>
      </c>
      <c r="B768" t="s">
        <v>140</v>
      </c>
      <c r="C768" t="s">
        <v>221</v>
      </c>
    </row>
    <row r="769" spans="1:12" x14ac:dyDescent="0.2">
      <c r="A769" t="s">
        <v>21</v>
      </c>
      <c r="B769" t="s">
        <v>140</v>
      </c>
      <c r="C769" t="s">
        <v>222</v>
      </c>
    </row>
    <row r="770" spans="1:12" x14ac:dyDescent="0.2">
      <c r="A770" t="s">
        <v>21</v>
      </c>
      <c r="B770" t="s">
        <v>140</v>
      </c>
      <c r="C770" t="s">
        <v>223</v>
      </c>
    </row>
    <row r="771" spans="1:12" x14ac:dyDescent="0.2">
      <c r="A771" t="s">
        <v>21</v>
      </c>
      <c r="B771" t="s">
        <v>105</v>
      </c>
      <c r="C771" t="s">
        <v>220</v>
      </c>
      <c r="D771" s="110">
        <v>10476.25</v>
      </c>
      <c r="E771" s="110">
        <v>10476.25</v>
      </c>
      <c r="F771" s="110">
        <v>10476.25</v>
      </c>
      <c r="G771" s="110">
        <v>10476.25</v>
      </c>
      <c r="I771" s="110">
        <v>1524</v>
      </c>
      <c r="J771" s="110">
        <v>2052.75</v>
      </c>
      <c r="K771" s="110">
        <v>3439.62</v>
      </c>
      <c r="L771" s="110">
        <v>4160.75</v>
      </c>
    </row>
    <row r="772" spans="1:12" x14ac:dyDescent="0.2">
      <c r="A772" t="s">
        <v>21</v>
      </c>
      <c r="B772" t="s">
        <v>105</v>
      </c>
      <c r="C772" t="s">
        <v>221</v>
      </c>
      <c r="D772" s="110">
        <v>16987.75</v>
      </c>
      <c r="E772" s="110">
        <v>17187.75</v>
      </c>
      <c r="F772" s="110">
        <v>17187.75</v>
      </c>
      <c r="I772" s="110">
        <v>4452.75</v>
      </c>
      <c r="J772" s="110">
        <v>5981.75</v>
      </c>
      <c r="K772" s="110">
        <v>7526</v>
      </c>
    </row>
    <row r="773" spans="1:12" x14ac:dyDescent="0.2">
      <c r="A773" t="s">
        <v>21</v>
      </c>
      <c r="B773" t="s">
        <v>105</v>
      </c>
      <c r="C773" t="s">
        <v>222</v>
      </c>
      <c r="D773" s="110">
        <v>13722.75</v>
      </c>
      <c r="E773" s="110">
        <v>13722.75</v>
      </c>
      <c r="I773" s="110">
        <v>2720.5</v>
      </c>
      <c r="J773" s="110">
        <v>5520</v>
      </c>
    </row>
    <row r="774" spans="1:12" x14ac:dyDescent="0.2">
      <c r="A774" t="s">
        <v>21</v>
      </c>
      <c r="B774" t="s">
        <v>105</v>
      </c>
      <c r="C774" t="s">
        <v>223</v>
      </c>
      <c r="D774" s="110">
        <v>11790.25</v>
      </c>
      <c r="I774" s="110">
        <v>2217.87</v>
      </c>
    </row>
    <row r="775" spans="1:12" x14ac:dyDescent="0.2">
      <c r="A775" t="s">
        <v>21</v>
      </c>
      <c r="B775" t="s">
        <v>111</v>
      </c>
      <c r="C775" t="s">
        <v>220</v>
      </c>
      <c r="D775" s="110">
        <v>674</v>
      </c>
      <c r="E775" s="110">
        <v>673.5</v>
      </c>
      <c r="F775" s="110">
        <v>673.5</v>
      </c>
      <c r="G775" s="110">
        <v>673.5</v>
      </c>
      <c r="I775" s="110">
        <v>4</v>
      </c>
      <c r="J775" s="110">
        <v>143.5</v>
      </c>
      <c r="K775" s="110">
        <v>443.5</v>
      </c>
      <c r="L775" s="110">
        <v>463.5</v>
      </c>
    </row>
    <row r="776" spans="1:12" x14ac:dyDescent="0.2">
      <c r="A776" t="s">
        <v>21</v>
      </c>
      <c r="B776" t="s">
        <v>111</v>
      </c>
      <c r="C776" t="s">
        <v>221</v>
      </c>
      <c r="D776" s="110">
        <v>1555.5</v>
      </c>
      <c r="E776" s="110">
        <v>1555.5</v>
      </c>
      <c r="F776" s="110">
        <v>1355.5</v>
      </c>
      <c r="I776" s="110">
        <v>175.5</v>
      </c>
      <c r="J776" s="110">
        <v>215.5</v>
      </c>
      <c r="K776" s="110">
        <v>250.5</v>
      </c>
    </row>
    <row r="777" spans="1:12" x14ac:dyDescent="0.2">
      <c r="A777" t="s">
        <v>21</v>
      </c>
      <c r="B777" t="s">
        <v>111</v>
      </c>
      <c r="C777" t="s">
        <v>222</v>
      </c>
      <c r="D777" s="110">
        <v>1237</v>
      </c>
      <c r="E777" s="110">
        <v>1237</v>
      </c>
      <c r="I777" s="110">
        <v>23.5</v>
      </c>
      <c r="J777" s="110">
        <v>222.97</v>
      </c>
    </row>
    <row r="778" spans="1:12" x14ac:dyDescent="0.2">
      <c r="A778" t="s">
        <v>21</v>
      </c>
      <c r="B778" t="s">
        <v>111</v>
      </c>
      <c r="C778" t="s">
        <v>223</v>
      </c>
      <c r="D778" s="110">
        <v>259</v>
      </c>
      <c r="I778" s="110">
        <v>10.5</v>
      </c>
    </row>
    <row r="779" spans="1:12" x14ac:dyDescent="0.2">
      <c r="A779" t="s">
        <v>21</v>
      </c>
      <c r="B779" t="s">
        <v>109</v>
      </c>
      <c r="C779" t="s">
        <v>220</v>
      </c>
      <c r="D779" s="110">
        <v>9643</v>
      </c>
      <c r="E779" s="110">
        <v>9643</v>
      </c>
      <c r="F779" s="110">
        <v>9643</v>
      </c>
      <c r="G779" s="110">
        <v>9643</v>
      </c>
      <c r="I779" s="110">
        <v>2259</v>
      </c>
      <c r="J779" s="110">
        <v>3263.5</v>
      </c>
      <c r="K779" s="110">
        <v>3686.5</v>
      </c>
      <c r="L779" s="110">
        <v>7040.5</v>
      </c>
    </row>
    <row r="780" spans="1:12" x14ac:dyDescent="0.2">
      <c r="A780" t="s">
        <v>21</v>
      </c>
      <c r="B780" t="s">
        <v>109</v>
      </c>
      <c r="C780" t="s">
        <v>221</v>
      </c>
      <c r="D780" s="110">
        <v>20259</v>
      </c>
      <c r="E780" s="110">
        <v>20259</v>
      </c>
      <c r="F780" s="110">
        <v>20259</v>
      </c>
      <c r="I780" s="110">
        <v>5205</v>
      </c>
      <c r="J780" s="110">
        <v>8705.75</v>
      </c>
      <c r="K780" s="110">
        <v>9816.66</v>
      </c>
    </row>
    <row r="781" spans="1:12" x14ac:dyDescent="0.2">
      <c r="A781" t="s">
        <v>21</v>
      </c>
      <c r="B781" t="s">
        <v>109</v>
      </c>
      <c r="C781" t="s">
        <v>222</v>
      </c>
      <c r="D781" s="110">
        <v>9057.5</v>
      </c>
      <c r="E781" s="110">
        <v>9057.5</v>
      </c>
      <c r="I781" s="110">
        <v>2712.25</v>
      </c>
      <c r="J781" s="110">
        <v>4233.75</v>
      </c>
    </row>
    <row r="782" spans="1:12" x14ac:dyDescent="0.2">
      <c r="A782" t="s">
        <v>21</v>
      </c>
      <c r="B782" t="s">
        <v>109</v>
      </c>
      <c r="C782" t="s">
        <v>223</v>
      </c>
      <c r="D782" s="110">
        <v>8479.25</v>
      </c>
      <c r="I782" s="110">
        <v>1192.75</v>
      </c>
    </row>
    <row r="783" spans="1:12" x14ac:dyDescent="0.2">
      <c r="A783" t="s">
        <v>21</v>
      </c>
      <c r="B783" t="s">
        <v>106</v>
      </c>
      <c r="C783" t="s">
        <v>220</v>
      </c>
      <c r="D783" s="110">
        <v>12026</v>
      </c>
      <c r="E783" s="110">
        <v>12026</v>
      </c>
      <c r="F783" s="110">
        <v>12026</v>
      </c>
      <c r="G783" s="110">
        <v>12026</v>
      </c>
      <c r="I783" s="110">
        <v>12026</v>
      </c>
      <c r="J783" s="110">
        <v>12026</v>
      </c>
      <c r="K783" s="110">
        <v>12026</v>
      </c>
      <c r="L783" s="110">
        <v>12026</v>
      </c>
    </row>
    <row r="784" spans="1:12" x14ac:dyDescent="0.2">
      <c r="A784" t="s">
        <v>21</v>
      </c>
      <c r="B784" t="s">
        <v>106</v>
      </c>
      <c r="C784" t="s">
        <v>221</v>
      </c>
      <c r="D784" s="110">
        <v>10676.5</v>
      </c>
      <c r="E784" s="110">
        <v>10676.5</v>
      </c>
      <c r="F784" s="110">
        <v>10676.5</v>
      </c>
      <c r="I784" s="110">
        <v>10676.5</v>
      </c>
      <c r="J784" s="110">
        <v>10676.5</v>
      </c>
      <c r="K784" s="110">
        <v>10676.5</v>
      </c>
    </row>
    <row r="785" spans="1:12" x14ac:dyDescent="0.2">
      <c r="A785" t="s">
        <v>21</v>
      </c>
      <c r="B785" t="s">
        <v>106</v>
      </c>
      <c r="C785" t="s">
        <v>222</v>
      </c>
      <c r="D785" s="110">
        <v>17715.5</v>
      </c>
      <c r="E785" s="110">
        <v>17715.5</v>
      </c>
      <c r="I785" s="110">
        <v>17715.5</v>
      </c>
      <c r="J785" s="110">
        <v>17715.5</v>
      </c>
    </row>
    <row r="786" spans="1:12" x14ac:dyDescent="0.2">
      <c r="A786" t="s">
        <v>21</v>
      </c>
      <c r="B786" t="s">
        <v>106</v>
      </c>
      <c r="C786" t="s">
        <v>223</v>
      </c>
      <c r="D786" s="110">
        <v>11270</v>
      </c>
      <c r="I786" s="110">
        <v>9970</v>
      </c>
    </row>
    <row r="787" spans="1:12" x14ac:dyDescent="0.2">
      <c r="A787" t="s">
        <v>21</v>
      </c>
      <c r="B787" t="s">
        <v>107</v>
      </c>
      <c r="C787" t="s">
        <v>220</v>
      </c>
      <c r="D787" s="110">
        <v>15710</v>
      </c>
      <c r="E787" s="110">
        <v>15710</v>
      </c>
      <c r="F787" s="110">
        <v>15710</v>
      </c>
      <c r="G787" s="110">
        <v>15710</v>
      </c>
      <c r="I787" s="110">
        <v>15660</v>
      </c>
      <c r="J787" s="110">
        <v>15660</v>
      </c>
      <c r="K787" s="110">
        <v>15660</v>
      </c>
      <c r="L787" s="110">
        <v>15660</v>
      </c>
    </row>
    <row r="788" spans="1:12" x14ac:dyDescent="0.2">
      <c r="A788" t="s">
        <v>21</v>
      </c>
      <c r="B788" t="s">
        <v>107</v>
      </c>
      <c r="C788" t="s">
        <v>221</v>
      </c>
      <c r="D788" s="110">
        <v>17574</v>
      </c>
      <c r="E788" s="110">
        <v>17574</v>
      </c>
      <c r="F788" s="110">
        <v>17574</v>
      </c>
      <c r="I788" s="110">
        <v>17372</v>
      </c>
      <c r="J788" s="110">
        <v>17372</v>
      </c>
      <c r="K788" s="110">
        <v>17372</v>
      </c>
    </row>
    <row r="789" spans="1:12" x14ac:dyDescent="0.2">
      <c r="A789" t="s">
        <v>21</v>
      </c>
      <c r="B789" t="s">
        <v>107</v>
      </c>
      <c r="C789" t="s">
        <v>222</v>
      </c>
      <c r="D789" s="110">
        <v>18590</v>
      </c>
      <c r="E789" s="110">
        <v>14133</v>
      </c>
      <c r="I789" s="110">
        <v>14133</v>
      </c>
      <c r="J789" s="110">
        <v>14133</v>
      </c>
    </row>
    <row r="790" spans="1:12" x14ac:dyDescent="0.2">
      <c r="A790" t="s">
        <v>21</v>
      </c>
      <c r="B790" t="s">
        <v>107</v>
      </c>
      <c r="C790" t="s">
        <v>223</v>
      </c>
      <c r="D790" s="110">
        <v>16284</v>
      </c>
      <c r="I790" s="110">
        <v>16214</v>
      </c>
    </row>
    <row r="791" spans="1:12" x14ac:dyDescent="0.2">
      <c r="A791" t="s">
        <v>21</v>
      </c>
      <c r="B791" t="s">
        <v>108</v>
      </c>
      <c r="C791" t="s">
        <v>220</v>
      </c>
      <c r="D791" s="110">
        <v>7713</v>
      </c>
      <c r="E791" s="110">
        <v>7713</v>
      </c>
      <c r="F791" s="110">
        <v>7713</v>
      </c>
      <c r="G791" s="110">
        <v>7713</v>
      </c>
      <c r="I791" s="110">
        <v>7713</v>
      </c>
      <c r="J791" s="110">
        <v>7713</v>
      </c>
      <c r="K791" s="110">
        <v>7713</v>
      </c>
      <c r="L791" s="110">
        <v>7713</v>
      </c>
    </row>
    <row r="792" spans="1:12" x14ac:dyDescent="0.2">
      <c r="A792" t="s">
        <v>21</v>
      </c>
      <c r="B792" t="s">
        <v>108</v>
      </c>
      <c r="C792" t="s">
        <v>221</v>
      </c>
      <c r="D792" s="110">
        <v>4562</v>
      </c>
      <c r="E792" s="110">
        <v>4562</v>
      </c>
      <c r="F792" s="110">
        <v>4562</v>
      </c>
      <c r="I792" s="110">
        <v>4562</v>
      </c>
      <c r="J792" s="110">
        <v>4562</v>
      </c>
      <c r="K792" s="110">
        <v>4562</v>
      </c>
    </row>
    <row r="793" spans="1:12" x14ac:dyDescent="0.2">
      <c r="A793" t="s">
        <v>21</v>
      </c>
      <c r="B793" t="s">
        <v>108</v>
      </c>
      <c r="C793" t="s">
        <v>222</v>
      </c>
      <c r="D793" s="110">
        <v>6878</v>
      </c>
      <c r="E793" s="110">
        <v>6878</v>
      </c>
      <c r="I793" s="110">
        <v>6478</v>
      </c>
      <c r="J793" s="110">
        <v>6878</v>
      </c>
    </row>
    <row r="794" spans="1:12" x14ac:dyDescent="0.2">
      <c r="A794" t="s">
        <v>21</v>
      </c>
      <c r="B794" t="s">
        <v>108</v>
      </c>
      <c r="C794" t="s">
        <v>223</v>
      </c>
      <c r="D794" s="110">
        <v>7420</v>
      </c>
      <c r="I794" s="110">
        <v>6620</v>
      </c>
    </row>
    <row r="795" spans="1:12" x14ac:dyDescent="0.2">
      <c r="A795" t="s">
        <v>21</v>
      </c>
      <c r="B795" t="s">
        <v>70</v>
      </c>
      <c r="C795" t="s">
        <v>220</v>
      </c>
      <c r="D795" s="110">
        <v>6644</v>
      </c>
      <c r="E795" s="110">
        <v>6644</v>
      </c>
      <c r="F795" s="110">
        <v>6644</v>
      </c>
      <c r="G795" s="110">
        <v>6644</v>
      </c>
      <c r="I795" s="110">
        <v>6236</v>
      </c>
      <c r="J795" s="110">
        <v>6236</v>
      </c>
      <c r="K795" s="110">
        <v>6236</v>
      </c>
      <c r="L795" s="110">
        <v>6236</v>
      </c>
    </row>
    <row r="796" spans="1:12" x14ac:dyDescent="0.2">
      <c r="A796" t="s">
        <v>21</v>
      </c>
      <c r="B796" t="s">
        <v>70</v>
      </c>
      <c r="C796" t="s">
        <v>221</v>
      </c>
      <c r="D796" s="110">
        <v>9529.5499999999993</v>
      </c>
      <c r="E796" s="110">
        <v>9529.5499999999993</v>
      </c>
      <c r="F796" s="110">
        <v>9529.5499999999993</v>
      </c>
      <c r="I796" s="110">
        <v>8719.5499999999993</v>
      </c>
      <c r="J796" s="110">
        <v>9529.5499999999993</v>
      </c>
      <c r="K796" s="110">
        <v>9529.5499999999993</v>
      </c>
    </row>
    <row r="797" spans="1:12" x14ac:dyDescent="0.2">
      <c r="A797" t="s">
        <v>21</v>
      </c>
      <c r="B797" t="s">
        <v>70</v>
      </c>
      <c r="C797" t="s">
        <v>222</v>
      </c>
      <c r="D797" s="110">
        <v>13162.05</v>
      </c>
      <c r="E797" s="110">
        <v>12882.05</v>
      </c>
      <c r="I797" s="110">
        <v>11368.05</v>
      </c>
      <c r="J797" s="110">
        <v>11368.05</v>
      </c>
    </row>
    <row r="798" spans="1:12" x14ac:dyDescent="0.2">
      <c r="A798" t="s">
        <v>21</v>
      </c>
      <c r="B798" t="s">
        <v>70</v>
      </c>
      <c r="C798" t="s">
        <v>223</v>
      </c>
      <c r="D798" s="110">
        <v>11327.05</v>
      </c>
      <c r="I798" s="110">
        <v>10227.049999999999</v>
      </c>
    </row>
    <row r="799" spans="1:12" x14ac:dyDescent="0.2">
      <c r="A799" t="s">
        <v>21</v>
      </c>
      <c r="B799" t="s">
        <v>110</v>
      </c>
      <c r="C799" t="s">
        <v>220</v>
      </c>
      <c r="D799" s="110">
        <v>31680</v>
      </c>
      <c r="E799" s="110">
        <v>29860.7</v>
      </c>
      <c r="F799" s="110">
        <v>29860.7</v>
      </c>
      <c r="G799" s="110">
        <v>29860.7</v>
      </c>
      <c r="I799" s="110">
        <v>11429</v>
      </c>
      <c r="J799" s="110">
        <v>25507.03</v>
      </c>
      <c r="K799" s="110">
        <v>26964.7</v>
      </c>
      <c r="L799" s="110">
        <v>27396.03</v>
      </c>
    </row>
    <row r="800" spans="1:12" x14ac:dyDescent="0.2">
      <c r="A800" t="s">
        <v>21</v>
      </c>
      <c r="B800" t="s">
        <v>110</v>
      </c>
      <c r="C800" t="s">
        <v>221</v>
      </c>
      <c r="D800" s="110">
        <v>42088.9</v>
      </c>
      <c r="E800" s="110">
        <v>42745.599999999999</v>
      </c>
      <c r="F800" s="110">
        <v>42981.7</v>
      </c>
      <c r="I800" s="110">
        <v>25455.01</v>
      </c>
      <c r="J800" s="110">
        <v>35726.71</v>
      </c>
      <c r="K800" s="110">
        <v>38272.910000000003</v>
      </c>
    </row>
    <row r="801" spans="1:12" x14ac:dyDescent="0.2">
      <c r="A801" t="s">
        <v>21</v>
      </c>
      <c r="B801" t="s">
        <v>110</v>
      </c>
      <c r="C801" t="s">
        <v>222</v>
      </c>
      <c r="D801" s="110">
        <v>72396.100000000006</v>
      </c>
      <c r="E801" s="110">
        <v>70490.649999999994</v>
      </c>
      <c r="I801" s="110">
        <v>33466.1</v>
      </c>
      <c r="J801" s="110">
        <v>59720</v>
      </c>
    </row>
    <row r="802" spans="1:12" x14ac:dyDescent="0.2">
      <c r="A802" t="s">
        <v>21</v>
      </c>
      <c r="B802" t="s">
        <v>110</v>
      </c>
      <c r="C802" t="s">
        <v>223</v>
      </c>
      <c r="D802" s="110">
        <v>42608.45</v>
      </c>
      <c r="I802" s="110">
        <v>17545.45</v>
      </c>
    </row>
    <row r="803" spans="1:12" x14ac:dyDescent="0.2">
      <c r="A803" t="s">
        <v>22</v>
      </c>
      <c r="B803" t="s">
        <v>104</v>
      </c>
      <c r="C803" t="s">
        <v>220</v>
      </c>
      <c r="D803" s="110">
        <v>16502</v>
      </c>
      <c r="E803" s="110">
        <v>16452</v>
      </c>
      <c r="F803" s="110">
        <v>16452</v>
      </c>
      <c r="G803" s="110">
        <v>16452</v>
      </c>
      <c r="I803" s="110">
        <v>987.45</v>
      </c>
      <c r="J803" s="110">
        <v>2138.4699999999998</v>
      </c>
      <c r="K803" s="110">
        <v>2516.67</v>
      </c>
      <c r="L803" s="110">
        <v>2523</v>
      </c>
    </row>
    <row r="804" spans="1:12" x14ac:dyDescent="0.2">
      <c r="A804" t="s">
        <v>22</v>
      </c>
      <c r="B804" t="s">
        <v>104</v>
      </c>
      <c r="C804" t="s">
        <v>221</v>
      </c>
      <c r="D804" s="110">
        <v>23596.5</v>
      </c>
      <c r="E804" s="110">
        <v>23546.5</v>
      </c>
      <c r="F804" s="110">
        <v>23546.5</v>
      </c>
      <c r="I804" s="110">
        <v>1688.92</v>
      </c>
      <c r="J804" s="110">
        <v>4622.25</v>
      </c>
      <c r="K804" s="110">
        <v>5668.22</v>
      </c>
    </row>
    <row r="805" spans="1:12" x14ac:dyDescent="0.2">
      <c r="A805" t="s">
        <v>22</v>
      </c>
      <c r="B805" t="s">
        <v>104</v>
      </c>
      <c r="C805" t="s">
        <v>222</v>
      </c>
      <c r="D805" s="110">
        <v>25365.5</v>
      </c>
      <c r="E805" s="110">
        <v>25365.5</v>
      </c>
      <c r="I805" s="110">
        <v>2837.65</v>
      </c>
      <c r="J805" s="110">
        <v>3519.82</v>
      </c>
    </row>
    <row r="806" spans="1:12" x14ac:dyDescent="0.2">
      <c r="A806" t="s">
        <v>22</v>
      </c>
      <c r="B806" t="s">
        <v>104</v>
      </c>
      <c r="C806" t="s">
        <v>223</v>
      </c>
      <c r="D806" s="110">
        <v>39063.5</v>
      </c>
      <c r="I806" s="110">
        <v>940.9</v>
      </c>
    </row>
    <row r="807" spans="1:12" x14ac:dyDescent="0.2">
      <c r="A807" t="s">
        <v>22</v>
      </c>
      <c r="B807" t="s">
        <v>140</v>
      </c>
      <c r="C807" t="s">
        <v>220</v>
      </c>
      <c r="D807" s="110">
        <v>0</v>
      </c>
      <c r="F807" s="110">
        <v>0</v>
      </c>
      <c r="G807" s="110">
        <v>0</v>
      </c>
      <c r="I807" s="110">
        <v>0</v>
      </c>
      <c r="K807" s="110">
        <v>0</v>
      </c>
      <c r="L807" s="110">
        <v>0</v>
      </c>
    </row>
    <row r="808" spans="1:12" x14ac:dyDescent="0.2">
      <c r="A808" t="s">
        <v>22</v>
      </c>
      <c r="B808" t="s">
        <v>140</v>
      </c>
      <c r="C808" t="s">
        <v>221</v>
      </c>
      <c r="D808" s="110">
        <v>0</v>
      </c>
      <c r="E808" s="110">
        <v>0</v>
      </c>
      <c r="F808" s="110">
        <v>0</v>
      </c>
      <c r="I808" s="110">
        <v>0</v>
      </c>
      <c r="J808" s="110">
        <v>0</v>
      </c>
      <c r="K808" s="110">
        <v>0</v>
      </c>
    </row>
    <row r="809" spans="1:12" x14ac:dyDescent="0.2">
      <c r="A809" t="s">
        <v>22</v>
      </c>
      <c r="B809" t="s">
        <v>140</v>
      </c>
      <c r="C809" t="s">
        <v>222</v>
      </c>
      <c r="D809" s="110">
        <v>0</v>
      </c>
      <c r="E809" s="110">
        <v>0</v>
      </c>
      <c r="I809" s="110">
        <v>0</v>
      </c>
      <c r="J809" s="110">
        <v>0</v>
      </c>
    </row>
    <row r="810" spans="1:12" x14ac:dyDescent="0.2">
      <c r="A810" t="s">
        <v>22</v>
      </c>
      <c r="B810" t="s">
        <v>140</v>
      </c>
      <c r="C810" t="s">
        <v>223</v>
      </c>
      <c r="D810" s="110">
        <v>0</v>
      </c>
      <c r="I810" s="110">
        <v>0</v>
      </c>
    </row>
    <row r="811" spans="1:12" x14ac:dyDescent="0.2">
      <c r="A811" t="s">
        <v>22</v>
      </c>
      <c r="B811" t="s">
        <v>105</v>
      </c>
      <c r="C811" t="s">
        <v>220</v>
      </c>
      <c r="D811" s="110">
        <v>11592.5</v>
      </c>
      <c r="E811" s="110">
        <v>11492.5</v>
      </c>
      <c r="F811" s="110">
        <v>11492.5</v>
      </c>
      <c r="G811" s="110">
        <v>11492.5</v>
      </c>
      <c r="I811" s="110">
        <v>3077</v>
      </c>
      <c r="J811" s="110">
        <v>5731.5</v>
      </c>
      <c r="K811" s="110">
        <v>6841.5</v>
      </c>
      <c r="L811" s="110">
        <v>7061.5</v>
      </c>
    </row>
    <row r="812" spans="1:12" x14ac:dyDescent="0.2">
      <c r="A812" t="s">
        <v>22</v>
      </c>
      <c r="B812" t="s">
        <v>105</v>
      </c>
      <c r="C812" t="s">
        <v>221</v>
      </c>
      <c r="D812" s="110">
        <v>23594</v>
      </c>
      <c r="E812" s="110">
        <v>23240.2</v>
      </c>
      <c r="F812" s="110">
        <v>23240.2</v>
      </c>
      <c r="I812" s="110">
        <v>5720.71</v>
      </c>
      <c r="J812" s="110">
        <v>10357.41</v>
      </c>
      <c r="K812" s="110">
        <v>11533.7</v>
      </c>
    </row>
    <row r="813" spans="1:12" x14ac:dyDescent="0.2">
      <c r="A813" t="s">
        <v>22</v>
      </c>
      <c r="B813" t="s">
        <v>105</v>
      </c>
      <c r="C813" t="s">
        <v>222</v>
      </c>
      <c r="D813" s="110">
        <v>20282.5</v>
      </c>
      <c r="E813" s="110">
        <v>20282.5</v>
      </c>
      <c r="I813" s="110">
        <v>5725</v>
      </c>
      <c r="J813" s="110">
        <v>8639</v>
      </c>
    </row>
    <row r="814" spans="1:12" x14ac:dyDescent="0.2">
      <c r="A814" t="s">
        <v>22</v>
      </c>
      <c r="B814" t="s">
        <v>105</v>
      </c>
      <c r="C814" t="s">
        <v>223</v>
      </c>
      <c r="D814" s="110">
        <v>18825.5</v>
      </c>
      <c r="I814" s="110">
        <v>5078.5</v>
      </c>
    </row>
    <row r="815" spans="1:12" x14ac:dyDescent="0.2">
      <c r="A815" t="s">
        <v>22</v>
      </c>
      <c r="B815" t="s">
        <v>111</v>
      </c>
      <c r="C815" t="s">
        <v>220</v>
      </c>
      <c r="D815" s="110">
        <v>230.01</v>
      </c>
      <c r="E815" s="110">
        <v>280</v>
      </c>
      <c r="F815" s="110">
        <v>280</v>
      </c>
      <c r="G815" s="110">
        <v>280</v>
      </c>
      <c r="I815" s="110">
        <v>0</v>
      </c>
      <c r="J815" s="110">
        <v>30</v>
      </c>
      <c r="K815" s="110">
        <v>30</v>
      </c>
      <c r="L815" s="110">
        <v>30</v>
      </c>
    </row>
    <row r="816" spans="1:12" x14ac:dyDescent="0.2">
      <c r="A816" t="s">
        <v>22</v>
      </c>
      <c r="B816" t="s">
        <v>111</v>
      </c>
      <c r="C816" t="s">
        <v>221</v>
      </c>
      <c r="D816" s="110">
        <v>255</v>
      </c>
      <c r="E816" s="110">
        <v>255</v>
      </c>
      <c r="F816" s="110">
        <v>255</v>
      </c>
      <c r="I816" s="110">
        <v>145</v>
      </c>
      <c r="J816" s="110">
        <v>175</v>
      </c>
      <c r="K816" s="110">
        <v>175</v>
      </c>
    </row>
    <row r="817" spans="1:12" x14ac:dyDescent="0.2">
      <c r="A817" t="s">
        <v>22</v>
      </c>
      <c r="B817" t="s">
        <v>111</v>
      </c>
      <c r="C817" t="s">
        <v>222</v>
      </c>
      <c r="D817" s="110">
        <v>861</v>
      </c>
      <c r="E817" s="110">
        <v>861</v>
      </c>
      <c r="I817" s="110">
        <v>90</v>
      </c>
      <c r="J817" s="110">
        <v>90</v>
      </c>
    </row>
    <row r="818" spans="1:12" x14ac:dyDescent="0.2">
      <c r="A818" t="s">
        <v>22</v>
      </c>
      <c r="B818" t="s">
        <v>111</v>
      </c>
      <c r="C818" t="s">
        <v>223</v>
      </c>
      <c r="D818" s="110">
        <v>270</v>
      </c>
      <c r="I818" s="110">
        <v>80</v>
      </c>
    </row>
    <row r="819" spans="1:12" x14ac:dyDescent="0.2">
      <c r="A819" t="s">
        <v>22</v>
      </c>
      <c r="B819" t="s">
        <v>109</v>
      </c>
      <c r="C819" t="s">
        <v>220</v>
      </c>
      <c r="D819" s="110">
        <v>13917.5</v>
      </c>
      <c r="E819" s="110">
        <v>13917.5</v>
      </c>
      <c r="F819" s="110">
        <v>13917.5</v>
      </c>
      <c r="G819" s="110">
        <v>13917.5</v>
      </c>
      <c r="I819" s="110">
        <v>5581</v>
      </c>
      <c r="J819" s="110">
        <v>9741</v>
      </c>
      <c r="K819" s="110">
        <v>10915</v>
      </c>
      <c r="L819" s="110">
        <v>10965</v>
      </c>
    </row>
    <row r="820" spans="1:12" x14ac:dyDescent="0.2">
      <c r="A820" t="s">
        <v>22</v>
      </c>
      <c r="B820" t="s">
        <v>109</v>
      </c>
      <c r="C820" t="s">
        <v>221</v>
      </c>
      <c r="D820" s="110">
        <v>31408.5</v>
      </c>
      <c r="E820" s="110">
        <v>31350.5</v>
      </c>
      <c r="F820" s="110">
        <v>31350.5</v>
      </c>
      <c r="I820" s="110">
        <v>13113.5</v>
      </c>
      <c r="J820" s="110">
        <v>18511</v>
      </c>
      <c r="K820" s="110">
        <v>20213</v>
      </c>
    </row>
    <row r="821" spans="1:12" x14ac:dyDescent="0.2">
      <c r="A821" t="s">
        <v>22</v>
      </c>
      <c r="B821" t="s">
        <v>109</v>
      </c>
      <c r="C821" t="s">
        <v>222</v>
      </c>
      <c r="D821" s="110">
        <v>24626.5</v>
      </c>
      <c r="E821" s="110">
        <v>23387.5</v>
      </c>
      <c r="I821" s="110">
        <v>8811.5</v>
      </c>
      <c r="J821" s="110">
        <v>13465.5</v>
      </c>
    </row>
    <row r="822" spans="1:12" x14ac:dyDescent="0.2">
      <c r="A822" t="s">
        <v>22</v>
      </c>
      <c r="B822" t="s">
        <v>109</v>
      </c>
      <c r="C822" t="s">
        <v>223</v>
      </c>
      <c r="D822" s="110">
        <v>47083.5</v>
      </c>
      <c r="I822" s="110">
        <v>17624</v>
      </c>
    </row>
    <row r="823" spans="1:12" x14ac:dyDescent="0.2">
      <c r="A823" t="s">
        <v>22</v>
      </c>
      <c r="B823" t="s">
        <v>106</v>
      </c>
      <c r="C823" t="s">
        <v>220</v>
      </c>
      <c r="D823" s="110">
        <v>6160</v>
      </c>
      <c r="E823" s="110">
        <v>6160</v>
      </c>
      <c r="F823" s="110">
        <v>6160</v>
      </c>
      <c r="G823" s="110">
        <v>6160</v>
      </c>
      <c r="I823" s="110">
        <v>5350</v>
      </c>
      <c r="J823" s="110">
        <v>5579.24</v>
      </c>
      <c r="K823" s="110">
        <v>5750</v>
      </c>
      <c r="L823" s="110">
        <v>5750</v>
      </c>
    </row>
    <row r="824" spans="1:12" x14ac:dyDescent="0.2">
      <c r="A824" t="s">
        <v>22</v>
      </c>
      <c r="B824" t="s">
        <v>106</v>
      </c>
      <c r="C824" t="s">
        <v>221</v>
      </c>
      <c r="D824" s="110">
        <v>8955</v>
      </c>
      <c r="E824" s="110">
        <v>8955</v>
      </c>
      <c r="F824" s="110">
        <v>8955</v>
      </c>
      <c r="I824" s="110">
        <v>8545</v>
      </c>
      <c r="J824" s="110">
        <v>8955</v>
      </c>
      <c r="K824" s="110">
        <v>8955</v>
      </c>
    </row>
    <row r="825" spans="1:12" x14ac:dyDescent="0.2">
      <c r="A825" t="s">
        <v>22</v>
      </c>
      <c r="B825" t="s">
        <v>106</v>
      </c>
      <c r="C825" t="s">
        <v>222</v>
      </c>
      <c r="D825" s="110">
        <v>5322.5</v>
      </c>
      <c r="E825" s="110">
        <v>5322.5</v>
      </c>
      <c r="I825" s="110">
        <v>5272.5</v>
      </c>
      <c r="J825" s="110">
        <v>5272.5</v>
      </c>
    </row>
    <row r="826" spans="1:12" x14ac:dyDescent="0.2">
      <c r="A826" t="s">
        <v>22</v>
      </c>
      <c r="B826" t="s">
        <v>106</v>
      </c>
      <c r="C826" t="s">
        <v>223</v>
      </c>
      <c r="D826" s="110">
        <v>3719</v>
      </c>
      <c r="I826" s="110">
        <v>3619</v>
      </c>
    </row>
    <row r="827" spans="1:12" x14ac:dyDescent="0.2">
      <c r="A827" t="s">
        <v>22</v>
      </c>
      <c r="B827" t="s">
        <v>107</v>
      </c>
      <c r="C827" t="s">
        <v>220</v>
      </c>
      <c r="D827" s="110">
        <v>6380</v>
      </c>
      <c r="E827" s="110">
        <v>6555</v>
      </c>
      <c r="F827" s="110">
        <v>6555</v>
      </c>
      <c r="G827" s="110">
        <v>6555</v>
      </c>
      <c r="I827" s="110">
        <v>6360</v>
      </c>
      <c r="J827" s="110">
        <v>6370</v>
      </c>
      <c r="K827" s="110">
        <v>6370</v>
      </c>
      <c r="L827" s="110">
        <v>6370</v>
      </c>
    </row>
    <row r="828" spans="1:12" x14ac:dyDescent="0.2">
      <c r="A828" t="s">
        <v>22</v>
      </c>
      <c r="B828" t="s">
        <v>107</v>
      </c>
      <c r="C828" t="s">
        <v>221</v>
      </c>
      <c r="D828" s="110">
        <v>7615</v>
      </c>
      <c r="E828" s="110">
        <v>7615</v>
      </c>
      <c r="F828" s="110">
        <v>7615</v>
      </c>
      <c r="I828" s="110">
        <v>7615</v>
      </c>
      <c r="J828" s="110">
        <v>7615</v>
      </c>
      <c r="K828" s="110">
        <v>7615</v>
      </c>
    </row>
    <row r="829" spans="1:12" x14ac:dyDescent="0.2">
      <c r="A829" t="s">
        <v>22</v>
      </c>
      <c r="B829" t="s">
        <v>107</v>
      </c>
      <c r="C829" t="s">
        <v>222</v>
      </c>
      <c r="D829" s="110">
        <v>7640</v>
      </c>
      <c r="E829" s="110">
        <v>7640</v>
      </c>
      <c r="I829" s="110">
        <v>7625</v>
      </c>
      <c r="J829" s="110">
        <v>7640</v>
      </c>
    </row>
    <row r="830" spans="1:12" x14ac:dyDescent="0.2">
      <c r="A830" t="s">
        <v>22</v>
      </c>
      <c r="B830" t="s">
        <v>107</v>
      </c>
      <c r="C830" t="s">
        <v>223</v>
      </c>
      <c r="D830" s="110">
        <v>6095.3</v>
      </c>
      <c r="I830" s="110">
        <v>6095.3</v>
      </c>
    </row>
    <row r="831" spans="1:12" x14ac:dyDescent="0.2">
      <c r="A831" t="s">
        <v>22</v>
      </c>
      <c r="B831" t="s">
        <v>108</v>
      </c>
      <c r="C831" t="s">
        <v>220</v>
      </c>
      <c r="D831" s="110">
        <v>4993</v>
      </c>
      <c r="E831" s="110">
        <v>4993</v>
      </c>
      <c r="F831" s="110">
        <v>4993</v>
      </c>
      <c r="G831" s="110">
        <v>4993</v>
      </c>
      <c r="I831" s="110">
        <v>4773</v>
      </c>
      <c r="J831" s="110">
        <v>4823</v>
      </c>
      <c r="K831" s="110">
        <v>4823</v>
      </c>
      <c r="L831" s="110">
        <v>4823</v>
      </c>
    </row>
    <row r="832" spans="1:12" x14ac:dyDescent="0.2">
      <c r="A832" t="s">
        <v>22</v>
      </c>
      <c r="B832" t="s">
        <v>108</v>
      </c>
      <c r="C832" t="s">
        <v>221</v>
      </c>
      <c r="D832" s="110">
        <v>6163</v>
      </c>
      <c r="E832" s="110">
        <v>6163</v>
      </c>
      <c r="F832" s="110">
        <v>6163</v>
      </c>
      <c r="I832" s="110">
        <v>6123</v>
      </c>
      <c r="J832" s="110">
        <v>6163</v>
      </c>
      <c r="K832" s="110">
        <v>6163</v>
      </c>
    </row>
    <row r="833" spans="1:12" x14ac:dyDescent="0.2">
      <c r="A833" t="s">
        <v>22</v>
      </c>
      <c r="B833" t="s">
        <v>108</v>
      </c>
      <c r="C833" t="s">
        <v>222</v>
      </c>
      <c r="D833" s="110">
        <v>5910</v>
      </c>
      <c r="E833" s="110">
        <v>5910</v>
      </c>
      <c r="I833" s="110">
        <v>5010</v>
      </c>
      <c r="J833" s="110">
        <v>5860</v>
      </c>
    </row>
    <row r="834" spans="1:12" x14ac:dyDescent="0.2">
      <c r="A834" t="s">
        <v>22</v>
      </c>
      <c r="B834" t="s">
        <v>108</v>
      </c>
      <c r="C834" t="s">
        <v>223</v>
      </c>
      <c r="D834" s="110">
        <v>3376</v>
      </c>
      <c r="I834" s="110">
        <v>3206</v>
      </c>
    </row>
    <row r="835" spans="1:12" x14ac:dyDescent="0.2">
      <c r="A835" t="s">
        <v>22</v>
      </c>
      <c r="B835" t="s">
        <v>70</v>
      </c>
      <c r="C835" t="s">
        <v>220</v>
      </c>
      <c r="D835" s="110">
        <v>2592.5</v>
      </c>
      <c r="E835" s="110">
        <v>2592.5</v>
      </c>
      <c r="F835" s="110">
        <v>2592.5</v>
      </c>
      <c r="G835" s="110">
        <v>2592.5</v>
      </c>
      <c r="I835" s="110">
        <v>1792</v>
      </c>
      <c r="J835" s="110">
        <v>2184.5</v>
      </c>
      <c r="K835" s="110">
        <v>2184.5</v>
      </c>
      <c r="L835" s="110">
        <v>2184.5</v>
      </c>
    </row>
    <row r="836" spans="1:12" x14ac:dyDescent="0.2">
      <c r="A836" t="s">
        <v>22</v>
      </c>
      <c r="B836" t="s">
        <v>70</v>
      </c>
      <c r="C836" t="s">
        <v>221</v>
      </c>
      <c r="D836" s="110">
        <v>7098</v>
      </c>
      <c r="E836" s="110">
        <v>7098</v>
      </c>
      <c r="F836" s="110">
        <v>7098</v>
      </c>
      <c r="I836" s="110">
        <v>6458</v>
      </c>
      <c r="J836" s="110">
        <v>6458</v>
      </c>
      <c r="K836" s="110">
        <v>6753</v>
      </c>
    </row>
    <row r="837" spans="1:12" x14ac:dyDescent="0.2">
      <c r="A837" t="s">
        <v>22</v>
      </c>
      <c r="B837" t="s">
        <v>70</v>
      </c>
      <c r="C837" t="s">
        <v>222</v>
      </c>
      <c r="D837" s="110">
        <v>5433.5</v>
      </c>
      <c r="E837" s="110">
        <v>5433.5</v>
      </c>
      <c r="I837" s="110">
        <v>3830.5</v>
      </c>
      <c r="J837" s="110">
        <v>4825.5</v>
      </c>
    </row>
    <row r="838" spans="1:12" x14ac:dyDescent="0.2">
      <c r="A838" t="s">
        <v>22</v>
      </c>
      <c r="B838" t="s">
        <v>70</v>
      </c>
      <c r="C838" t="s">
        <v>223</v>
      </c>
      <c r="D838" s="110">
        <v>3190</v>
      </c>
      <c r="I838" s="110">
        <v>2940</v>
      </c>
    </row>
    <row r="839" spans="1:12" x14ac:dyDescent="0.2">
      <c r="A839" t="s">
        <v>22</v>
      </c>
      <c r="B839" t="s">
        <v>110</v>
      </c>
      <c r="C839" t="s">
        <v>220</v>
      </c>
      <c r="D839" s="110">
        <v>353358.4</v>
      </c>
      <c r="E839" s="110">
        <v>345730.65</v>
      </c>
      <c r="F839" s="110">
        <v>346585.65</v>
      </c>
      <c r="G839" s="110">
        <v>342304.65</v>
      </c>
      <c r="I839" s="110">
        <v>120685.9</v>
      </c>
      <c r="J839" s="110">
        <v>237648.4</v>
      </c>
      <c r="K839" s="110">
        <v>291712.40000000002</v>
      </c>
      <c r="L839" s="110">
        <v>310936.65000000002</v>
      </c>
    </row>
    <row r="840" spans="1:12" x14ac:dyDescent="0.2">
      <c r="A840" t="s">
        <v>22</v>
      </c>
      <c r="B840" t="s">
        <v>110</v>
      </c>
      <c r="C840" t="s">
        <v>221</v>
      </c>
      <c r="D840" s="110">
        <v>265676.90999999997</v>
      </c>
      <c r="E840" s="110">
        <v>271689.76</v>
      </c>
      <c r="F840" s="110">
        <v>269445.51</v>
      </c>
      <c r="I840" s="110">
        <v>94156.93</v>
      </c>
      <c r="J840" s="110">
        <v>173088.26</v>
      </c>
      <c r="K840" s="110">
        <v>226702.26</v>
      </c>
    </row>
    <row r="841" spans="1:12" x14ac:dyDescent="0.2">
      <c r="A841" t="s">
        <v>22</v>
      </c>
      <c r="B841" t="s">
        <v>110</v>
      </c>
      <c r="C841" t="s">
        <v>222</v>
      </c>
      <c r="D841" s="110">
        <v>253857.77</v>
      </c>
      <c r="E841" s="110">
        <v>261319.92</v>
      </c>
      <c r="I841" s="110">
        <v>89124.52</v>
      </c>
      <c r="J841" s="110">
        <v>152313.07</v>
      </c>
    </row>
    <row r="842" spans="1:12" x14ac:dyDescent="0.2">
      <c r="A842" t="s">
        <v>22</v>
      </c>
      <c r="B842" t="s">
        <v>110</v>
      </c>
      <c r="C842" t="s">
        <v>223</v>
      </c>
      <c r="D842" s="110">
        <v>226669.85</v>
      </c>
      <c r="I842" s="110">
        <v>77474.95</v>
      </c>
    </row>
    <row r="843" spans="1:12" x14ac:dyDescent="0.2">
      <c r="A843" t="s">
        <v>23</v>
      </c>
      <c r="B843" t="s">
        <v>104</v>
      </c>
      <c r="C843" t="s">
        <v>220</v>
      </c>
      <c r="D843" s="110">
        <v>49705.97</v>
      </c>
      <c r="E843" s="110">
        <v>49680.97</v>
      </c>
      <c r="F843" s="110">
        <v>49680.97</v>
      </c>
      <c r="G843" s="110">
        <v>49780.97</v>
      </c>
      <c r="I843" s="110">
        <v>457.53</v>
      </c>
      <c r="J843" s="110">
        <v>2977.72</v>
      </c>
      <c r="K843" s="110">
        <v>4128.87</v>
      </c>
      <c r="L843" s="110">
        <v>5056.58</v>
      </c>
    </row>
    <row r="844" spans="1:12" x14ac:dyDescent="0.2">
      <c r="A844" t="s">
        <v>23</v>
      </c>
      <c r="B844" t="s">
        <v>104</v>
      </c>
      <c r="C844" t="s">
        <v>221</v>
      </c>
      <c r="D844" s="110">
        <v>52952</v>
      </c>
      <c r="E844" s="110">
        <v>52952</v>
      </c>
      <c r="F844" s="110">
        <v>52952</v>
      </c>
      <c r="I844" s="110">
        <v>5324.24</v>
      </c>
      <c r="J844" s="110">
        <v>5324.24</v>
      </c>
      <c r="K844" s="110">
        <v>6762.18</v>
      </c>
    </row>
    <row r="845" spans="1:12" x14ac:dyDescent="0.2">
      <c r="A845" t="s">
        <v>23</v>
      </c>
      <c r="B845" t="s">
        <v>104</v>
      </c>
      <c r="C845" t="s">
        <v>222</v>
      </c>
      <c r="D845" s="110">
        <v>57215.61</v>
      </c>
      <c r="E845" s="110">
        <v>57115.61</v>
      </c>
      <c r="I845" s="110">
        <v>6031.35</v>
      </c>
      <c r="J845" s="110">
        <v>7835.55</v>
      </c>
    </row>
    <row r="846" spans="1:12" x14ac:dyDescent="0.2">
      <c r="A846" t="s">
        <v>23</v>
      </c>
      <c r="B846" t="s">
        <v>104</v>
      </c>
      <c r="C846" t="s">
        <v>223</v>
      </c>
      <c r="D846" s="110">
        <v>55292.17</v>
      </c>
      <c r="I846" s="110">
        <v>2035.24</v>
      </c>
    </row>
    <row r="847" spans="1:12" x14ac:dyDescent="0.2">
      <c r="A847" t="s">
        <v>23</v>
      </c>
      <c r="B847" t="s">
        <v>140</v>
      </c>
      <c r="C847" t="s">
        <v>220</v>
      </c>
    </row>
    <row r="848" spans="1:12" x14ac:dyDescent="0.2">
      <c r="A848" t="s">
        <v>23</v>
      </c>
      <c r="B848" t="s">
        <v>140</v>
      </c>
      <c r="C848" t="s">
        <v>221</v>
      </c>
      <c r="D848" s="110">
        <v>869.8</v>
      </c>
      <c r="I848" s="110">
        <v>849.35</v>
      </c>
    </row>
    <row r="849" spans="1:12" x14ac:dyDescent="0.2">
      <c r="A849" t="s">
        <v>23</v>
      </c>
      <c r="B849" t="s">
        <v>140</v>
      </c>
      <c r="C849" t="s">
        <v>222</v>
      </c>
    </row>
    <row r="850" spans="1:12" x14ac:dyDescent="0.2">
      <c r="A850" t="s">
        <v>23</v>
      </c>
      <c r="B850" t="s">
        <v>140</v>
      </c>
      <c r="C850" t="s">
        <v>223</v>
      </c>
    </row>
    <row r="851" spans="1:12" x14ac:dyDescent="0.2">
      <c r="A851" t="s">
        <v>23</v>
      </c>
      <c r="B851" t="s">
        <v>105</v>
      </c>
      <c r="C851" t="s">
        <v>220</v>
      </c>
      <c r="D851" s="110">
        <v>18814</v>
      </c>
      <c r="E851" s="110">
        <v>18814</v>
      </c>
      <c r="F851" s="110">
        <v>18739</v>
      </c>
      <c r="G851" s="110">
        <v>18739</v>
      </c>
      <c r="I851" s="110">
        <v>4817</v>
      </c>
      <c r="J851" s="110">
        <v>9355.5</v>
      </c>
      <c r="K851" s="110">
        <v>9810.5</v>
      </c>
      <c r="L851" s="110">
        <v>10018</v>
      </c>
    </row>
    <row r="852" spans="1:12" x14ac:dyDescent="0.2">
      <c r="A852" t="s">
        <v>23</v>
      </c>
      <c r="B852" t="s">
        <v>105</v>
      </c>
      <c r="C852" t="s">
        <v>221</v>
      </c>
      <c r="D852" s="110">
        <v>14545.01</v>
      </c>
      <c r="E852" s="110">
        <v>14520.01</v>
      </c>
      <c r="F852" s="110">
        <v>14520.01</v>
      </c>
      <c r="I852" s="110">
        <v>3785.01</v>
      </c>
      <c r="J852" s="110">
        <v>7114.01</v>
      </c>
      <c r="K852" s="110">
        <v>9124.01</v>
      </c>
    </row>
    <row r="853" spans="1:12" x14ac:dyDescent="0.2">
      <c r="A853" t="s">
        <v>23</v>
      </c>
      <c r="B853" t="s">
        <v>105</v>
      </c>
      <c r="C853" t="s">
        <v>222</v>
      </c>
      <c r="D853" s="110">
        <v>28856.41</v>
      </c>
      <c r="E853" s="110">
        <v>27666.41</v>
      </c>
      <c r="I853" s="110">
        <v>5331.41</v>
      </c>
      <c r="J853" s="110">
        <v>9069.41</v>
      </c>
    </row>
    <row r="854" spans="1:12" x14ac:dyDescent="0.2">
      <c r="A854" t="s">
        <v>23</v>
      </c>
      <c r="B854" t="s">
        <v>105</v>
      </c>
      <c r="C854" t="s">
        <v>223</v>
      </c>
      <c r="D854" s="110">
        <v>32257.200000000001</v>
      </c>
      <c r="I854" s="110">
        <v>10779.57</v>
      </c>
    </row>
    <row r="855" spans="1:12" x14ac:dyDescent="0.2">
      <c r="A855" t="s">
        <v>23</v>
      </c>
      <c r="B855" t="s">
        <v>111</v>
      </c>
      <c r="C855" t="s">
        <v>220</v>
      </c>
      <c r="D855" s="110">
        <v>53</v>
      </c>
      <c r="E855" s="110">
        <v>53</v>
      </c>
      <c r="F855" s="110">
        <v>53</v>
      </c>
      <c r="G855" s="110">
        <v>53</v>
      </c>
      <c r="I855" s="110">
        <v>53</v>
      </c>
      <c r="J855" s="110">
        <v>53</v>
      </c>
      <c r="K855" s="110">
        <v>53</v>
      </c>
      <c r="L855" s="110">
        <v>53</v>
      </c>
    </row>
    <row r="856" spans="1:12" x14ac:dyDescent="0.2">
      <c r="A856" t="s">
        <v>23</v>
      </c>
      <c r="B856" t="s">
        <v>111</v>
      </c>
      <c r="C856" t="s">
        <v>221</v>
      </c>
      <c r="D856" s="110">
        <v>0</v>
      </c>
      <c r="E856" s="110">
        <v>0</v>
      </c>
      <c r="F856" s="110">
        <v>0</v>
      </c>
      <c r="I856" s="110">
        <v>0</v>
      </c>
      <c r="J856" s="110">
        <v>0</v>
      </c>
      <c r="K856" s="110">
        <v>0</v>
      </c>
    </row>
    <row r="857" spans="1:12" x14ac:dyDescent="0.2">
      <c r="A857" t="s">
        <v>23</v>
      </c>
      <c r="B857" t="s">
        <v>111</v>
      </c>
      <c r="C857" t="s">
        <v>222</v>
      </c>
      <c r="D857" s="110">
        <v>100</v>
      </c>
      <c r="E857" s="110">
        <v>100</v>
      </c>
      <c r="I857" s="110">
        <v>100</v>
      </c>
      <c r="J857" s="110">
        <v>100</v>
      </c>
    </row>
    <row r="858" spans="1:12" x14ac:dyDescent="0.2">
      <c r="A858" t="s">
        <v>23</v>
      </c>
      <c r="B858" t="s">
        <v>111</v>
      </c>
      <c r="C858" t="s">
        <v>223</v>
      </c>
      <c r="D858" s="110">
        <v>0</v>
      </c>
      <c r="I858" s="110">
        <v>0</v>
      </c>
    </row>
    <row r="859" spans="1:12" x14ac:dyDescent="0.2">
      <c r="A859" t="s">
        <v>23</v>
      </c>
      <c r="B859" t="s">
        <v>109</v>
      </c>
      <c r="C859" t="s">
        <v>220</v>
      </c>
      <c r="D859" s="110">
        <v>6164.13</v>
      </c>
      <c r="E859" s="110">
        <v>6164.13</v>
      </c>
      <c r="F859" s="110">
        <v>6139.13</v>
      </c>
      <c r="G859" s="110">
        <v>6139.13</v>
      </c>
      <c r="I859" s="110">
        <v>1902.13</v>
      </c>
      <c r="J859" s="110">
        <v>1952.13</v>
      </c>
      <c r="K859" s="110">
        <v>2495.13</v>
      </c>
      <c r="L859" s="110">
        <v>2515.13</v>
      </c>
    </row>
    <row r="860" spans="1:12" x14ac:dyDescent="0.2">
      <c r="A860" t="s">
        <v>23</v>
      </c>
      <c r="B860" t="s">
        <v>109</v>
      </c>
      <c r="C860" t="s">
        <v>221</v>
      </c>
      <c r="D860" s="110">
        <v>7236.54</v>
      </c>
      <c r="E860" s="110">
        <v>7186.54</v>
      </c>
      <c r="F860" s="110">
        <v>6883.54</v>
      </c>
      <c r="I860" s="110">
        <v>1516.14</v>
      </c>
      <c r="J860" s="110">
        <v>3981.94</v>
      </c>
      <c r="K860" s="110">
        <v>5088.54</v>
      </c>
    </row>
    <row r="861" spans="1:12" x14ac:dyDescent="0.2">
      <c r="A861" t="s">
        <v>23</v>
      </c>
      <c r="B861" t="s">
        <v>109</v>
      </c>
      <c r="C861" t="s">
        <v>222</v>
      </c>
      <c r="D861" s="110">
        <v>7302.54</v>
      </c>
      <c r="E861" s="110">
        <v>7302.54</v>
      </c>
      <c r="I861" s="110">
        <v>2738.54</v>
      </c>
      <c r="J861" s="110">
        <v>4054.54</v>
      </c>
    </row>
    <row r="862" spans="1:12" x14ac:dyDescent="0.2">
      <c r="A862" t="s">
        <v>23</v>
      </c>
      <c r="B862" t="s">
        <v>109</v>
      </c>
      <c r="C862" t="s">
        <v>223</v>
      </c>
      <c r="D862" s="110">
        <v>8316</v>
      </c>
      <c r="I862" s="110">
        <v>2905.6</v>
      </c>
    </row>
    <row r="863" spans="1:12" x14ac:dyDescent="0.2">
      <c r="A863" t="s">
        <v>23</v>
      </c>
      <c r="B863" t="s">
        <v>106</v>
      </c>
      <c r="C863" t="s">
        <v>220</v>
      </c>
      <c r="D863" s="110">
        <v>11786</v>
      </c>
      <c r="E863" s="110">
        <v>11786</v>
      </c>
      <c r="F863" s="110">
        <v>11786</v>
      </c>
      <c r="G863" s="110">
        <v>11786</v>
      </c>
      <c r="I863" s="110">
        <v>11386</v>
      </c>
      <c r="J863" s="110">
        <v>11386</v>
      </c>
      <c r="K863" s="110">
        <v>11386</v>
      </c>
      <c r="L863" s="110">
        <v>11386</v>
      </c>
    </row>
    <row r="864" spans="1:12" x14ac:dyDescent="0.2">
      <c r="A864" t="s">
        <v>23</v>
      </c>
      <c r="B864" t="s">
        <v>106</v>
      </c>
      <c r="C864" t="s">
        <v>221</v>
      </c>
      <c r="D864" s="110">
        <v>32640.5</v>
      </c>
      <c r="E864" s="110">
        <v>32215.5</v>
      </c>
      <c r="F864" s="110">
        <v>32215.5</v>
      </c>
      <c r="I864" s="110">
        <v>31931.25</v>
      </c>
      <c r="J864" s="110">
        <v>31931.25</v>
      </c>
      <c r="K864" s="110">
        <v>31931.25</v>
      </c>
    </row>
    <row r="865" spans="1:12" x14ac:dyDescent="0.2">
      <c r="A865" t="s">
        <v>23</v>
      </c>
      <c r="B865" t="s">
        <v>106</v>
      </c>
      <c r="C865" t="s">
        <v>222</v>
      </c>
      <c r="D865" s="110">
        <v>46045.5</v>
      </c>
      <c r="E865" s="110">
        <v>46045.5</v>
      </c>
      <c r="I865" s="110">
        <v>44425.5</v>
      </c>
      <c r="J865" s="110">
        <v>45645.5</v>
      </c>
    </row>
    <row r="866" spans="1:12" x14ac:dyDescent="0.2">
      <c r="A866" t="s">
        <v>23</v>
      </c>
      <c r="B866" t="s">
        <v>106</v>
      </c>
      <c r="C866" t="s">
        <v>223</v>
      </c>
      <c r="D866" s="110">
        <v>50523.5</v>
      </c>
      <c r="I866" s="110">
        <v>50123.5</v>
      </c>
    </row>
    <row r="867" spans="1:12" x14ac:dyDescent="0.2">
      <c r="A867" t="s">
        <v>23</v>
      </c>
      <c r="B867" t="s">
        <v>107</v>
      </c>
      <c r="C867" t="s">
        <v>220</v>
      </c>
      <c r="D867" s="110">
        <v>13787</v>
      </c>
      <c r="E867" s="110">
        <v>13787</v>
      </c>
      <c r="F867" s="110">
        <v>13787</v>
      </c>
      <c r="G867" s="110">
        <v>13487</v>
      </c>
      <c r="I867" s="110">
        <v>13487</v>
      </c>
      <c r="J867" s="110">
        <v>13487</v>
      </c>
      <c r="K867" s="110">
        <v>13487</v>
      </c>
      <c r="L867" s="110">
        <v>13487</v>
      </c>
    </row>
    <row r="868" spans="1:12" x14ac:dyDescent="0.2">
      <c r="A868" t="s">
        <v>23</v>
      </c>
      <c r="B868" t="s">
        <v>107</v>
      </c>
      <c r="C868" t="s">
        <v>221</v>
      </c>
      <c r="D868" s="110">
        <v>18627.2</v>
      </c>
      <c r="E868" s="110">
        <v>18627.2</v>
      </c>
      <c r="F868" s="110">
        <v>18627.2</v>
      </c>
      <c r="I868" s="110">
        <v>17004.2</v>
      </c>
      <c r="J868" s="110">
        <v>17004.2</v>
      </c>
      <c r="K868" s="110">
        <v>17004.2</v>
      </c>
    </row>
    <row r="869" spans="1:12" x14ac:dyDescent="0.2">
      <c r="A869" t="s">
        <v>23</v>
      </c>
      <c r="B869" t="s">
        <v>107</v>
      </c>
      <c r="C869" t="s">
        <v>222</v>
      </c>
      <c r="D869" s="110">
        <v>84519.3</v>
      </c>
      <c r="E869" s="110">
        <v>84519.3</v>
      </c>
      <c r="I869" s="110">
        <v>84519.3</v>
      </c>
      <c r="J869" s="110">
        <v>84519.3</v>
      </c>
    </row>
    <row r="870" spans="1:12" x14ac:dyDescent="0.2">
      <c r="A870" t="s">
        <v>23</v>
      </c>
      <c r="B870" t="s">
        <v>107</v>
      </c>
      <c r="C870" t="s">
        <v>223</v>
      </c>
      <c r="D870" s="110">
        <v>11490</v>
      </c>
      <c r="I870" s="110">
        <v>11490</v>
      </c>
    </row>
    <row r="871" spans="1:12" x14ac:dyDescent="0.2">
      <c r="A871" t="s">
        <v>23</v>
      </c>
      <c r="B871" t="s">
        <v>108</v>
      </c>
      <c r="C871" t="s">
        <v>220</v>
      </c>
      <c r="D871" s="110">
        <v>7632</v>
      </c>
      <c r="E871" s="110">
        <v>7632</v>
      </c>
      <c r="F871" s="110">
        <v>7632</v>
      </c>
      <c r="G871" s="110">
        <v>7362</v>
      </c>
      <c r="I871" s="110">
        <v>7632</v>
      </c>
      <c r="J871" s="110">
        <v>7632</v>
      </c>
      <c r="K871" s="110">
        <v>7632</v>
      </c>
      <c r="L871" s="110">
        <v>7632</v>
      </c>
    </row>
    <row r="872" spans="1:12" x14ac:dyDescent="0.2">
      <c r="A872" t="s">
        <v>23</v>
      </c>
      <c r="B872" t="s">
        <v>108</v>
      </c>
      <c r="C872" t="s">
        <v>221</v>
      </c>
      <c r="D872" s="110">
        <v>8545</v>
      </c>
      <c r="E872" s="110">
        <v>8545</v>
      </c>
      <c r="F872" s="110">
        <v>8545</v>
      </c>
      <c r="I872" s="110">
        <v>8545</v>
      </c>
      <c r="J872" s="110">
        <v>8545</v>
      </c>
      <c r="K872" s="110">
        <v>8545</v>
      </c>
    </row>
    <row r="873" spans="1:12" x14ac:dyDescent="0.2">
      <c r="A873" t="s">
        <v>23</v>
      </c>
      <c r="B873" t="s">
        <v>108</v>
      </c>
      <c r="C873" t="s">
        <v>222</v>
      </c>
      <c r="D873" s="110">
        <v>9273</v>
      </c>
      <c r="E873" s="110">
        <v>92730</v>
      </c>
      <c r="I873" s="110">
        <v>9273</v>
      </c>
      <c r="J873" s="110">
        <v>9273</v>
      </c>
    </row>
    <row r="874" spans="1:12" x14ac:dyDescent="0.2">
      <c r="A874" t="s">
        <v>23</v>
      </c>
      <c r="B874" t="s">
        <v>108</v>
      </c>
      <c r="C874" t="s">
        <v>223</v>
      </c>
      <c r="D874" s="110">
        <v>6295</v>
      </c>
      <c r="I874" s="110">
        <v>6295</v>
      </c>
    </row>
    <row r="875" spans="1:12" x14ac:dyDescent="0.2">
      <c r="A875" t="s">
        <v>23</v>
      </c>
      <c r="B875" t="s">
        <v>70</v>
      </c>
      <c r="C875" t="s">
        <v>220</v>
      </c>
      <c r="D875" s="110">
        <v>4287</v>
      </c>
      <c r="E875" s="110">
        <v>3887</v>
      </c>
      <c r="F875" s="110">
        <v>3887</v>
      </c>
      <c r="G875" s="110">
        <v>3587</v>
      </c>
      <c r="I875" s="110">
        <v>3587</v>
      </c>
      <c r="J875" s="110">
        <v>3587</v>
      </c>
      <c r="K875" s="110">
        <v>3587</v>
      </c>
      <c r="L875" s="110">
        <v>3587</v>
      </c>
    </row>
    <row r="876" spans="1:12" x14ac:dyDescent="0.2">
      <c r="A876" t="s">
        <v>23</v>
      </c>
      <c r="B876" t="s">
        <v>70</v>
      </c>
      <c r="C876" t="s">
        <v>221</v>
      </c>
      <c r="D876" s="110">
        <v>8526.2999999999993</v>
      </c>
      <c r="E876" s="110">
        <v>8526.2999999999993</v>
      </c>
      <c r="F876" s="110">
        <v>8226.2999999999993</v>
      </c>
      <c r="I876" s="110">
        <v>8226.2999999999993</v>
      </c>
      <c r="J876" s="110">
        <v>8226.2999999999993</v>
      </c>
      <c r="K876" s="110">
        <v>8226.2999999999993</v>
      </c>
    </row>
    <row r="877" spans="1:12" x14ac:dyDescent="0.2">
      <c r="A877" t="s">
        <v>23</v>
      </c>
      <c r="B877" t="s">
        <v>70</v>
      </c>
      <c r="C877" t="s">
        <v>222</v>
      </c>
      <c r="D877" s="110">
        <v>5900.5</v>
      </c>
      <c r="E877" s="110">
        <v>5024.5</v>
      </c>
      <c r="I877" s="110">
        <v>5024.5</v>
      </c>
      <c r="J877" s="110">
        <v>5024.5</v>
      </c>
    </row>
    <row r="878" spans="1:12" x14ac:dyDescent="0.2">
      <c r="A878" t="s">
        <v>23</v>
      </c>
      <c r="B878" t="s">
        <v>70</v>
      </c>
      <c r="C878" t="s">
        <v>223</v>
      </c>
      <c r="D878" s="110">
        <v>6123.3</v>
      </c>
      <c r="I878" s="110">
        <v>5518.3</v>
      </c>
    </row>
    <row r="879" spans="1:12" x14ac:dyDescent="0.2">
      <c r="A879" t="s">
        <v>23</v>
      </c>
      <c r="B879" t="s">
        <v>110</v>
      </c>
      <c r="C879" t="s">
        <v>220</v>
      </c>
      <c r="D879" s="110">
        <v>9422.75</v>
      </c>
      <c r="E879" s="110">
        <v>9230.25</v>
      </c>
      <c r="F879" s="110">
        <v>9230.25</v>
      </c>
      <c r="G879" s="110">
        <v>9230.25</v>
      </c>
      <c r="I879" s="110">
        <v>4946.25</v>
      </c>
      <c r="J879" s="110">
        <v>7772.25</v>
      </c>
      <c r="K879" s="110">
        <v>8280.25</v>
      </c>
      <c r="L879" s="110">
        <v>8539.25</v>
      </c>
    </row>
    <row r="880" spans="1:12" x14ac:dyDescent="0.2">
      <c r="A880" t="s">
        <v>23</v>
      </c>
      <c r="B880" t="s">
        <v>110</v>
      </c>
      <c r="C880" t="s">
        <v>221</v>
      </c>
      <c r="D880" s="110">
        <v>13511.1</v>
      </c>
      <c r="E880" s="110">
        <v>13207.35</v>
      </c>
      <c r="F880" s="110">
        <v>13277.35</v>
      </c>
      <c r="I880" s="110">
        <v>7468.1</v>
      </c>
      <c r="J880" s="110">
        <v>11042.1</v>
      </c>
      <c r="K880" s="110">
        <v>11397.1</v>
      </c>
    </row>
    <row r="881" spans="1:12" x14ac:dyDescent="0.2">
      <c r="A881" t="s">
        <v>23</v>
      </c>
      <c r="B881" t="s">
        <v>110</v>
      </c>
      <c r="C881" t="s">
        <v>222</v>
      </c>
      <c r="D881" s="110">
        <v>11061.6</v>
      </c>
      <c r="E881" s="110">
        <v>11385.1</v>
      </c>
      <c r="I881" s="110">
        <v>4571.6000000000004</v>
      </c>
      <c r="J881" s="110">
        <v>8359.1</v>
      </c>
    </row>
    <row r="882" spans="1:12" x14ac:dyDescent="0.2">
      <c r="A882" t="s">
        <v>23</v>
      </c>
      <c r="B882" t="s">
        <v>110</v>
      </c>
      <c r="C882" t="s">
        <v>223</v>
      </c>
      <c r="D882" s="110">
        <v>13752.45</v>
      </c>
      <c r="I882" s="110">
        <v>6783.45</v>
      </c>
    </row>
    <row r="883" spans="1:12" x14ac:dyDescent="0.2">
      <c r="A883" t="s">
        <v>24</v>
      </c>
      <c r="B883" t="s">
        <v>104</v>
      </c>
      <c r="C883" t="s">
        <v>220</v>
      </c>
      <c r="D883" s="110">
        <v>94619.5</v>
      </c>
      <c r="E883" s="110">
        <v>94619.5</v>
      </c>
      <c r="F883" s="110">
        <v>94619.5</v>
      </c>
      <c r="G883" s="110">
        <v>94619.5</v>
      </c>
      <c r="I883" s="110">
        <v>3895.69</v>
      </c>
      <c r="J883" s="110">
        <v>6965.02</v>
      </c>
      <c r="K883" s="110">
        <v>11247.24</v>
      </c>
      <c r="L883" s="110">
        <v>14769.28</v>
      </c>
    </row>
    <row r="884" spans="1:12" x14ac:dyDescent="0.2">
      <c r="A884" t="s">
        <v>24</v>
      </c>
      <c r="B884" t="s">
        <v>104</v>
      </c>
      <c r="C884" t="s">
        <v>221</v>
      </c>
      <c r="D884" s="110">
        <v>111305.47</v>
      </c>
      <c r="E884" s="110">
        <v>111305.47</v>
      </c>
      <c r="F884" s="110">
        <v>111305.47</v>
      </c>
      <c r="I884" s="110">
        <v>23161.56</v>
      </c>
      <c r="J884" s="110">
        <v>32082.03</v>
      </c>
      <c r="K884" s="110">
        <v>34806.39</v>
      </c>
    </row>
    <row r="885" spans="1:12" x14ac:dyDescent="0.2">
      <c r="A885" t="s">
        <v>24</v>
      </c>
      <c r="B885" t="s">
        <v>104</v>
      </c>
      <c r="C885" t="s">
        <v>222</v>
      </c>
      <c r="D885" s="110">
        <v>181600.1</v>
      </c>
      <c r="E885" s="110">
        <v>181600.1</v>
      </c>
      <c r="I885" s="110">
        <v>18954.25</v>
      </c>
      <c r="J885" s="110">
        <v>23100.41</v>
      </c>
    </row>
    <row r="886" spans="1:12" x14ac:dyDescent="0.2">
      <c r="A886" t="s">
        <v>24</v>
      </c>
      <c r="B886" t="s">
        <v>104</v>
      </c>
      <c r="C886" t="s">
        <v>223</v>
      </c>
      <c r="D886" s="110">
        <v>69655</v>
      </c>
      <c r="I886" s="110">
        <v>12966.92</v>
      </c>
    </row>
    <row r="887" spans="1:12" x14ac:dyDescent="0.2">
      <c r="A887" t="s">
        <v>24</v>
      </c>
      <c r="B887" t="s">
        <v>140</v>
      </c>
      <c r="C887" t="s">
        <v>220</v>
      </c>
      <c r="D887" s="110">
        <v>0</v>
      </c>
      <c r="E887" s="110">
        <v>0</v>
      </c>
      <c r="F887" s="110">
        <v>0</v>
      </c>
      <c r="G887" s="110">
        <v>0</v>
      </c>
      <c r="I887" s="110">
        <v>0</v>
      </c>
      <c r="J887" s="110">
        <v>0</v>
      </c>
      <c r="K887" s="110">
        <v>0</v>
      </c>
      <c r="L887" s="110">
        <v>0</v>
      </c>
    </row>
    <row r="888" spans="1:12" x14ac:dyDescent="0.2">
      <c r="A888" t="s">
        <v>24</v>
      </c>
      <c r="B888" t="s">
        <v>140</v>
      </c>
      <c r="C888" t="s">
        <v>221</v>
      </c>
      <c r="D888" s="110">
        <v>0</v>
      </c>
      <c r="E888" s="110">
        <v>0</v>
      </c>
      <c r="F888" s="110">
        <v>0</v>
      </c>
      <c r="I888" s="110">
        <v>0</v>
      </c>
      <c r="J888" s="110">
        <v>0</v>
      </c>
      <c r="K888" s="110">
        <v>0</v>
      </c>
    </row>
    <row r="889" spans="1:12" x14ac:dyDescent="0.2">
      <c r="A889" t="s">
        <v>24</v>
      </c>
      <c r="B889" t="s">
        <v>140</v>
      </c>
      <c r="C889" t="s">
        <v>222</v>
      </c>
      <c r="D889" s="110">
        <v>0</v>
      </c>
      <c r="E889" s="110">
        <v>0</v>
      </c>
      <c r="I889" s="110">
        <v>0</v>
      </c>
      <c r="J889" s="110">
        <v>0</v>
      </c>
    </row>
    <row r="890" spans="1:12" x14ac:dyDescent="0.2">
      <c r="A890" t="s">
        <v>24</v>
      </c>
      <c r="B890" t="s">
        <v>140</v>
      </c>
      <c r="C890" t="s">
        <v>223</v>
      </c>
      <c r="D890" s="110">
        <v>0</v>
      </c>
      <c r="I890" s="110">
        <v>0</v>
      </c>
    </row>
    <row r="891" spans="1:12" x14ac:dyDescent="0.2">
      <c r="A891" t="s">
        <v>24</v>
      </c>
      <c r="B891" t="s">
        <v>105</v>
      </c>
      <c r="C891" t="s">
        <v>220</v>
      </c>
      <c r="D891" s="110">
        <v>23849.66</v>
      </c>
      <c r="E891" s="110">
        <v>23609.66</v>
      </c>
      <c r="F891" s="110">
        <v>23609.66</v>
      </c>
      <c r="G891" s="110">
        <v>23609.66</v>
      </c>
      <c r="I891" s="110">
        <v>7066.66</v>
      </c>
      <c r="J891" s="110">
        <v>9939.66</v>
      </c>
      <c r="K891" s="110">
        <v>13736.66</v>
      </c>
      <c r="L891" s="110">
        <v>15280.66</v>
      </c>
    </row>
    <row r="892" spans="1:12" x14ac:dyDescent="0.2">
      <c r="A892" t="s">
        <v>24</v>
      </c>
      <c r="B892" t="s">
        <v>105</v>
      </c>
      <c r="C892" t="s">
        <v>221</v>
      </c>
      <c r="D892" s="110">
        <v>20864.5</v>
      </c>
      <c r="E892" s="110">
        <v>20864.5</v>
      </c>
      <c r="F892" s="110">
        <v>20864.5</v>
      </c>
      <c r="I892" s="110">
        <v>8270.5</v>
      </c>
      <c r="J892" s="110">
        <v>11331.5</v>
      </c>
      <c r="K892" s="110">
        <v>12848.5</v>
      </c>
    </row>
    <row r="893" spans="1:12" x14ac:dyDescent="0.2">
      <c r="A893" t="s">
        <v>24</v>
      </c>
      <c r="B893" t="s">
        <v>105</v>
      </c>
      <c r="C893" t="s">
        <v>222</v>
      </c>
      <c r="D893" s="110">
        <v>30713</v>
      </c>
      <c r="E893" s="110">
        <v>30713</v>
      </c>
      <c r="I893" s="110">
        <v>17162</v>
      </c>
      <c r="J893" s="110">
        <v>18879</v>
      </c>
    </row>
    <row r="894" spans="1:12" x14ac:dyDescent="0.2">
      <c r="A894" t="s">
        <v>24</v>
      </c>
      <c r="B894" t="s">
        <v>105</v>
      </c>
      <c r="C894" t="s">
        <v>223</v>
      </c>
      <c r="D894" s="110">
        <v>23487</v>
      </c>
      <c r="I894" s="110">
        <v>10965</v>
      </c>
    </row>
    <row r="895" spans="1:12" x14ac:dyDescent="0.2">
      <c r="A895" t="s">
        <v>24</v>
      </c>
      <c r="B895" t="s">
        <v>111</v>
      </c>
      <c r="C895" t="s">
        <v>220</v>
      </c>
      <c r="D895" s="110">
        <v>0</v>
      </c>
      <c r="E895" s="110">
        <v>0</v>
      </c>
      <c r="F895" s="110">
        <v>0</v>
      </c>
      <c r="G895" s="110">
        <v>0</v>
      </c>
      <c r="I895" s="110">
        <v>0</v>
      </c>
      <c r="J895" s="110">
        <v>0</v>
      </c>
      <c r="K895" s="110">
        <v>0</v>
      </c>
      <c r="L895" s="110">
        <v>0</v>
      </c>
    </row>
    <row r="896" spans="1:12" x14ac:dyDescent="0.2">
      <c r="A896" t="s">
        <v>24</v>
      </c>
      <c r="B896" t="s">
        <v>111</v>
      </c>
      <c r="C896" t="s">
        <v>221</v>
      </c>
      <c r="D896" s="110">
        <v>0</v>
      </c>
      <c r="E896" s="110">
        <v>0</v>
      </c>
      <c r="F896" s="110">
        <v>0</v>
      </c>
      <c r="I896" s="110">
        <v>0</v>
      </c>
      <c r="J896" s="110">
        <v>0</v>
      </c>
      <c r="K896" s="110">
        <v>0</v>
      </c>
    </row>
    <row r="897" spans="1:12" x14ac:dyDescent="0.2">
      <c r="A897" t="s">
        <v>24</v>
      </c>
      <c r="B897" t="s">
        <v>111</v>
      </c>
      <c r="C897" t="s">
        <v>222</v>
      </c>
      <c r="D897" s="110">
        <v>0</v>
      </c>
      <c r="E897" s="110">
        <v>0</v>
      </c>
      <c r="I897" s="110">
        <v>0</v>
      </c>
      <c r="J897" s="110">
        <v>0</v>
      </c>
    </row>
    <row r="898" spans="1:12" x14ac:dyDescent="0.2">
      <c r="A898" t="s">
        <v>24</v>
      </c>
      <c r="B898" t="s">
        <v>111</v>
      </c>
      <c r="C898" t="s">
        <v>223</v>
      </c>
      <c r="D898" s="110">
        <v>0</v>
      </c>
      <c r="I898" s="110">
        <v>0</v>
      </c>
    </row>
    <row r="899" spans="1:12" x14ac:dyDescent="0.2">
      <c r="A899" t="s">
        <v>24</v>
      </c>
      <c r="B899" t="s">
        <v>109</v>
      </c>
      <c r="C899" t="s">
        <v>220</v>
      </c>
      <c r="D899" s="110">
        <v>23267</v>
      </c>
      <c r="E899" s="110">
        <v>23144</v>
      </c>
      <c r="F899" s="110">
        <v>23144</v>
      </c>
      <c r="G899" s="110">
        <v>23144</v>
      </c>
      <c r="I899" s="110">
        <v>12320</v>
      </c>
      <c r="J899" s="110">
        <v>15055</v>
      </c>
      <c r="K899" s="110">
        <v>17194.25</v>
      </c>
      <c r="L899" s="110">
        <v>17603</v>
      </c>
    </row>
    <row r="900" spans="1:12" x14ac:dyDescent="0.2">
      <c r="A900" t="s">
        <v>24</v>
      </c>
      <c r="B900" t="s">
        <v>109</v>
      </c>
      <c r="C900" t="s">
        <v>221</v>
      </c>
      <c r="D900" s="110">
        <v>26286</v>
      </c>
      <c r="E900" s="110">
        <v>26286</v>
      </c>
      <c r="F900" s="110">
        <v>26286</v>
      </c>
      <c r="I900" s="110">
        <v>10815</v>
      </c>
      <c r="J900" s="110">
        <v>17089.599999999999</v>
      </c>
      <c r="K900" s="110">
        <v>18921.599999999999</v>
      </c>
    </row>
    <row r="901" spans="1:12" x14ac:dyDescent="0.2">
      <c r="A901" t="s">
        <v>24</v>
      </c>
      <c r="B901" t="s">
        <v>109</v>
      </c>
      <c r="C901" t="s">
        <v>222</v>
      </c>
      <c r="D901" s="110">
        <v>37895</v>
      </c>
      <c r="E901" s="110">
        <v>37895</v>
      </c>
      <c r="I901" s="110">
        <v>21187</v>
      </c>
      <c r="J901" s="110">
        <v>25883</v>
      </c>
    </row>
    <row r="902" spans="1:12" x14ac:dyDescent="0.2">
      <c r="A902" t="s">
        <v>24</v>
      </c>
      <c r="B902" t="s">
        <v>109</v>
      </c>
      <c r="C902" t="s">
        <v>223</v>
      </c>
      <c r="D902" s="110">
        <v>40878</v>
      </c>
      <c r="I902" s="110">
        <v>19570</v>
      </c>
    </row>
    <row r="903" spans="1:12" x14ac:dyDescent="0.2">
      <c r="A903" t="s">
        <v>24</v>
      </c>
      <c r="B903" t="s">
        <v>106</v>
      </c>
      <c r="C903" t="s">
        <v>220</v>
      </c>
      <c r="D903" s="110">
        <v>7230</v>
      </c>
      <c r="E903" s="110">
        <v>6830</v>
      </c>
      <c r="F903" s="110">
        <v>6830</v>
      </c>
      <c r="G903" s="110">
        <v>6830</v>
      </c>
      <c r="I903" s="110">
        <v>6830</v>
      </c>
      <c r="J903" s="110">
        <v>6830</v>
      </c>
      <c r="K903" s="110">
        <v>6830</v>
      </c>
      <c r="L903" s="110">
        <v>6830</v>
      </c>
    </row>
    <row r="904" spans="1:12" x14ac:dyDescent="0.2">
      <c r="A904" t="s">
        <v>24</v>
      </c>
      <c r="B904" t="s">
        <v>106</v>
      </c>
      <c r="C904" t="s">
        <v>221</v>
      </c>
      <c r="D904" s="110">
        <v>4980</v>
      </c>
      <c r="E904" s="110">
        <v>4980</v>
      </c>
      <c r="F904" s="110">
        <v>4980</v>
      </c>
      <c r="I904" s="110">
        <v>4950</v>
      </c>
      <c r="J904" s="110">
        <v>4980</v>
      </c>
      <c r="K904" s="110">
        <v>4980</v>
      </c>
    </row>
    <row r="905" spans="1:12" x14ac:dyDescent="0.2">
      <c r="A905" t="s">
        <v>24</v>
      </c>
      <c r="B905" t="s">
        <v>106</v>
      </c>
      <c r="C905" t="s">
        <v>222</v>
      </c>
      <c r="D905" s="110">
        <v>7902.5</v>
      </c>
      <c r="E905" s="110">
        <v>7902.5</v>
      </c>
      <c r="I905" s="110">
        <v>6702.5</v>
      </c>
      <c r="J905" s="110">
        <v>6702.5</v>
      </c>
    </row>
    <row r="906" spans="1:12" x14ac:dyDescent="0.2">
      <c r="A906" t="s">
        <v>24</v>
      </c>
      <c r="B906" t="s">
        <v>106</v>
      </c>
      <c r="C906" t="s">
        <v>223</v>
      </c>
      <c r="D906" s="110">
        <v>10990</v>
      </c>
      <c r="I906" s="110">
        <v>10580</v>
      </c>
    </row>
    <row r="907" spans="1:12" x14ac:dyDescent="0.2">
      <c r="A907" t="s">
        <v>24</v>
      </c>
      <c r="B907" t="s">
        <v>107</v>
      </c>
      <c r="C907" t="s">
        <v>220</v>
      </c>
      <c r="D907" s="110">
        <v>14826</v>
      </c>
      <c r="E907" s="110">
        <v>14826</v>
      </c>
      <c r="F907" s="110">
        <v>14826</v>
      </c>
      <c r="G907" s="110">
        <v>14826</v>
      </c>
      <c r="I907" s="110">
        <v>14782</v>
      </c>
      <c r="J907" s="110">
        <v>14824</v>
      </c>
      <c r="K907" s="110">
        <v>14824</v>
      </c>
      <c r="L907" s="110">
        <v>14824</v>
      </c>
    </row>
    <row r="908" spans="1:12" x14ac:dyDescent="0.2">
      <c r="A908" t="s">
        <v>24</v>
      </c>
      <c r="B908" t="s">
        <v>107</v>
      </c>
      <c r="C908" t="s">
        <v>221</v>
      </c>
      <c r="D908" s="110">
        <v>16431</v>
      </c>
      <c r="E908" s="110">
        <v>16431</v>
      </c>
      <c r="F908" s="110">
        <v>16431</v>
      </c>
      <c r="I908" s="110">
        <v>15656</v>
      </c>
      <c r="J908" s="110">
        <v>16336</v>
      </c>
      <c r="K908" s="110">
        <v>16336</v>
      </c>
    </row>
    <row r="909" spans="1:12" x14ac:dyDescent="0.2">
      <c r="A909" t="s">
        <v>24</v>
      </c>
      <c r="B909" t="s">
        <v>107</v>
      </c>
      <c r="C909" t="s">
        <v>222</v>
      </c>
      <c r="D909" s="110">
        <v>14735</v>
      </c>
      <c r="E909" s="110">
        <v>14735</v>
      </c>
      <c r="I909" s="110">
        <v>14620</v>
      </c>
      <c r="J909" s="110">
        <v>14735</v>
      </c>
    </row>
    <row r="910" spans="1:12" x14ac:dyDescent="0.2">
      <c r="A910" t="s">
        <v>24</v>
      </c>
      <c r="B910" t="s">
        <v>107</v>
      </c>
      <c r="C910" t="s">
        <v>223</v>
      </c>
      <c r="D910" s="110">
        <v>17255</v>
      </c>
      <c r="I910" s="110">
        <v>16550</v>
      </c>
    </row>
    <row r="911" spans="1:12" x14ac:dyDescent="0.2">
      <c r="A911" t="s">
        <v>24</v>
      </c>
      <c r="B911" t="s">
        <v>108</v>
      </c>
      <c r="C911" t="s">
        <v>220</v>
      </c>
      <c r="D911" s="110">
        <v>4539</v>
      </c>
      <c r="E911" s="110">
        <v>4194</v>
      </c>
      <c r="F911" s="110">
        <v>4194</v>
      </c>
      <c r="G911" s="110">
        <v>4194</v>
      </c>
      <c r="I911" s="110">
        <v>4194</v>
      </c>
      <c r="J911" s="110">
        <v>4194</v>
      </c>
      <c r="K911" s="110">
        <v>4194</v>
      </c>
      <c r="L911" s="110">
        <v>4194</v>
      </c>
    </row>
    <row r="912" spans="1:12" x14ac:dyDescent="0.2">
      <c r="A912" t="s">
        <v>24</v>
      </c>
      <c r="B912" t="s">
        <v>108</v>
      </c>
      <c r="C912" t="s">
        <v>221</v>
      </c>
      <c r="D912" s="110">
        <v>4106</v>
      </c>
      <c r="E912" s="110">
        <v>4106</v>
      </c>
      <c r="F912" s="110">
        <v>4106</v>
      </c>
      <c r="I912" s="110">
        <v>3871</v>
      </c>
      <c r="J912" s="110">
        <v>3871</v>
      </c>
      <c r="K912" s="110">
        <v>3871</v>
      </c>
    </row>
    <row r="913" spans="1:12" x14ac:dyDescent="0.2">
      <c r="A913" t="s">
        <v>24</v>
      </c>
      <c r="B913" t="s">
        <v>108</v>
      </c>
      <c r="C913" t="s">
        <v>222</v>
      </c>
      <c r="D913" s="110">
        <v>4726</v>
      </c>
      <c r="E913" s="110">
        <v>4726</v>
      </c>
      <c r="I913" s="110">
        <v>4726</v>
      </c>
      <c r="J913" s="110">
        <v>4726</v>
      </c>
    </row>
    <row r="914" spans="1:12" x14ac:dyDescent="0.2">
      <c r="A914" t="s">
        <v>24</v>
      </c>
      <c r="B914" t="s">
        <v>108</v>
      </c>
      <c r="C914" t="s">
        <v>223</v>
      </c>
      <c r="D914" s="110">
        <v>8527.9699999999993</v>
      </c>
      <c r="I914" s="110">
        <v>8527.9699999999993</v>
      </c>
    </row>
    <row r="915" spans="1:12" x14ac:dyDescent="0.2">
      <c r="A915" t="s">
        <v>24</v>
      </c>
      <c r="B915" t="s">
        <v>70</v>
      </c>
      <c r="C915" t="s">
        <v>220</v>
      </c>
      <c r="D915" s="110">
        <v>7474</v>
      </c>
      <c r="E915" s="110">
        <v>7474</v>
      </c>
      <c r="F915" s="110">
        <v>7474</v>
      </c>
      <c r="G915" s="110">
        <v>7474</v>
      </c>
      <c r="I915" s="110">
        <v>7006</v>
      </c>
      <c r="J915" s="110">
        <v>7006</v>
      </c>
      <c r="K915" s="110">
        <v>7006</v>
      </c>
      <c r="L915" s="110">
        <v>7006</v>
      </c>
    </row>
    <row r="916" spans="1:12" x14ac:dyDescent="0.2">
      <c r="A916" t="s">
        <v>24</v>
      </c>
      <c r="B916" t="s">
        <v>70</v>
      </c>
      <c r="C916" t="s">
        <v>221</v>
      </c>
      <c r="D916" s="110">
        <v>4534</v>
      </c>
      <c r="E916" s="110">
        <v>4534</v>
      </c>
      <c r="F916" s="110">
        <v>4534</v>
      </c>
      <c r="I916" s="110">
        <v>4524</v>
      </c>
      <c r="J916" s="110">
        <v>4534</v>
      </c>
      <c r="K916" s="110">
        <v>4534</v>
      </c>
    </row>
    <row r="917" spans="1:12" x14ac:dyDescent="0.2">
      <c r="A917" t="s">
        <v>24</v>
      </c>
      <c r="B917" t="s">
        <v>70</v>
      </c>
      <c r="C917" t="s">
        <v>222</v>
      </c>
      <c r="D917" s="110">
        <v>5012</v>
      </c>
      <c r="E917" s="110">
        <v>5012</v>
      </c>
      <c r="I917" s="110">
        <v>4604</v>
      </c>
      <c r="J917" s="110">
        <v>4604</v>
      </c>
    </row>
    <row r="918" spans="1:12" x14ac:dyDescent="0.2">
      <c r="A918" t="s">
        <v>24</v>
      </c>
      <c r="B918" t="s">
        <v>70</v>
      </c>
      <c r="C918" t="s">
        <v>223</v>
      </c>
      <c r="D918" s="110">
        <v>3824</v>
      </c>
      <c r="I918" s="110">
        <v>3346</v>
      </c>
    </row>
    <row r="919" spans="1:12" x14ac:dyDescent="0.2">
      <c r="A919" t="s">
        <v>24</v>
      </c>
      <c r="B919" t="s">
        <v>110</v>
      </c>
      <c r="C919" t="s">
        <v>220</v>
      </c>
      <c r="D919" s="110">
        <v>63228</v>
      </c>
      <c r="E919" s="110">
        <v>59400.6</v>
      </c>
      <c r="F919" s="110">
        <v>58917.599999999999</v>
      </c>
      <c r="G919" s="110">
        <v>58917.599999999999</v>
      </c>
      <c r="I919" s="110">
        <v>20301</v>
      </c>
      <c r="J919" s="110">
        <v>46037</v>
      </c>
      <c r="K919" s="110">
        <v>50252.6</v>
      </c>
      <c r="L919" s="110">
        <v>51049.599999999999</v>
      </c>
    </row>
    <row r="920" spans="1:12" x14ac:dyDescent="0.2">
      <c r="A920" t="s">
        <v>24</v>
      </c>
      <c r="B920" t="s">
        <v>110</v>
      </c>
      <c r="C920" t="s">
        <v>221</v>
      </c>
      <c r="D920" s="110">
        <v>119640.15</v>
      </c>
      <c r="E920" s="110">
        <v>114389.75</v>
      </c>
      <c r="F920" s="110">
        <v>114389.75</v>
      </c>
      <c r="I920" s="110">
        <v>42931.12</v>
      </c>
      <c r="J920" s="110">
        <v>83205.820000000007</v>
      </c>
      <c r="K920" s="110">
        <v>90439.47</v>
      </c>
    </row>
    <row r="921" spans="1:12" x14ac:dyDescent="0.2">
      <c r="A921" t="s">
        <v>24</v>
      </c>
      <c r="B921" t="s">
        <v>110</v>
      </c>
      <c r="C921" t="s">
        <v>222</v>
      </c>
      <c r="D921" s="110">
        <v>133763.1</v>
      </c>
      <c r="E921" s="110">
        <v>133763.1</v>
      </c>
      <c r="I921" s="110">
        <v>50880.85</v>
      </c>
      <c r="J921" s="110">
        <v>86870.25</v>
      </c>
    </row>
    <row r="922" spans="1:12" x14ac:dyDescent="0.2">
      <c r="A922" t="s">
        <v>24</v>
      </c>
      <c r="B922" t="s">
        <v>110</v>
      </c>
      <c r="C922" t="s">
        <v>223</v>
      </c>
      <c r="D922" s="110">
        <v>88301.05</v>
      </c>
      <c r="I922" s="110">
        <v>38727.050000000003</v>
      </c>
    </row>
    <row r="923" spans="1:12" x14ac:dyDescent="0.2">
      <c r="A923" t="s">
        <v>25</v>
      </c>
      <c r="B923" t="s">
        <v>104</v>
      </c>
      <c r="C923" t="s">
        <v>220</v>
      </c>
      <c r="D923" s="110">
        <v>206869</v>
      </c>
      <c r="E923" s="110">
        <v>206869</v>
      </c>
      <c r="F923" s="110">
        <v>206869</v>
      </c>
      <c r="G923" s="110">
        <v>206869</v>
      </c>
      <c r="I923" s="110">
        <v>2236.2800000000002</v>
      </c>
      <c r="J923" s="110">
        <v>5355.38</v>
      </c>
      <c r="K923" s="110">
        <v>6558.38</v>
      </c>
      <c r="L923" s="110">
        <v>8486.76</v>
      </c>
    </row>
    <row r="924" spans="1:12" x14ac:dyDescent="0.2">
      <c r="A924" t="s">
        <v>25</v>
      </c>
      <c r="B924" t="s">
        <v>104</v>
      </c>
      <c r="C924" t="s">
        <v>221</v>
      </c>
      <c r="D924" s="110">
        <v>264893.15999999997</v>
      </c>
      <c r="E924" s="110">
        <v>264843.15999999997</v>
      </c>
      <c r="F924" s="110">
        <v>264843.15999999997</v>
      </c>
      <c r="I924" s="110">
        <v>2404.04</v>
      </c>
      <c r="J924" s="110">
        <v>3928.31</v>
      </c>
      <c r="K924" s="110">
        <v>5096.4799999999996</v>
      </c>
    </row>
    <row r="925" spans="1:12" x14ac:dyDescent="0.2">
      <c r="A925" t="s">
        <v>25</v>
      </c>
      <c r="B925" t="s">
        <v>104</v>
      </c>
      <c r="C925" t="s">
        <v>222</v>
      </c>
      <c r="D925" s="110">
        <v>144286.23000000001</v>
      </c>
      <c r="E925" s="110">
        <v>144236.23000000001</v>
      </c>
      <c r="I925" s="110">
        <v>2962.14</v>
      </c>
      <c r="J925" s="110">
        <v>5855.18</v>
      </c>
    </row>
    <row r="926" spans="1:12" x14ac:dyDescent="0.2">
      <c r="A926" t="s">
        <v>25</v>
      </c>
      <c r="B926" t="s">
        <v>104</v>
      </c>
      <c r="C926" t="s">
        <v>223</v>
      </c>
      <c r="D926" s="110">
        <v>74468</v>
      </c>
      <c r="I926" s="110">
        <v>1534.73</v>
      </c>
    </row>
    <row r="927" spans="1:12" x14ac:dyDescent="0.2">
      <c r="A927" t="s">
        <v>25</v>
      </c>
      <c r="B927" t="s">
        <v>140</v>
      </c>
      <c r="C927" t="s">
        <v>220</v>
      </c>
      <c r="D927" s="110">
        <v>107100</v>
      </c>
      <c r="E927" s="110">
        <v>107100</v>
      </c>
      <c r="F927" s="110">
        <v>107100</v>
      </c>
      <c r="G927" s="110">
        <v>107100</v>
      </c>
      <c r="I927" s="110">
        <v>0</v>
      </c>
      <c r="J927" s="110">
        <v>0</v>
      </c>
      <c r="K927" s="110">
        <v>0</v>
      </c>
      <c r="L927" s="110">
        <v>0</v>
      </c>
    </row>
    <row r="928" spans="1:12" x14ac:dyDescent="0.2">
      <c r="A928" t="s">
        <v>25</v>
      </c>
      <c r="B928" t="s">
        <v>140</v>
      </c>
      <c r="C928" t="s">
        <v>221</v>
      </c>
      <c r="D928" s="110">
        <v>159450</v>
      </c>
      <c r="E928" s="110">
        <v>159450</v>
      </c>
      <c r="F928" s="110">
        <v>159450</v>
      </c>
      <c r="I928" s="110">
        <v>0</v>
      </c>
      <c r="J928" s="110">
        <v>0</v>
      </c>
      <c r="K928" s="110">
        <v>0</v>
      </c>
    </row>
    <row r="929" spans="1:12" x14ac:dyDescent="0.2">
      <c r="A929" t="s">
        <v>25</v>
      </c>
      <c r="B929" t="s">
        <v>140</v>
      </c>
      <c r="C929" t="s">
        <v>222</v>
      </c>
      <c r="D929" s="110">
        <v>52915</v>
      </c>
      <c r="E929" s="110">
        <v>52915</v>
      </c>
      <c r="I929" s="110">
        <v>72.040000000000006</v>
      </c>
      <c r="J929" s="110">
        <v>208.66</v>
      </c>
    </row>
    <row r="930" spans="1:12" x14ac:dyDescent="0.2">
      <c r="A930" t="s">
        <v>25</v>
      </c>
      <c r="B930" t="s">
        <v>140</v>
      </c>
      <c r="C930" t="s">
        <v>223</v>
      </c>
    </row>
    <row r="931" spans="1:12" x14ac:dyDescent="0.2">
      <c r="A931" t="s">
        <v>25</v>
      </c>
      <c r="B931" t="s">
        <v>105</v>
      </c>
      <c r="C931" t="s">
        <v>220</v>
      </c>
      <c r="D931" s="110">
        <v>32132.82</v>
      </c>
      <c r="E931" s="110">
        <v>31527.82</v>
      </c>
      <c r="F931" s="110">
        <v>31527.82</v>
      </c>
      <c r="G931" s="110">
        <v>31002.82</v>
      </c>
      <c r="I931" s="110">
        <v>4866.3599999999997</v>
      </c>
      <c r="J931" s="110">
        <v>9148.2800000000007</v>
      </c>
      <c r="K931" s="110">
        <v>10964.94</v>
      </c>
      <c r="L931" s="110">
        <v>12104.98</v>
      </c>
    </row>
    <row r="932" spans="1:12" x14ac:dyDescent="0.2">
      <c r="A932" t="s">
        <v>25</v>
      </c>
      <c r="B932" t="s">
        <v>105</v>
      </c>
      <c r="C932" t="s">
        <v>221</v>
      </c>
      <c r="D932" s="110">
        <v>31569.25</v>
      </c>
      <c r="E932" s="110">
        <v>31039.25</v>
      </c>
      <c r="F932" s="110">
        <v>31039.25</v>
      </c>
      <c r="I932" s="110">
        <v>4892.25</v>
      </c>
      <c r="J932" s="110">
        <v>8960.25</v>
      </c>
      <c r="K932" s="110">
        <v>10804.75</v>
      </c>
    </row>
    <row r="933" spans="1:12" x14ac:dyDescent="0.2">
      <c r="A933" t="s">
        <v>25</v>
      </c>
      <c r="B933" t="s">
        <v>105</v>
      </c>
      <c r="C933" t="s">
        <v>222</v>
      </c>
      <c r="D933" s="110">
        <v>49875.91</v>
      </c>
      <c r="E933" s="110">
        <v>49582.41</v>
      </c>
      <c r="I933" s="110">
        <v>10449.209999999999</v>
      </c>
      <c r="J933" s="110">
        <v>14849.21</v>
      </c>
    </row>
    <row r="934" spans="1:12" x14ac:dyDescent="0.2">
      <c r="A934" t="s">
        <v>25</v>
      </c>
      <c r="B934" t="s">
        <v>105</v>
      </c>
      <c r="C934" t="s">
        <v>223</v>
      </c>
      <c r="D934" s="110">
        <v>33653.5</v>
      </c>
      <c r="I934" s="110">
        <v>4477.13</v>
      </c>
    </row>
    <row r="935" spans="1:12" x14ac:dyDescent="0.2">
      <c r="A935" t="s">
        <v>25</v>
      </c>
      <c r="B935" t="s">
        <v>111</v>
      </c>
      <c r="C935" t="s">
        <v>220</v>
      </c>
      <c r="D935" s="110">
        <v>2730</v>
      </c>
      <c r="E935" s="110">
        <v>2730</v>
      </c>
      <c r="F935" s="110">
        <v>2730</v>
      </c>
      <c r="G935" s="110">
        <v>2730</v>
      </c>
      <c r="I935" s="110">
        <v>220</v>
      </c>
      <c r="J935" s="110">
        <v>390</v>
      </c>
      <c r="K935" s="110">
        <v>390</v>
      </c>
      <c r="L935" s="110">
        <v>390</v>
      </c>
    </row>
    <row r="936" spans="1:12" x14ac:dyDescent="0.2">
      <c r="A936" t="s">
        <v>25</v>
      </c>
      <c r="B936" t="s">
        <v>111</v>
      </c>
      <c r="C936" t="s">
        <v>221</v>
      </c>
      <c r="D936" s="110">
        <v>6771.45</v>
      </c>
      <c r="E936" s="110">
        <v>6771.45</v>
      </c>
      <c r="F936" s="110">
        <v>6771.45</v>
      </c>
      <c r="I936" s="110">
        <v>381.45</v>
      </c>
      <c r="J936" s="110">
        <v>411.45</v>
      </c>
      <c r="K936" s="110">
        <v>481.45</v>
      </c>
    </row>
    <row r="937" spans="1:12" x14ac:dyDescent="0.2">
      <c r="A937" t="s">
        <v>25</v>
      </c>
      <c r="B937" t="s">
        <v>111</v>
      </c>
      <c r="C937" t="s">
        <v>222</v>
      </c>
      <c r="D937" s="110">
        <v>5570.16</v>
      </c>
      <c r="E937" s="110">
        <v>5570.16</v>
      </c>
      <c r="I937" s="110">
        <v>120.16</v>
      </c>
      <c r="J937" s="110">
        <v>450.16</v>
      </c>
    </row>
    <row r="938" spans="1:12" x14ac:dyDescent="0.2">
      <c r="A938" t="s">
        <v>25</v>
      </c>
      <c r="B938" t="s">
        <v>111</v>
      </c>
      <c r="C938" t="s">
        <v>223</v>
      </c>
      <c r="D938" s="110">
        <v>5640</v>
      </c>
      <c r="I938" s="110">
        <v>50</v>
      </c>
    </row>
    <row r="939" spans="1:12" x14ac:dyDescent="0.2">
      <c r="A939" t="s">
        <v>25</v>
      </c>
      <c r="B939" t="s">
        <v>109</v>
      </c>
      <c r="C939" t="s">
        <v>220</v>
      </c>
      <c r="D939" s="110">
        <v>57640.25</v>
      </c>
      <c r="E939" s="110">
        <v>57640.25</v>
      </c>
      <c r="F939" s="110">
        <v>57615.25</v>
      </c>
      <c r="G939" s="110">
        <v>57615.25</v>
      </c>
      <c r="I939" s="110">
        <v>24593.17</v>
      </c>
      <c r="J939" s="110">
        <v>36454.019999999997</v>
      </c>
      <c r="K939" s="110">
        <v>41683.019999999997</v>
      </c>
      <c r="L939" s="110">
        <v>43900.02</v>
      </c>
    </row>
    <row r="940" spans="1:12" x14ac:dyDescent="0.2">
      <c r="A940" t="s">
        <v>25</v>
      </c>
      <c r="B940" t="s">
        <v>109</v>
      </c>
      <c r="C940" t="s">
        <v>221</v>
      </c>
      <c r="D940" s="110">
        <v>80600.5</v>
      </c>
      <c r="E940" s="110">
        <v>80600.5</v>
      </c>
      <c r="F940" s="110">
        <v>80600.5</v>
      </c>
      <c r="I940" s="110">
        <v>34577.599999999999</v>
      </c>
      <c r="J940" s="110">
        <v>49737.599999999999</v>
      </c>
      <c r="K940" s="110">
        <v>56015.6</v>
      </c>
    </row>
    <row r="941" spans="1:12" x14ac:dyDescent="0.2">
      <c r="A941" t="s">
        <v>25</v>
      </c>
      <c r="B941" t="s">
        <v>109</v>
      </c>
      <c r="C941" t="s">
        <v>222</v>
      </c>
      <c r="D941" s="110">
        <v>108837.88</v>
      </c>
      <c r="E941" s="110">
        <v>108837.88</v>
      </c>
      <c r="I941" s="110">
        <v>50179.09</v>
      </c>
      <c r="J941" s="110">
        <v>69239.63</v>
      </c>
    </row>
    <row r="942" spans="1:12" x14ac:dyDescent="0.2">
      <c r="A942" t="s">
        <v>25</v>
      </c>
      <c r="B942" t="s">
        <v>109</v>
      </c>
      <c r="C942" t="s">
        <v>223</v>
      </c>
      <c r="D942" s="110">
        <v>72768.06</v>
      </c>
      <c r="I942" s="110">
        <v>29465.25</v>
      </c>
    </row>
    <row r="943" spans="1:12" x14ac:dyDescent="0.2">
      <c r="A943" t="s">
        <v>25</v>
      </c>
      <c r="B943" t="s">
        <v>106</v>
      </c>
      <c r="C943" t="s">
        <v>220</v>
      </c>
      <c r="D943" s="110">
        <v>96427.09</v>
      </c>
      <c r="E943" s="110">
        <v>96427.09</v>
      </c>
      <c r="F943" s="110">
        <v>96427.09</v>
      </c>
      <c r="G943" s="110">
        <v>96417.09</v>
      </c>
      <c r="I943" s="110">
        <v>96017.09</v>
      </c>
      <c r="J943" s="110">
        <v>96017.09</v>
      </c>
      <c r="K943" s="110">
        <v>96017.09</v>
      </c>
      <c r="L943" s="110">
        <v>96017.09</v>
      </c>
    </row>
    <row r="944" spans="1:12" x14ac:dyDescent="0.2">
      <c r="A944" t="s">
        <v>25</v>
      </c>
      <c r="B944" t="s">
        <v>106</v>
      </c>
      <c r="C944" t="s">
        <v>221</v>
      </c>
      <c r="D944" s="110">
        <v>707077.85</v>
      </c>
      <c r="E944" s="110">
        <v>707487.85</v>
      </c>
      <c r="F944" s="110">
        <v>707487.85</v>
      </c>
      <c r="I944" s="110">
        <v>707026.85</v>
      </c>
      <c r="J944" s="110">
        <v>707487.85</v>
      </c>
      <c r="K944" s="110">
        <v>707487.85</v>
      </c>
    </row>
    <row r="945" spans="1:12" x14ac:dyDescent="0.2">
      <c r="A945" t="s">
        <v>25</v>
      </c>
      <c r="B945" t="s">
        <v>106</v>
      </c>
      <c r="C945" t="s">
        <v>222</v>
      </c>
      <c r="D945" s="110">
        <v>254637.56</v>
      </c>
      <c r="E945" s="110">
        <v>254637.56</v>
      </c>
      <c r="I945" s="110">
        <v>254157.56</v>
      </c>
      <c r="J945" s="110">
        <v>254157.56</v>
      </c>
    </row>
    <row r="946" spans="1:12" x14ac:dyDescent="0.2">
      <c r="A946" t="s">
        <v>25</v>
      </c>
      <c r="B946" t="s">
        <v>106</v>
      </c>
      <c r="C946" t="s">
        <v>223</v>
      </c>
      <c r="D946" s="110">
        <v>149543.04000000001</v>
      </c>
      <c r="I946" s="110">
        <v>149309.54</v>
      </c>
    </row>
    <row r="947" spans="1:12" x14ac:dyDescent="0.2">
      <c r="A947" t="s">
        <v>25</v>
      </c>
      <c r="B947" t="s">
        <v>107</v>
      </c>
      <c r="C947" t="s">
        <v>220</v>
      </c>
      <c r="D947" s="110">
        <v>29133</v>
      </c>
      <c r="E947" s="110">
        <v>29133</v>
      </c>
      <c r="F947" s="110">
        <v>29133</v>
      </c>
      <c r="G947" s="110">
        <v>29133</v>
      </c>
      <c r="I947" s="110">
        <v>28543</v>
      </c>
      <c r="J947" s="110">
        <v>28728</v>
      </c>
      <c r="K947" s="110">
        <v>28728</v>
      </c>
      <c r="L947" s="110">
        <v>28728</v>
      </c>
    </row>
    <row r="948" spans="1:12" x14ac:dyDescent="0.2">
      <c r="A948" t="s">
        <v>25</v>
      </c>
      <c r="B948" t="s">
        <v>107</v>
      </c>
      <c r="C948" t="s">
        <v>221</v>
      </c>
      <c r="D948" s="110">
        <v>16636.5</v>
      </c>
      <c r="E948" s="110">
        <v>16672.8</v>
      </c>
      <c r="F948" s="110">
        <v>16672.8</v>
      </c>
      <c r="I948" s="110">
        <v>16336.5</v>
      </c>
      <c r="J948" s="110">
        <v>16672.8</v>
      </c>
      <c r="K948" s="110">
        <v>16672.8</v>
      </c>
    </row>
    <row r="949" spans="1:12" x14ac:dyDescent="0.2">
      <c r="A949" t="s">
        <v>25</v>
      </c>
      <c r="B949" t="s">
        <v>107</v>
      </c>
      <c r="C949" t="s">
        <v>222</v>
      </c>
      <c r="D949" s="110">
        <v>15782.37</v>
      </c>
      <c r="E949" s="110">
        <v>15782.37</v>
      </c>
      <c r="I949" s="110">
        <v>15489.5</v>
      </c>
      <c r="J949" s="110">
        <v>15489.5</v>
      </c>
    </row>
    <row r="950" spans="1:12" x14ac:dyDescent="0.2">
      <c r="A950" t="s">
        <v>25</v>
      </c>
      <c r="B950" t="s">
        <v>107</v>
      </c>
      <c r="C950" t="s">
        <v>223</v>
      </c>
      <c r="D950" s="110">
        <v>21916</v>
      </c>
      <c r="I950" s="110">
        <v>21390</v>
      </c>
    </row>
    <row r="951" spans="1:12" x14ac:dyDescent="0.2">
      <c r="A951" t="s">
        <v>25</v>
      </c>
      <c r="B951" t="s">
        <v>108</v>
      </c>
      <c r="C951" t="s">
        <v>220</v>
      </c>
      <c r="D951" s="110">
        <v>6319.13</v>
      </c>
      <c r="E951" s="110">
        <v>6319.13</v>
      </c>
      <c r="F951" s="110">
        <v>6319.13</v>
      </c>
      <c r="G951" s="110">
        <v>6319.13</v>
      </c>
      <c r="I951" s="110">
        <v>6319.13</v>
      </c>
      <c r="J951" s="110">
        <v>6319.13</v>
      </c>
      <c r="K951" s="110">
        <v>6319.13</v>
      </c>
      <c r="L951" s="110">
        <v>6319.13</v>
      </c>
    </row>
    <row r="952" spans="1:12" x14ac:dyDescent="0.2">
      <c r="A952" t="s">
        <v>25</v>
      </c>
      <c r="B952" t="s">
        <v>108</v>
      </c>
      <c r="C952" t="s">
        <v>221</v>
      </c>
      <c r="D952" s="110">
        <v>8099</v>
      </c>
      <c r="E952" s="110">
        <v>8099</v>
      </c>
      <c r="F952" s="110">
        <v>8099</v>
      </c>
      <c r="I952" s="110">
        <v>8099</v>
      </c>
      <c r="J952" s="110">
        <v>8099</v>
      </c>
      <c r="K952" s="110">
        <v>8099</v>
      </c>
    </row>
    <row r="953" spans="1:12" x14ac:dyDescent="0.2">
      <c r="A953" t="s">
        <v>25</v>
      </c>
      <c r="B953" t="s">
        <v>108</v>
      </c>
      <c r="C953" t="s">
        <v>222</v>
      </c>
      <c r="D953" s="110">
        <v>5145</v>
      </c>
      <c r="E953" s="110">
        <v>5145</v>
      </c>
      <c r="I953" s="110">
        <v>4745</v>
      </c>
      <c r="J953" s="110">
        <v>4745</v>
      </c>
    </row>
    <row r="954" spans="1:12" x14ac:dyDescent="0.2">
      <c r="A954" t="s">
        <v>25</v>
      </c>
      <c r="B954" t="s">
        <v>108</v>
      </c>
      <c r="C954" t="s">
        <v>223</v>
      </c>
      <c r="D954" s="110">
        <v>7388</v>
      </c>
      <c r="I954" s="110">
        <v>6757</v>
      </c>
    </row>
    <row r="955" spans="1:12" x14ac:dyDescent="0.2">
      <c r="A955" t="s">
        <v>25</v>
      </c>
      <c r="B955" t="s">
        <v>70</v>
      </c>
      <c r="C955" t="s">
        <v>220</v>
      </c>
      <c r="D955" s="110">
        <v>8401</v>
      </c>
      <c r="E955" s="110">
        <v>8401</v>
      </c>
      <c r="F955" s="110">
        <v>7993</v>
      </c>
      <c r="G955" s="110">
        <v>7993</v>
      </c>
      <c r="I955" s="110">
        <v>7107</v>
      </c>
      <c r="J955" s="110">
        <v>7107</v>
      </c>
      <c r="K955" s="110">
        <v>7107</v>
      </c>
      <c r="L955" s="110">
        <v>7107</v>
      </c>
    </row>
    <row r="956" spans="1:12" x14ac:dyDescent="0.2">
      <c r="A956" t="s">
        <v>25</v>
      </c>
      <c r="B956" t="s">
        <v>70</v>
      </c>
      <c r="C956" t="s">
        <v>221</v>
      </c>
      <c r="D956" s="110">
        <v>7714.35</v>
      </c>
      <c r="E956" s="110">
        <v>7714.35</v>
      </c>
      <c r="F956" s="110">
        <v>7714.35</v>
      </c>
      <c r="I956" s="110">
        <v>6000.35</v>
      </c>
      <c r="J956" s="110">
        <v>6000.35</v>
      </c>
      <c r="K956" s="110">
        <v>6010.35</v>
      </c>
    </row>
    <row r="957" spans="1:12" x14ac:dyDescent="0.2">
      <c r="A957" t="s">
        <v>25</v>
      </c>
      <c r="B957" t="s">
        <v>70</v>
      </c>
      <c r="C957" t="s">
        <v>222</v>
      </c>
      <c r="D957" s="110">
        <v>8318.1</v>
      </c>
      <c r="E957" s="110">
        <v>8318.1</v>
      </c>
      <c r="I957" s="110">
        <v>7996.1</v>
      </c>
      <c r="J957" s="110">
        <v>8006.1</v>
      </c>
    </row>
    <row r="958" spans="1:12" x14ac:dyDescent="0.2">
      <c r="A958" t="s">
        <v>25</v>
      </c>
      <c r="B958" t="s">
        <v>70</v>
      </c>
      <c r="C958" t="s">
        <v>223</v>
      </c>
      <c r="D958" s="110">
        <v>10498.25</v>
      </c>
      <c r="I958" s="110">
        <v>8587.25</v>
      </c>
    </row>
    <row r="959" spans="1:12" x14ac:dyDescent="0.2">
      <c r="A959" t="s">
        <v>25</v>
      </c>
      <c r="B959" t="s">
        <v>110</v>
      </c>
      <c r="C959" t="s">
        <v>220</v>
      </c>
      <c r="D959" s="110">
        <v>151075.15</v>
      </c>
      <c r="E959" s="110">
        <v>152259.4</v>
      </c>
      <c r="F959" s="110">
        <v>152833.4</v>
      </c>
      <c r="G959" s="110">
        <v>152994.4</v>
      </c>
      <c r="I959" s="110">
        <v>65747.649999999994</v>
      </c>
      <c r="J959" s="110">
        <v>121886.9</v>
      </c>
      <c r="K959" s="110">
        <v>135493.9</v>
      </c>
      <c r="L959" s="110">
        <v>140371.9</v>
      </c>
    </row>
    <row r="960" spans="1:12" x14ac:dyDescent="0.2">
      <c r="A960" t="s">
        <v>25</v>
      </c>
      <c r="B960" t="s">
        <v>110</v>
      </c>
      <c r="C960" t="s">
        <v>221</v>
      </c>
      <c r="D960" s="110">
        <v>165481.44</v>
      </c>
      <c r="E960" s="110">
        <v>164865.18</v>
      </c>
      <c r="F960" s="110">
        <v>164024.73000000001</v>
      </c>
      <c r="I960" s="110">
        <v>81005.05</v>
      </c>
      <c r="J960" s="110">
        <v>138297.28</v>
      </c>
      <c r="K960" s="110">
        <v>149989.98000000001</v>
      </c>
    </row>
    <row r="961" spans="1:12" x14ac:dyDescent="0.2">
      <c r="A961" t="s">
        <v>25</v>
      </c>
      <c r="B961" t="s">
        <v>110</v>
      </c>
      <c r="C961" t="s">
        <v>222</v>
      </c>
      <c r="D961" s="110">
        <v>194257.3</v>
      </c>
      <c r="E961" s="110">
        <v>191301.3</v>
      </c>
      <c r="I961" s="110">
        <v>80871.8</v>
      </c>
      <c r="J961" s="110">
        <v>148444.15</v>
      </c>
    </row>
    <row r="962" spans="1:12" x14ac:dyDescent="0.2">
      <c r="A962" t="s">
        <v>25</v>
      </c>
      <c r="B962" t="s">
        <v>110</v>
      </c>
      <c r="C962" t="s">
        <v>223</v>
      </c>
      <c r="D962" s="110">
        <v>247564.9</v>
      </c>
      <c r="I962" s="110">
        <v>102896.9</v>
      </c>
    </row>
    <row r="963" spans="1:12" x14ac:dyDescent="0.2">
      <c r="A963" t="s">
        <v>26</v>
      </c>
      <c r="B963" t="s">
        <v>104</v>
      </c>
      <c r="C963" t="s">
        <v>220</v>
      </c>
      <c r="D963" s="110">
        <v>155959.98000000001</v>
      </c>
      <c r="E963" s="110">
        <v>155959.98000000001</v>
      </c>
      <c r="F963" s="110">
        <v>155959.98000000001</v>
      </c>
      <c r="G963" s="110">
        <v>155959.98000000001</v>
      </c>
      <c r="I963" s="110">
        <v>3700.4</v>
      </c>
      <c r="J963" s="110">
        <v>9680.73</v>
      </c>
      <c r="K963" s="110">
        <v>20844.02</v>
      </c>
      <c r="L963" s="110">
        <v>22908.080000000002</v>
      </c>
    </row>
    <row r="964" spans="1:12" x14ac:dyDescent="0.2">
      <c r="A964" t="s">
        <v>26</v>
      </c>
      <c r="B964" t="s">
        <v>104</v>
      </c>
      <c r="C964" t="s">
        <v>221</v>
      </c>
      <c r="D964" s="110">
        <v>220274.08</v>
      </c>
      <c r="E964" s="110">
        <v>219709.31</v>
      </c>
      <c r="F964" s="110">
        <v>219709.31</v>
      </c>
      <c r="I964" s="110">
        <v>5183.41</v>
      </c>
      <c r="J964" s="110">
        <v>17545.62</v>
      </c>
      <c r="K964" s="110">
        <v>21182.080000000002</v>
      </c>
    </row>
    <row r="965" spans="1:12" x14ac:dyDescent="0.2">
      <c r="A965" t="s">
        <v>26</v>
      </c>
      <c r="B965" t="s">
        <v>104</v>
      </c>
      <c r="C965" t="s">
        <v>222</v>
      </c>
      <c r="D965" s="110">
        <v>90093.43</v>
      </c>
      <c r="E965" s="110">
        <v>90093.43</v>
      </c>
      <c r="I965" s="110">
        <v>16850.54</v>
      </c>
      <c r="J965" s="110">
        <v>19900.27</v>
      </c>
    </row>
    <row r="966" spans="1:12" x14ac:dyDescent="0.2">
      <c r="A966" t="s">
        <v>26</v>
      </c>
      <c r="B966" t="s">
        <v>104</v>
      </c>
      <c r="C966" t="s">
        <v>223</v>
      </c>
      <c r="D966" s="110">
        <v>82884.62</v>
      </c>
      <c r="I966" s="110">
        <v>1086</v>
      </c>
    </row>
    <row r="967" spans="1:12" x14ac:dyDescent="0.2">
      <c r="A967" t="s">
        <v>26</v>
      </c>
      <c r="B967" t="s">
        <v>140</v>
      </c>
      <c r="C967" t="s">
        <v>220</v>
      </c>
      <c r="D967" s="110">
        <v>50615</v>
      </c>
      <c r="E967" s="110">
        <v>50615</v>
      </c>
      <c r="F967" s="110">
        <v>50615</v>
      </c>
      <c r="G967" s="110">
        <v>50615</v>
      </c>
      <c r="I967" s="110">
        <v>0</v>
      </c>
      <c r="J967" s="110">
        <v>0</v>
      </c>
      <c r="K967" s="110">
        <v>0</v>
      </c>
      <c r="L967" s="110">
        <v>0</v>
      </c>
    </row>
    <row r="968" spans="1:12" x14ac:dyDescent="0.2">
      <c r="A968" t="s">
        <v>26</v>
      </c>
      <c r="B968" t="s">
        <v>140</v>
      </c>
      <c r="C968" t="s">
        <v>221</v>
      </c>
      <c r="D968" s="110">
        <v>101230</v>
      </c>
      <c r="E968" s="110">
        <v>101230</v>
      </c>
      <c r="F968" s="110">
        <v>101230</v>
      </c>
      <c r="I968" s="110">
        <v>0</v>
      </c>
      <c r="J968" s="110">
        <v>0</v>
      </c>
      <c r="K968" s="110">
        <v>0</v>
      </c>
    </row>
    <row r="969" spans="1:12" x14ac:dyDescent="0.2">
      <c r="A969" t="s">
        <v>26</v>
      </c>
      <c r="B969" t="s">
        <v>140</v>
      </c>
      <c r="C969" t="s">
        <v>222</v>
      </c>
      <c r="D969" s="110">
        <v>0</v>
      </c>
      <c r="E969" s="110">
        <v>0</v>
      </c>
      <c r="I969" s="110">
        <v>0</v>
      </c>
      <c r="J969" s="110">
        <v>0</v>
      </c>
    </row>
    <row r="970" spans="1:12" x14ac:dyDescent="0.2">
      <c r="A970" t="s">
        <v>26</v>
      </c>
      <c r="B970" t="s">
        <v>140</v>
      </c>
      <c r="C970" t="s">
        <v>223</v>
      </c>
      <c r="D970" s="110">
        <v>0</v>
      </c>
      <c r="I970" s="110">
        <v>0</v>
      </c>
    </row>
    <row r="971" spans="1:12" x14ac:dyDescent="0.2">
      <c r="A971" t="s">
        <v>26</v>
      </c>
      <c r="B971" t="s">
        <v>105</v>
      </c>
      <c r="C971" t="s">
        <v>220</v>
      </c>
      <c r="D971" s="110">
        <v>82829.5</v>
      </c>
      <c r="E971" s="110">
        <v>76662.25</v>
      </c>
      <c r="F971" s="110">
        <v>74834.75</v>
      </c>
      <c r="G971" s="110">
        <v>72714.75</v>
      </c>
      <c r="I971" s="110">
        <v>11861.06</v>
      </c>
      <c r="J971" s="110">
        <v>25879.77</v>
      </c>
      <c r="K971" s="110">
        <v>31621.51</v>
      </c>
      <c r="L971" s="110">
        <v>33118.559999999998</v>
      </c>
    </row>
    <row r="972" spans="1:12" x14ac:dyDescent="0.2">
      <c r="A972" t="s">
        <v>26</v>
      </c>
      <c r="B972" t="s">
        <v>105</v>
      </c>
      <c r="C972" t="s">
        <v>221</v>
      </c>
      <c r="D972" s="110">
        <v>69760.5</v>
      </c>
      <c r="E972" s="110">
        <v>67578.5</v>
      </c>
      <c r="F972" s="110">
        <v>67138</v>
      </c>
      <c r="I972" s="110">
        <v>11479.58</v>
      </c>
      <c r="J972" s="110">
        <v>19101.32</v>
      </c>
      <c r="K972" s="110">
        <v>23284.58</v>
      </c>
    </row>
    <row r="973" spans="1:12" x14ac:dyDescent="0.2">
      <c r="A973" t="s">
        <v>26</v>
      </c>
      <c r="B973" t="s">
        <v>105</v>
      </c>
      <c r="C973" t="s">
        <v>222</v>
      </c>
      <c r="D973" s="110">
        <v>69893.960000000006</v>
      </c>
      <c r="E973" s="110">
        <v>69575.81</v>
      </c>
      <c r="I973" s="110">
        <v>29052.22</v>
      </c>
      <c r="J973" s="110">
        <v>35984.589999999997</v>
      </c>
    </row>
    <row r="974" spans="1:12" x14ac:dyDescent="0.2">
      <c r="A974" t="s">
        <v>26</v>
      </c>
      <c r="B974" t="s">
        <v>105</v>
      </c>
      <c r="C974" t="s">
        <v>223</v>
      </c>
      <c r="D974" s="110">
        <v>42548.5</v>
      </c>
      <c r="I974" s="110">
        <v>6007.59</v>
      </c>
    </row>
    <row r="975" spans="1:12" x14ac:dyDescent="0.2">
      <c r="A975" t="s">
        <v>26</v>
      </c>
      <c r="B975" t="s">
        <v>111</v>
      </c>
      <c r="C975" t="s">
        <v>220</v>
      </c>
      <c r="D975" s="110">
        <v>150</v>
      </c>
      <c r="E975" s="110">
        <v>150</v>
      </c>
      <c r="F975" s="110">
        <v>150</v>
      </c>
      <c r="G975" s="110">
        <v>150</v>
      </c>
      <c r="I975" s="110">
        <v>0</v>
      </c>
      <c r="J975" s="110">
        <v>0</v>
      </c>
      <c r="K975" s="110">
        <v>0</v>
      </c>
      <c r="L975" s="110">
        <v>0</v>
      </c>
    </row>
    <row r="976" spans="1:12" x14ac:dyDescent="0.2">
      <c r="A976" t="s">
        <v>26</v>
      </c>
      <c r="B976" t="s">
        <v>111</v>
      </c>
      <c r="C976" t="s">
        <v>221</v>
      </c>
      <c r="D976" s="110">
        <v>603</v>
      </c>
      <c r="E976" s="110">
        <v>603</v>
      </c>
      <c r="F976" s="110">
        <v>603</v>
      </c>
      <c r="I976" s="110">
        <v>3</v>
      </c>
      <c r="J976" s="110">
        <v>3</v>
      </c>
      <c r="K976" s="110">
        <v>3</v>
      </c>
    </row>
    <row r="977" spans="1:12" x14ac:dyDescent="0.2">
      <c r="A977" t="s">
        <v>26</v>
      </c>
      <c r="B977" t="s">
        <v>111</v>
      </c>
      <c r="C977" t="s">
        <v>222</v>
      </c>
      <c r="D977" s="110">
        <v>653</v>
      </c>
      <c r="E977" s="110">
        <v>653</v>
      </c>
      <c r="I977" s="110">
        <v>3</v>
      </c>
      <c r="J977" s="110">
        <v>3</v>
      </c>
    </row>
    <row r="978" spans="1:12" x14ac:dyDescent="0.2">
      <c r="A978" t="s">
        <v>26</v>
      </c>
      <c r="B978" t="s">
        <v>111</v>
      </c>
      <c r="C978" t="s">
        <v>223</v>
      </c>
      <c r="D978" s="110">
        <v>700</v>
      </c>
      <c r="I978" s="110">
        <v>50</v>
      </c>
    </row>
    <row r="979" spans="1:12" x14ac:dyDescent="0.2">
      <c r="A979" t="s">
        <v>26</v>
      </c>
      <c r="B979" t="s">
        <v>109</v>
      </c>
      <c r="C979" t="s">
        <v>220</v>
      </c>
      <c r="D979" s="110">
        <v>150879.76</v>
      </c>
      <c r="E979" s="110">
        <v>148581.75</v>
      </c>
      <c r="F979" s="110">
        <v>147113.75</v>
      </c>
      <c r="G979" s="110">
        <v>146523.75</v>
      </c>
      <c r="I979" s="110">
        <v>39229.18</v>
      </c>
      <c r="J979" s="110">
        <v>62900.24</v>
      </c>
      <c r="K979" s="110">
        <v>74842</v>
      </c>
      <c r="L979" s="110">
        <v>81889.23</v>
      </c>
    </row>
    <row r="980" spans="1:12" x14ac:dyDescent="0.2">
      <c r="A980" t="s">
        <v>26</v>
      </c>
      <c r="B980" t="s">
        <v>109</v>
      </c>
      <c r="C980" t="s">
        <v>221</v>
      </c>
      <c r="D980" s="110">
        <v>94907.5</v>
      </c>
      <c r="E980" s="110">
        <v>94410</v>
      </c>
      <c r="F980" s="110">
        <v>93563</v>
      </c>
      <c r="I980" s="110">
        <v>27493.64</v>
      </c>
      <c r="J980" s="110">
        <v>53298.51</v>
      </c>
      <c r="K980" s="110">
        <v>61005.55</v>
      </c>
    </row>
    <row r="981" spans="1:12" x14ac:dyDescent="0.2">
      <c r="A981" t="s">
        <v>26</v>
      </c>
      <c r="B981" t="s">
        <v>109</v>
      </c>
      <c r="C981" t="s">
        <v>222</v>
      </c>
      <c r="D981" s="110">
        <v>118097.49</v>
      </c>
      <c r="E981" s="110">
        <v>117947.49</v>
      </c>
      <c r="I981" s="110">
        <v>53984.1</v>
      </c>
      <c r="J981" s="110">
        <v>67467.72</v>
      </c>
    </row>
    <row r="982" spans="1:12" x14ac:dyDescent="0.2">
      <c r="A982" t="s">
        <v>26</v>
      </c>
      <c r="B982" t="s">
        <v>109</v>
      </c>
      <c r="C982" t="s">
        <v>223</v>
      </c>
      <c r="D982" s="110">
        <v>94583.5</v>
      </c>
      <c r="I982" s="110">
        <v>24801.93</v>
      </c>
    </row>
    <row r="983" spans="1:12" x14ac:dyDescent="0.2">
      <c r="A983" t="s">
        <v>26</v>
      </c>
      <c r="B983" t="s">
        <v>106</v>
      </c>
      <c r="C983" t="s">
        <v>220</v>
      </c>
      <c r="D983" s="110">
        <v>28904.5</v>
      </c>
      <c r="E983" s="110">
        <v>28904.5</v>
      </c>
      <c r="F983" s="110">
        <v>28034.5</v>
      </c>
      <c r="G983" s="110">
        <v>28034.5</v>
      </c>
      <c r="I983" s="110">
        <v>28034.5</v>
      </c>
      <c r="J983" s="110">
        <v>28034.5</v>
      </c>
      <c r="K983" s="110">
        <v>28034.5</v>
      </c>
      <c r="L983" s="110">
        <v>28034.5</v>
      </c>
    </row>
    <row r="984" spans="1:12" x14ac:dyDescent="0.2">
      <c r="A984" t="s">
        <v>26</v>
      </c>
      <c r="B984" t="s">
        <v>106</v>
      </c>
      <c r="C984" t="s">
        <v>221</v>
      </c>
      <c r="D984" s="110">
        <v>44790.5</v>
      </c>
      <c r="E984" s="110">
        <v>44790.5</v>
      </c>
      <c r="F984" s="110">
        <v>44790.5</v>
      </c>
      <c r="I984" s="110">
        <v>43045.5</v>
      </c>
      <c r="J984" s="110">
        <v>44790.5</v>
      </c>
      <c r="K984" s="110">
        <v>44790.5</v>
      </c>
    </row>
    <row r="985" spans="1:12" x14ac:dyDescent="0.2">
      <c r="A985" t="s">
        <v>26</v>
      </c>
      <c r="B985" t="s">
        <v>106</v>
      </c>
      <c r="C985" t="s">
        <v>222</v>
      </c>
      <c r="D985" s="110">
        <v>31374</v>
      </c>
      <c r="E985" s="110">
        <v>31374</v>
      </c>
      <c r="I985" s="110">
        <v>31374</v>
      </c>
      <c r="J985" s="110">
        <v>31374</v>
      </c>
    </row>
    <row r="986" spans="1:12" x14ac:dyDescent="0.2">
      <c r="A986" t="s">
        <v>26</v>
      </c>
      <c r="B986" t="s">
        <v>106</v>
      </c>
      <c r="C986" t="s">
        <v>223</v>
      </c>
      <c r="D986" s="110">
        <v>42408.5</v>
      </c>
      <c r="I986" s="110">
        <v>41488.5</v>
      </c>
    </row>
    <row r="987" spans="1:12" x14ac:dyDescent="0.2">
      <c r="A987" t="s">
        <v>26</v>
      </c>
      <c r="B987" t="s">
        <v>107</v>
      </c>
      <c r="C987" t="s">
        <v>220</v>
      </c>
      <c r="D987" s="110">
        <v>44912</v>
      </c>
      <c r="E987" s="110">
        <v>44912</v>
      </c>
      <c r="F987" s="110">
        <v>44912</v>
      </c>
      <c r="G987" s="110">
        <v>44912</v>
      </c>
      <c r="I987" s="110">
        <v>43542</v>
      </c>
      <c r="J987" s="110">
        <v>44552</v>
      </c>
      <c r="K987" s="110">
        <v>44552</v>
      </c>
      <c r="L987" s="110">
        <v>44552</v>
      </c>
    </row>
    <row r="988" spans="1:12" x14ac:dyDescent="0.2">
      <c r="A988" t="s">
        <v>26</v>
      </c>
      <c r="B988" t="s">
        <v>107</v>
      </c>
      <c r="C988" t="s">
        <v>221</v>
      </c>
      <c r="D988" s="110">
        <v>45451</v>
      </c>
      <c r="E988" s="110">
        <v>45451</v>
      </c>
      <c r="F988" s="110">
        <v>45451</v>
      </c>
      <c r="I988" s="110">
        <v>43471</v>
      </c>
      <c r="J988" s="110">
        <v>44111</v>
      </c>
      <c r="K988" s="110">
        <v>44111</v>
      </c>
    </row>
    <row r="989" spans="1:12" x14ac:dyDescent="0.2">
      <c r="A989" t="s">
        <v>26</v>
      </c>
      <c r="B989" t="s">
        <v>107</v>
      </c>
      <c r="C989" t="s">
        <v>222</v>
      </c>
      <c r="D989" s="110">
        <v>32082</v>
      </c>
      <c r="E989" s="110">
        <v>32082</v>
      </c>
      <c r="I989" s="110">
        <v>31547</v>
      </c>
      <c r="J989" s="110">
        <v>32092</v>
      </c>
    </row>
    <row r="990" spans="1:12" x14ac:dyDescent="0.2">
      <c r="A990" t="s">
        <v>26</v>
      </c>
      <c r="B990" t="s">
        <v>107</v>
      </c>
      <c r="C990" t="s">
        <v>223</v>
      </c>
      <c r="D990" s="110">
        <v>44364</v>
      </c>
      <c r="I990" s="110">
        <v>42999</v>
      </c>
    </row>
    <row r="991" spans="1:12" x14ac:dyDescent="0.2">
      <c r="A991" t="s">
        <v>26</v>
      </c>
      <c r="B991" t="s">
        <v>108</v>
      </c>
      <c r="C991" t="s">
        <v>220</v>
      </c>
      <c r="D991" s="110">
        <v>10114</v>
      </c>
      <c r="E991" s="110">
        <v>10114</v>
      </c>
      <c r="F991" s="110">
        <v>10114</v>
      </c>
      <c r="G991" s="110">
        <v>10114</v>
      </c>
      <c r="I991" s="110">
        <v>9710</v>
      </c>
      <c r="J991" s="110">
        <v>9710</v>
      </c>
      <c r="K991" s="110">
        <v>9710</v>
      </c>
      <c r="L991" s="110">
        <v>9710</v>
      </c>
    </row>
    <row r="992" spans="1:12" x14ac:dyDescent="0.2">
      <c r="A992" t="s">
        <v>26</v>
      </c>
      <c r="B992" t="s">
        <v>108</v>
      </c>
      <c r="C992" t="s">
        <v>221</v>
      </c>
      <c r="D992" s="110">
        <v>11334.5</v>
      </c>
      <c r="E992" s="110">
        <v>11334.5</v>
      </c>
      <c r="F992" s="110">
        <v>11334.5</v>
      </c>
      <c r="I992" s="110">
        <v>11334.5</v>
      </c>
      <c r="J992" s="110">
        <v>11334.5</v>
      </c>
      <c r="K992" s="110">
        <v>11334.5</v>
      </c>
    </row>
    <row r="993" spans="1:12" x14ac:dyDescent="0.2">
      <c r="A993" t="s">
        <v>26</v>
      </c>
      <c r="B993" t="s">
        <v>108</v>
      </c>
      <c r="C993" t="s">
        <v>222</v>
      </c>
      <c r="D993" s="110">
        <v>10333.5</v>
      </c>
      <c r="E993" s="110">
        <v>10333.5</v>
      </c>
      <c r="I993" s="110">
        <v>9892.5</v>
      </c>
      <c r="J993" s="110">
        <v>10333.5</v>
      </c>
    </row>
    <row r="994" spans="1:12" x14ac:dyDescent="0.2">
      <c r="A994" t="s">
        <v>26</v>
      </c>
      <c r="B994" t="s">
        <v>108</v>
      </c>
      <c r="C994" t="s">
        <v>223</v>
      </c>
      <c r="D994" s="110">
        <v>9165.5</v>
      </c>
      <c r="I994" s="110">
        <v>9165.5</v>
      </c>
    </row>
    <row r="995" spans="1:12" x14ac:dyDescent="0.2">
      <c r="A995" t="s">
        <v>26</v>
      </c>
      <c r="B995" t="s">
        <v>70</v>
      </c>
      <c r="C995" t="s">
        <v>220</v>
      </c>
      <c r="D995" s="110">
        <v>19089.099999999999</v>
      </c>
      <c r="E995" s="110">
        <v>18779.099999999999</v>
      </c>
      <c r="F995" s="110">
        <v>18779.099999999999</v>
      </c>
      <c r="G995" s="110">
        <v>18779.099999999999</v>
      </c>
      <c r="I995" s="110">
        <v>17743.099999999999</v>
      </c>
      <c r="J995" s="110">
        <v>18669.099999999999</v>
      </c>
      <c r="K995" s="110">
        <v>18669.099999999999</v>
      </c>
      <c r="L995" s="110">
        <v>18669.099999999999</v>
      </c>
    </row>
    <row r="996" spans="1:12" x14ac:dyDescent="0.2">
      <c r="A996" t="s">
        <v>26</v>
      </c>
      <c r="B996" t="s">
        <v>70</v>
      </c>
      <c r="C996" t="s">
        <v>221</v>
      </c>
      <c r="D996" s="110">
        <v>71254.25</v>
      </c>
      <c r="E996" s="110">
        <v>69322.25</v>
      </c>
      <c r="F996" s="110">
        <v>69322.25</v>
      </c>
      <c r="I996" s="110">
        <v>20914.25</v>
      </c>
      <c r="J996" s="110">
        <v>20914.25</v>
      </c>
      <c r="K996" s="110">
        <v>20914.25</v>
      </c>
    </row>
    <row r="997" spans="1:12" x14ac:dyDescent="0.2">
      <c r="A997" t="s">
        <v>26</v>
      </c>
      <c r="B997" t="s">
        <v>70</v>
      </c>
      <c r="C997" t="s">
        <v>222</v>
      </c>
      <c r="D997" s="110">
        <v>25001</v>
      </c>
      <c r="E997" s="110">
        <v>24661</v>
      </c>
      <c r="I997" s="110">
        <v>23325</v>
      </c>
      <c r="J997" s="110">
        <v>24601</v>
      </c>
    </row>
    <row r="998" spans="1:12" x14ac:dyDescent="0.2">
      <c r="A998" t="s">
        <v>26</v>
      </c>
      <c r="B998" t="s">
        <v>70</v>
      </c>
      <c r="C998" t="s">
        <v>223</v>
      </c>
      <c r="D998" s="110">
        <v>23271.1</v>
      </c>
      <c r="I998" s="110">
        <v>21898.1</v>
      </c>
    </row>
    <row r="999" spans="1:12" x14ac:dyDescent="0.2">
      <c r="A999" t="s">
        <v>26</v>
      </c>
      <c r="B999" t="s">
        <v>110</v>
      </c>
      <c r="C999" t="s">
        <v>220</v>
      </c>
      <c r="D999" s="110">
        <v>275025.15000000002</v>
      </c>
      <c r="E999" s="110">
        <v>275025.15000000002</v>
      </c>
      <c r="F999" s="110">
        <v>275025.15000000002</v>
      </c>
      <c r="G999" s="110">
        <v>275025.15000000002</v>
      </c>
      <c r="I999" s="110">
        <v>107344.89</v>
      </c>
      <c r="J999" s="110">
        <v>192454.27</v>
      </c>
      <c r="K999" s="110">
        <v>233839.44</v>
      </c>
      <c r="L999" s="110">
        <v>246995.44</v>
      </c>
    </row>
    <row r="1000" spans="1:12" x14ac:dyDescent="0.2">
      <c r="A1000" t="s">
        <v>26</v>
      </c>
      <c r="B1000" t="s">
        <v>110</v>
      </c>
      <c r="C1000" t="s">
        <v>221</v>
      </c>
      <c r="D1000" s="110">
        <v>248096.14</v>
      </c>
      <c r="E1000" s="110">
        <v>248096.14</v>
      </c>
      <c r="F1000" s="110">
        <v>248096.14</v>
      </c>
      <c r="I1000" s="110">
        <v>93272.48</v>
      </c>
      <c r="J1000" s="110">
        <v>167085.75</v>
      </c>
      <c r="K1000" s="110">
        <v>207665.98</v>
      </c>
    </row>
    <row r="1001" spans="1:12" x14ac:dyDescent="0.2">
      <c r="A1001" t="s">
        <v>26</v>
      </c>
      <c r="B1001" t="s">
        <v>110</v>
      </c>
      <c r="C1001" t="s">
        <v>222</v>
      </c>
      <c r="D1001" s="110">
        <v>269061.2</v>
      </c>
      <c r="E1001" s="110">
        <v>266631.09999999998</v>
      </c>
      <c r="I1001" s="110">
        <v>114189.07</v>
      </c>
      <c r="J1001" s="110">
        <v>189526.67</v>
      </c>
    </row>
    <row r="1002" spans="1:12" x14ac:dyDescent="0.2">
      <c r="A1002" t="s">
        <v>26</v>
      </c>
      <c r="B1002" t="s">
        <v>110</v>
      </c>
      <c r="C1002" t="s">
        <v>223</v>
      </c>
      <c r="D1002" s="110">
        <v>251413.5</v>
      </c>
      <c r="I1002" s="110">
        <v>88369.01</v>
      </c>
    </row>
    <row r="1003" spans="1:12" x14ac:dyDescent="0.2">
      <c r="A1003" t="s">
        <v>27</v>
      </c>
      <c r="B1003" t="s">
        <v>104</v>
      </c>
      <c r="C1003" t="s">
        <v>220</v>
      </c>
      <c r="D1003" s="110">
        <v>2637534.69</v>
      </c>
      <c r="E1003" s="110">
        <v>2642761.39</v>
      </c>
      <c r="F1003" s="110">
        <v>2638173.09</v>
      </c>
      <c r="G1003" s="110">
        <v>2634355.09</v>
      </c>
      <c r="I1003" s="110">
        <v>29513.14</v>
      </c>
      <c r="J1003" s="110">
        <v>49659.69</v>
      </c>
      <c r="K1003" s="110">
        <v>57748.26</v>
      </c>
      <c r="L1003" s="110">
        <v>64227.22</v>
      </c>
    </row>
    <row r="1004" spans="1:12" x14ac:dyDescent="0.2">
      <c r="A1004" t="s">
        <v>27</v>
      </c>
      <c r="B1004" t="s">
        <v>104</v>
      </c>
      <c r="C1004" t="s">
        <v>221</v>
      </c>
      <c r="D1004" s="110">
        <v>843321.71</v>
      </c>
      <c r="E1004" s="110">
        <v>838848.01</v>
      </c>
      <c r="F1004" s="110">
        <v>830119.91</v>
      </c>
      <c r="I1004" s="110">
        <v>32746.02</v>
      </c>
      <c r="J1004" s="110">
        <v>49934.12</v>
      </c>
      <c r="K1004" s="110">
        <v>57914.28</v>
      </c>
    </row>
    <row r="1005" spans="1:12" x14ac:dyDescent="0.2">
      <c r="A1005" t="s">
        <v>27</v>
      </c>
      <c r="B1005" t="s">
        <v>104</v>
      </c>
      <c r="C1005" t="s">
        <v>222</v>
      </c>
      <c r="D1005" s="110">
        <v>819136.93</v>
      </c>
      <c r="E1005" s="110">
        <v>818029.43</v>
      </c>
      <c r="I1005" s="110">
        <v>38448.160000000003</v>
      </c>
      <c r="J1005" s="110">
        <v>54260.88</v>
      </c>
    </row>
    <row r="1006" spans="1:12" x14ac:dyDescent="0.2">
      <c r="A1006" t="s">
        <v>27</v>
      </c>
      <c r="B1006" t="s">
        <v>104</v>
      </c>
      <c r="C1006" t="s">
        <v>223</v>
      </c>
      <c r="D1006" s="110">
        <v>974730.18</v>
      </c>
      <c r="I1006" s="110">
        <v>30109.14</v>
      </c>
    </row>
    <row r="1007" spans="1:12" x14ac:dyDescent="0.2">
      <c r="A1007" t="s">
        <v>27</v>
      </c>
      <c r="B1007" t="s">
        <v>140</v>
      </c>
      <c r="C1007" t="s">
        <v>220</v>
      </c>
      <c r="D1007" s="110">
        <v>1792754.9</v>
      </c>
      <c r="E1007" s="110">
        <v>1792754.9</v>
      </c>
      <c r="F1007" s="110">
        <v>1792754.9</v>
      </c>
      <c r="G1007" s="110">
        <v>1792804.9</v>
      </c>
      <c r="I1007" s="110">
        <v>78</v>
      </c>
      <c r="J1007" s="110">
        <v>110</v>
      </c>
      <c r="K1007" s="110">
        <v>110</v>
      </c>
      <c r="L1007" s="110">
        <v>110</v>
      </c>
    </row>
    <row r="1008" spans="1:12" x14ac:dyDescent="0.2">
      <c r="A1008" t="s">
        <v>27</v>
      </c>
      <c r="B1008" t="s">
        <v>140</v>
      </c>
      <c r="C1008" t="s">
        <v>221</v>
      </c>
      <c r="D1008" s="110">
        <v>204082.55</v>
      </c>
      <c r="E1008" s="110">
        <v>204082.55</v>
      </c>
      <c r="F1008" s="110">
        <v>204132.55</v>
      </c>
      <c r="I1008" s="110">
        <v>121</v>
      </c>
      <c r="J1008" s="110">
        <v>121</v>
      </c>
      <c r="K1008" s="110">
        <v>121</v>
      </c>
    </row>
    <row r="1009" spans="1:12" x14ac:dyDescent="0.2">
      <c r="A1009" t="s">
        <v>27</v>
      </c>
      <c r="B1009" t="s">
        <v>140</v>
      </c>
      <c r="C1009" t="s">
        <v>222</v>
      </c>
      <c r="D1009" s="110">
        <v>144188</v>
      </c>
      <c r="E1009" s="110">
        <v>144238</v>
      </c>
      <c r="I1009" s="110">
        <v>64</v>
      </c>
      <c r="J1009" s="110">
        <v>346</v>
      </c>
    </row>
    <row r="1010" spans="1:12" x14ac:dyDescent="0.2">
      <c r="A1010" t="s">
        <v>27</v>
      </c>
      <c r="B1010" t="s">
        <v>140</v>
      </c>
      <c r="C1010" t="s">
        <v>223</v>
      </c>
      <c r="D1010" s="110">
        <v>322892</v>
      </c>
      <c r="I1010" s="110">
        <v>14</v>
      </c>
    </row>
    <row r="1011" spans="1:12" x14ac:dyDescent="0.2">
      <c r="A1011" t="s">
        <v>27</v>
      </c>
      <c r="B1011" t="s">
        <v>105</v>
      </c>
      <c r="C1011" t="s">
        <v>220</v>
      </c>
      <c r="D1011" s="110">
        <v>351230.75</v>
      </c>
      <c r="E1011" s="110">
        <v>349588.75</v>
      </c>
      <c r="F1011" s="110">
        <v>347629.75</v>
      </c>
      <c r="G1011" s="110">
        <v>347273.75</v>
      </c>
      <c r="I1011" s="110">
        <v>85030.02</v>
      </c>
      <c r="J1011" s="110">
        <v>121862.11</v>
      </c>
      <c r="K1011" s="110">
        <v>147953.18</v>
      </c>
      <c r="L1011" s="110">
        <v>160456.53</v>
      </c>
    </row>
    <row r="1012" spans="1:12" x14ac:dyDescent="0.2">
      <c r="A1012" t="s">
        <v>27</v>
      </c>
      <c r="B1012" t="s">
        <v>105</v>
      </c>
      <c r="C1012" t="s">
        <v>221</v>
      </c>
      <c r="D1012" s="110">
        <v>329263.63</v>
      </c>
      <c r="E1012" s="110">
        <v>328690.62</v>
      </c>
      <c r="F1012" s="110">
        <v>327760.62</v>
      </c>
      <c r="I1012" s="110">
        <v>83956.14</v>
      </c>
      <c r="J1012" s="110">
        <v>120337.19</v>
      </c>
      <c r="K1012" s="110">
        <v>147458.72</v>
      </c>
    </row>
    <row r="1013" spans="1:12" x14ac:dyDescent="0.2">
      <c r="A1013" t="s">
        <v>27</v>
      </c>
      <c r="B1013" t="s">
        <v>105</v>
      </c>
      <c r="C1013" t="s">
        <v>222</v>
      </c>
      <c r="D1013" s="110">
        <v>375029.9</v>
      </c>
      <c r="E1013" s="110">
        <v>372139.9</v>
      </c>
      <c r="I1013" s="110">
        <v>96211.06</v>
      </c>
      <c r="J1013" s="110">
        <v>134800.62</v>
      </c>
    </row>
    <row r="1014" spans="1:12" x14ac:dyDescent="0.2">
      <c r="A1014" t="s">
        <v>27</v>
      </c>
      <c r="B1014" t="s">
        <v>105</v>
      </c>
      <c r="C1014" t="s">
        <v>223</v>
      </c>
      <c r="D1014" s="110">
        <v>303588.95</v>
      </c>
      <c r="I1014" s="110">
        <v>69273.210000000006</v>
      </c>
    </row>
    <row r="1015" spans="1:12" x14ac:dyDescent="0.2">
      <c r="A1015" t="s">
        <v>27</v>
      </c>
      <c r="B1015" t="s">
        <v>111</v>
      </c>
      <c r="C1015" t="s">
        <v>220</v>
      </c>
      <c r="D1015" s="110">
        <v>16378.95</v>
      </c>
      <c r="E1015" s="110">
        <v>16378.95</v>
      </c>
      <c r="F1015" s="110">
        <v>16378.95</v>
      </c>
      <c r="G1015" s="110">
        <v>16328.95</v>
      </c>
      <c r="I1015" s="110">
        <v>272.5</v>
      </c>
      <c r="J1015" s="110">
        <v>693</v>
      </c>
      <c r="K1015" s="110">
        <v>1394.6</v>
      </c>
      <c r="L1015" s="110">
        <v>1394.6</v>
      </c>
    </row>
    <row r="1016" spans="1:12" x14ac:dyDescent="0.2">
      <c r="A1016" t="s">
        <v>27</v>
      </c>
      <c r="B1016" t="s">
        <v>111</v>
      </c>
      <c r="C1016" t="s">
        <v>221</v>
      </c>
      <c r="D1016" s="110">
        <v>21981.58</v>
      </c>
      <c r="E1016" s="110">
        <v>22375.58</v>
      </c>
      <c r="F1016" s="110">
        <v>22696.58</v>
      </c>
      <c r="I1016" s="110">
        <v>107</v>
      </c>
      <c r="J1016" s="110">
        <v>1659.6</v>
      </c>
      <c r="K1016" s="110">
        <v>2325.85</v>
      </c>
    </row>
    <row r="1017" spans="1:12" x14ac:dyDescent="0.2">
      <c r="A1017" t="s">
        <v>27</v>
      </c>
      <c r="B1017" t="s">
        <v>111</v>
      </c>
      <c r="C1017" t="s">
        <v>222</v>
      </c>
      <c r="D1017" s="110">
        <v>11912</v>
      </c>
      <c r="E1017" s="110">
        <v>11912</v>
      </c>
      <c r="I1017" s="110">
        <v>1193.7</v>
      </c>
      <c r="J1017" s="110">
        <v>1296.7</v>
      </c>
    </row>
    <row r="1018" spans="1:12" x14ac:dyDescent="0.2">
      <c r="A1018" t="s">
        <v>27</v>
      </c>
      <c r="B1018" t="s">
        <v>111</v>
      </c>
      <c r="C1018" t="s">
        <v>223</v>
      </c>
      <c r="D1018" s="110">
        <v>7592.3</v>
      </c>
      <c r="I1018" s="110">
        <v>103.5</v>
      </c>
    </row>
    <row r="1019" spans="1:12" x14ac:dyDescent="0.2">
      <c r="A1019" t="s">
        <v>27</v>
      </c>
      <c r="B1019" t="s">
        <v>109</v>
      </c>
      <c r="C1019" t="s">
        <v>220</v>
      </c>
      <c r="D1019" s="110">
        <v>199064.5</v>
      </c>
      <c r="E1019" s="110">
        <v>199530.5</v>
      </c>
      <c r="F1019" s="110">
        <v>197745.5</v>
      </c>
      <c r="G1019" s="110">
        <v>197801.5</v>
      </c>
      <c r="I1019" s="110">
        <v>57503.24</v>
      </c>
      <c r="J1019" s="110">
        <v>94532.52</v>
      </c>
      <c r="K1019" s="110">
        <v>108095.38</v>
      </c>
      <c r="L1019" s="110">
        <v>118108.4</v>
      </c>
    </row>
    <row r="1020" spans="1:12" x14ac:dyDescent="0.2">
      <c r="A1020" t="s">
        <v>27</v>
      </c>
      <c r="B1020" t="s">
        <v>109</v>
      </c>
      <c r="C1020" t="s">
        <v>221</v>
      </c>
      <c r="D1020" s="110">
        <v>202589.11</v>
      </c>
      <c r="E1020" s="110">
        <v>201984.11</v>
      </c>
      <c r="F1020" s="110">
        <v>201403.41</v>
      </c>
      <c r="I1020" s="110">
        <v>61769.25</v>
      </c>
      <c r="J1020" s="110">
        <v>88273.02</v>
      </c>
      <c r="K1020" s="110">
        <v>99886.88</v>
      </c>
    </row>
    <row r="1021" spans="1:12" x14ac:dyDescent="0.2">
      <c r="A1021" t="s">
        <v>27</v>
      </c>
      <c r="B1021" t="s">
        <v>109</v>
      </c>
      <c r="C1021" t="s">
        <v>222</v>
      </c>
      <c r="D1021" s="110">
        <v>200784.17</v>
      </c>
      <c r="E1021" s="110">
        <v>199304.73</v>
      </c>
      <c r="I1021" s="110">
        <v>63593.14</v>
      </c>
      <c r="J1021" s="110">
        <v>88588.65</v>
      </c>
    </row>
    <row r="1022" spans="1:12" x14ac:dyDescent="0.2">
      <c r="A1022" t="s">
        <v>27</v>
      </c>
      <c r="B1022" t="s">
        <v>109</v>
      </c>
      <c r="C1022" t="s">
        <v>223</v>
      </c>
      <c r="D1022" s="110">
        <v>211170.65</v>
      </c>
      <c r="I1022" s="110">
        <v>68681.91</v>
      </c>
    </row>
    <row r="1023" spans="1:12" x14ac:dyDescent="0.2">
      <c r="A1023" t="s">
        <v>27</v>
      </c>
      <c r="B1023" t="s">
        <v>106</v>
      </c>
      <c r="C1023" t="s">
        <v>220</v>
      </c>
      <c r="D1023" s="110">
        <v>261819.5</v>
      </c>
      <c r="E1023" s="110">
        <v>261019.5</v>
      </c>
      <c r="F1023" s="110">
        <v>260147</v>
      </c>
      <c r="G1023" s="110">
        <v>260147</v>
      </c>
      <c r="I1023" s="110">
        <v>250537</v>
      </c>
      <c r="J1023" s="110">
        <v>257184.5</v>
      </c>
      <c r="K1023" s="110">
        <v>256431</v>
      </c>
      <c r="L1023" s="110">
        <v>256431</v>
      </c>
    </row>
    <row r="1024" spans="1:12" x14ac:dyDescent="0.2">
      <c r="A1024" t="s">
        <v>27</v>
      </c>
      <c r="B1024" t="s">
        <v>106</v>
      </c>
      <c r="C1024" t="s">
        <v>221</v>
      </c>
      <c r="D1024" s="110">
        <v>279179.2</v>
      </c>
      <c r="E1024" s="110">
        <v>277879.2</v>
      </c>
      <c r="F1024" s="110">
        <v>277879.2</v>
      </c>
      <c r="I1024" s="110">
        <v>274117.7</v>
      </c>
      <c r="J1024" s="110">
        <v>276907.7</v>
      </c>
      <c r="K1024" s="110">
        <v>276425.2</v>
      </c>
    </row>
    <row r="1025" spans="1:12" x14ac:dyDescent="0.2">
      <c r="A1025" t="s">
        <v>27</v>
      </c>
      <c r="B1025" t="s">
        <v>106</v>
      </c>
      <c r="C1025" t="s">
        <v>222</v>
      </c>
      <c r="D1025" s="110">
        <v>308062.8</v>
      </c>
      <c r="E1025" s="110">
        <v>307612.79999999999</v>
      </c>
      <c r="I1025" s="110">
        <v>297370.3</v>
      </c>
      <c r="J1025" s="110">
        <v>305427.8</v>
      </c>
    </row>
    <row r="1026" spans="1:12" x14ac:dyDescent="0.2">
      <c r="A1026" t="s">
        <v>27</v>
      </c>
      <c r="B1026" t="s">
        <v>106</v>
      </c>
      <c r="C1026" t="s">
        <v>223</v>
      </c>
      <c r="D1026" s="110">
        <v>245516.2</v>
      </c>
      <c r="I1026" s="110">
        <v>242205.7</v>
      </c>
    </row>
    <row r="1027" spans="1:12" x14ac:dyDescent="0.2">
      <c r="A1027" t="s">
        <v>27</v>
      </c>
      <c r="B1027" t="s">
        <v>107</v>
      </c>
      <c r="C1027" t="s">
        <v>220</v>
      </c>
      <c r="D1027" s="110">
        <v>271803.99</v>
      </c>
      <c r="E1027" s="110">
        <v>270529.99</v>
      </c>
      <c r="F1027" s="110">
        <v>270529.99</v>
      </c>
      <c r="G1027" s="110">
        <v>270529.99</v>
      </c>
      <c r="I1027" s="110">
        <v>266386.99</v>
      </c>
      <c r="J1027" s="110">
        <v>269794.99</v>
      </c>
      <c r="K1027" s="110">
        <v>270094.99</v>
      </c>
      <c r="L1027" s="110">
        <v>270094.99</v>
      </c>
    </row>
    <row r="1028" spans="1:12" x14ac:dyDescent="0.2">
      <c r="A1028" t="s">
        <v>27</v>
      </c>
      <c r="B1028" t="s">
        <v>107</v>
      </c>
      <c r="C1028" t="s">
        <v>221</v>
      </c>
      <c r="D1028" s="110">
        <v>312916.7</v>
      </c>
      <c r="E1028" s="110">
        <v>312556.7</v>
      </c>
      <c r="F1028" s="110">
        <v>311980.7</v>
      </c>
      <c r="I1028" s="110">
        <v>307468.7</v>
      </c>
      <c r="J1028" s="110">
        <v>311333.7</v>
      </c>
      <c r="K1028" s="110">
        <v>311633.7</v>
      </c>
    </row>
    <row r="1029" spans="1:12" x14ac:dyDescent="0.2">
      <c r="A1029" t="s">
        <v>27</v>
      </c>
      <c r="B1029" t="s">
        <v>107</v>
      </c>
      <c r="C1029" t="s">
        <v>222</v>
      </c>
      <c r="D1029" s="110">
        <v>282013.42</v>
      </c>
      <c r="E1029" s="110">
        <v>281238.42</v>
      </c>
      <c r="I1029" s="110">
        <v>272924.92</v>
      </c>
      <c r="J1029" s="110">
        <v>280603.42</v>
      </c>
    </row>
    <row r="1030" spans="1:12" x14ac:dyDescent="0.2">
      <c r="A1030" t="s">
        <v>27</v>
      </c>
      <c r="B1030" t="s">
        <v>107</v>
      </c>
      <c r="C1030" t="s">
        <v>223</v>
      </c>
      <c r="D1030" s="110">
        <v>322803.13</v>
      </c>
      <c r="I1030" s="110">
        <v>318816.13</v>
      </c>
    </row>
    <row r="1031" spans="1:12" x14ac:dyDescent="0.2">
      <c r="A1031" t="s">
        <v>27</v>
      </c>
      <c r="B1031" t="s">
        <v>108</v>
      </c>
      <c r="C1031" t="s">
        <v>220</v>
      </c>
      <c r="D1031" s="110">
        <v>103998.49</v>
      </c>
      <c r="E1031" s="110">
        <v>103775.49</v>
      </c>
      <c r="F1031" s="110">
        <v>103144.49</v>
      </c>
      <c r="G1031" s="110">
        <v>102513.49</v>
      </c>
      <c r="I1031" s="110">
        <v>96375.99</v>
      </c>
      <c r="J1031" s="110">
        <v>97849.49</v>
      </c>
      <c r="K1031" s="110">
        <v>98511.49</v>
      </c>
      <c r="L1031" s="110">
        <v>100425.49</v>
      </c>
    </row>
    <row r="1032" spans="1:12" x14ac:dyDescent="0.2">
      <c r="A1032" t="s">
        <v>27</v>
      </c>
      <c r="B1032" t="s">
        <v>108</v>
      </c>
      <c r="C1032" t="s">
        <v>221</v>
      </c>
      <c r="D1032" s="110">
        <v>94714.83</v>
      </c>
      <c r="E1032" s="110">
        <v>94772.83</v>
      </c>
      <c r="F1032" s="110">
        <v>94730.83</v>
      </c>
      <c r="I1032" s="110">
        <v>89146.83</v>
      </c>
      <c r="J1032" s="110">
        <v>92505.83</v>
      </c>
      <c r="K1032" s="110">
        <v>93632.83</v>
      </c>
    </row>
    <row r="1033" spans="1:12" x14ac:dyDescent="0.2">
      <c r="A1033" t="s">
        <v>27</v>
      </c>
      <c r="B1033" t="s">
        <v>108</v>
      </c>
      <c r="C1033" t="s">
        <v>222</v>
      </c>
      <c r="D1033" s="110">
        <v>103103.99</v>
      </c>
      <c r="E1033" s="110">
        <v>102893.99</v>
      </c>
      <c r="I1033" s="110">
        <v>96506.49</v>
      </c>
      <c r="J1033" s="110">
        <v>98855.49</v>
      </c>
    </row>
    <row r="1034" spans="1:12" x14ac:dyDescent="0.2">
      <c r="A1034" t="s">
        <v>27</v>
      </c>
      <c r="B1034" t="s">
        <v>108</v>
      </c>
      <c r="C1034" t="s">
        <v>223</v>
      </c>
      <c r="D1034" s="110">
        <v>99566.91</v>
      </c>
      <c r="I1034" s="110">
        <v>91790.41</v>
      </c>
    </row>
    <row r="1035" spans="1:12" x14ac:dyDescent="0.2">
      <c r="A1035" t="s">
        <v>27</v>
      </c>
      <c r="B1035" t="s">
        <v>70</v>
      </c>
      <c r="C1035" t="s">
        <v>220</v>
      </c>
      <c r="D1035" s="110">
        <v>78181</v>
      </c>
      <c r="E1035" s="110">
        <v>76317</v>
      </c>
      <c r="F1035" s="110">
        <v>75909</v>
      </c>
      <c r="G1035" s="110">
        <v>75203</v>
      </c>
      <c r="I1035" s="110">
        <v>63005</v>
      </c>
      <c r="J1035" s="110">
        <v>66165</v>
      </c>
      <c r="K1035" s="110">
        <v>66285</v>
      </c>
      <c r="L1035" s="110">
        <v>66285</v>
      </c>
    </row>
    <row r="1036" spans="1:12" x14ac:dyDescent="0.2">
      <c r="A1036" t="s">
        <v>27</v>
      </c>
      <c r="B1036" t="s">
        <v>70</v>
      </c>
      <c r="C1036" t="s">
        <v>221</v>
      </c>
      <c r="D1036" s="110">
        <v>100415</v>
      </c>
      <c r="E1036" s="110">
        <v>100116</v>
      </c>
      <c r="F1036" s="110">
        <v>99302</v>
      </c>
      <c r="I1036" s="110">
        <v>86832</v>
      </c>
      <c r="J1036" s="110">
        <v>91843</v>
      </c>
      <c r="K1036" s="110">
        <v>92546</v>
      </c>
    </row>
    <row r="1037" spans="1:12" x14ac:dyDescent="0.2">
      <c r="A1037" t="s">
        <v>27</v>
      </c>
      <c r="B1037" t="s">
        <v>70</v>
      </c>
      <c r="C1037" t="s">
        <v>222</v>
      </c>
      <c r="D1037" s="110">
        <v>102095.1</v>
      </c>
      <c r="E1037" s="110">
        <v>99336.1</v>
      </c>
      <c r="I1037" s="110">
        <v>87474.1</v>
      </c>
      <c r="J1037" s="110">
        <v>91052.1</v>
      </c>
    </row>
    <row r="1038" spans="1:12" x14ac:dyDescent="0.2">
      <c r="A1038" t="s">
        <v>27</v>
      </c>
      <c r="B1038" t="s">
        <v>70</v>
      </c>
      <c r="C1038" t="s">
        <v>223</v>
      </c>
      <c r="D1038" s="110">
        <v>100072.15</v>
      </c>
      <c r="I1038" s="110">
        <v>84448.15</v>
      </c>
    </row>
    <row r="1039" spans="1:12" x14ac:dyDescent="0.2">
      <c r="A1039" t="s">
        <v>27</v>
      </c>
      <c r="B1039" t="s">
        <v>110</v>
      </c>
      <c r="C1039" t="s">
        <v>220</v>
      </c>
      <c r="D1039" s="110">
        <v>545453.98</v>
      </c>
      <c r="E1039" s="110">
        <v>518751.13</v>
      </c>
      <c r="F1039" s="110">
        <v>514804.28</v>
      </c>
      <c r="G1039" s="110">
        <v>513706.28</v>
      </c>
      <c r="I1039" s="110">
        <v>259011.48</v>
      </c>
      <c r="J1039" s="110">
        <v>423425.74</v>
      </c>
      <c r="K1039" s="110">
        <v>457352.39</v>
      </c>
      <c r="L1039" s="110">
        <v>467693.13</v>
      </c>
    </row>
    <row r="1040" spans="1:12" x14ac:dyDescent="0.2">
      <c r="A1040" t="s">
        <v>27</v>
      </c>
      <c r="B1040" t="s">
        <v>110</v>
      </c>
      <c r="C1040" t="s">
        <v>221</v>
      </c>
      <c r="D1040" s="110">
        <v>689548.14</v>
      </c>
      <c r="E1040" s="110">
        <v>651062.54</v>
      </c>
      <c r="F1040" s="110">
        <v>647102.34</v>
      </c>
      <c r="I1040" s="110">
        <v>354614.22</v>
      </c>
      <c r="J1040" s="110">
        <v>542570.01</v>
      </c>
      <c r="K1040" s="110">
        <v>579436.01</v>
      </c>
    </row>
    <row r="1041" spans="1:12" x14ac:dyDescent="0.2">
      <c r="A1041" t="s">
        <v>27</v>
      </c>
      <c r="B1041" t="s">
        <v>110</v>
      </c>
      <c r="C1041" t="s">
        <v>222</v>
      </c>
      <c r="D1041" s="110">
        <v>621959.04</v>
      </c>
      <c r="E1041" s="110">
        <v>598577.54</v>
      </c>
      <c r="I1041" s="110">
        <v>301954.68</v>
      </c>
      <c r="J1041" s="110">
        <v>482142.75</v>
      </c>
    </row>
    <row r="1042" spans="1:12" x14ac:dyDescent="0.2">
      <c r="A1042" t="s">
        <v>27</v>
      </c>
      <c r="B1042" t="s">
        <v>110</v>
      </c>
      <c r="C1042" t="s">
        <v>223</v>
      </c>
      <c r="D1042" s="110">
        <v>600349.25</v>
      </c>
      <c r="I1042" s="110">
        <v>292370.19</v>
      </c>
    </row>
    <row r="1043" spans="1:12" x14ac:dyDescent="0.2">
      <c r="A1043" t="s">
        <v>28</v>
      </c>
      <c r="B1043" t="s">
        <v>104</v>
      </c>
      <c r="C1043" t="s">
        <v>220</v>
      </c>
      <c r="D1043" s="110">
        <v>689043.56</v>
      </c>
      <c r="E1043" s="110">
        <v>689093.56</v>
      </c>
      <c r="F1043" s="110">
        <v>687830.25</v>
      </c>
      <c r="G1043" s="110">
        <v>686611.4</v>
      </c>
      <c r="I1043" s="110">
        <v>4845.78</v>
      </c>
      <c r="J1043" s="110">
        <v>14630.24</v>
      </c>
      <c r="K1043" s="110">
        <v>23694.97</v>
      </c>
      <c r="L1043" s="110">
        <v>33268.26</v>
      </c>
    </row>
    <row r="1044" spans="1:12" x14ac:dyDescent="0.2">
      <c r="A1044" t="s">
        <v>28</v>
      </c>
      <c r="B1044" t="s">
        <v>104</v>
      </c>
      <c r="C1044" t="s">
        <v>221</v>
      </c>
      <c r="D1044" s="110">
        <v>530690.04</v>
      </c>
      <c r="E1044" s="110">
        <v>531966.04</v>
      </c>
      <c r="F1044" s="110">
        <v>532166.04</v>
      </c>
      <c r="I1044" s="110">
        <v>8183.7</v>
      </c>
      <c r="J1044" s="110">
        <v>20386.349999999999</v>
      </c>
      <c r="K1044" s="110">
        <v>29581.08</v>
      </c>
    </row>
    <row r="1045" spans="1:12" x14ac:dyDescent="0.2">
      <c r="A1045" t="s">
        <v>28</v>
      </c>
      <c r="B1045" t="s">
        <v>104</v>
      </c>
      <c r="C1045" t="s">
        <v>222</v>
      </c>
      <c r="D1045" s="110">
        <v>541800.84</v>
      </c>
      <c r="E1045" s="110">
        <v>539950.5</v>
      </c>
      <c r="I1045" s="110">
        <v>9193.98</v>
      </c>
      <c r="J1045" s="110">
        <v>15351.06</v>
      </c>
    </row>
    <row r="1046" spans="1:12" x14ac:dyDescent="0.2">
      <c r="A1046" t="s">
        <v>28</v>
      </c>
      <c r="B1046" t="s">
        <v>104</v>
      </c>
      <c r="C1046" t="s">
        <v>223</v>
      </c>
      <c r="D1046" s="110">
        <v>476491.69</v>
      </c>
      <c r="I1046" s="110">
        <v>6435.09</v>
      </c>
    </row>
    <row r="1047" spans="1:12" x14ac:dyDescent="0.2">
      <c r="A1047" t="s">
        <v>28</v>
      </c>
      <c r="B1047" t="s">
        <v>140</v>
      </c>
      <c r="C1047" t="s">
        <v>220</v>
      </c>
      <c r="D1047" s="110">
        <v>294838.5</v>
      </c>
      <c r="E1047" s="110">
        <v>294888.5</v>
      </c>
      <c r="F1047" s="110">
        <v>294888.5</v>
      </c>
      <c r="G1047" s="110">
        <v>294888.5</v>
      </c>
      <c r="J1047" s="110">
        <v>0</v>
      </c>
      <c r="K1047" s="110">
        <v>0</v>
      </c>
      <c r="L1047" s="110">
        <v>0</v>
      </c>
    </row>
    <row r="1048" spans="1:12" x14ac:dyDescent="0.2">
      <c r="A1048" t="s">
        <v>28</v>
      </c>
      <c r="B1048" t="s">
        <v>140</v>
      </c>
      <c r="C1048" t="s">
        <v>221</v>
      </c>
      <c r="D1048" s="110">
        <v>163887</v>
      </c>
      <c r="E1048" s="110">
        <v>163887</v>
      </c>
      <c r="F1048" s="110">
        <v>163887</v>
      </c>
      <c r="I1048" s="110">
        <v>0</v>
      </c>
      <c r="J1048" s="110">
        <v>0</v>
      </c>
      <c r="K1048" s="110">
        <v>675.39</v>
      </c>
    </row>
    <row r="1049" spans="1:12" x14ac:dyDescent="0.2">
      <c r="A1049" t="s">
        <v>28</v>
      </c>
      <c r="B1049" t="s">
        <v>140</v>
      </c>
      <c r="C1049" t="s">
        <v>222</v>
      </c>
      <c r="D1049" s="110">
        <v>200</v>
      </c>
      <c r="E1049" s="110">
        <v>200</v>
      </c>
      <c r="I1049" s="110">
        <v>0</v>
      </c>
      <c r="J1049" s="110">
        <v>0</v>
      </c>
    </row>
    <row r="1050" spans="1:12" x14ac:dyDescent="0.2">
      <c r="A1050" t="s">
        <v>28</v>
      </c>
      <c r="B1050" t="s">
        <v>140</v>
      </c>
      <c r="C1050" t="s">
        <v>223</v>
      </c>
      <c r="D1050" s="110">
        <v>54396.5</v>
      </c>
      <c r="I1050" s="110">
        <v>0</v>
      </c>
    </row>
    <row r="1051" spans="1:12" x14ac:dyDescent="0.2">
      <c r="A1051" t="s">
        <v>28</v>
      </c>
      <c r="B1051" t="s">
        <v>105</v>
      </c>
      <c r="C1051" t="s">
        <v>220</v>
      </c>
      <c r="D1051" s="110">
        <v>128257.25</v>
      </c>
      <c r="E1051" s="110">
        <v>127941.25</v>
      </c>
      <c r="F1051" s="110">
        <v>127809.25</v>
      </c>
      <c r="G1051" s="110">
        <v>127651.75</v>
      </c>
      <c r="I1051" s="110">
        <v>5963.5</v>
      </c>
      <c r="J1051" s="110">
        <v>14280</v>
      </c>
      <c r="K1051" s="110">
        <v>19565.54</v>
      </c>
      <c r="L1051" s="110">
        <v>24051.040000000001</v>
      </c>
    </row>
    <row r="1052" spans="1:12" x14ac:dyDescent="0.2">
      <c r="A1052" t="s">
        <v>28</v>
      </c>
      <c r="B1052" t="s">
        <v>105</v>
      </c>
      <c r="C1052" t="s">
        <v>221</v>
      </c>
      <c r="D1052" s="110">
        <v>130563.5</v>
      </c>
      <c r="E1052" s="110">
        <v>130497.5</v>
      </c>
      <c r="F1052" s="110">
        <v>130670.5</v>
      </c>
      <c r="I1052" s="110">
        <v>9194.25</v>
      </c>
      <c r="J1052" s="110">
        <v>13396.27</v>
      </c>
      <c r="K1052" s="110">
        <v>18735.02</v>
      </c>
    </row>
    <row r="1053" spans="1:12" x14ac:dyDescent="0.2">
      <c r="A1053" t="s">
        <v>28</v>
      </c>
      <c r="B1053" t="s">
        <v>105</v>
      </c>
      <c r="C1053" t="s">
        <v>222</v>
      </c>
      <c r="D1053" s="110">
        <v>162066.4</v>
      </c>
      <c r="E1053" s="110">
        <v>160259.39000000001</v>
      </c>
      <c r="I1053" s="110">
        <v>8899.0300000000007</v>
      </c>
      <c r="J1053" s="110">
        <v>17602.28</v>
      </c>
    </row>
    <row r="1054" spans="1:12" x14ac:dyDescent="0.2">
      <c r="A1054" t="s">
        <v>28</v>
      </c>
      <c r="B1054" t="s">
        <v>105</v>
      </c>
      <c r="C1054" t="s">
        <v>223</v>
      </c>
      <c r="D1054" s="110">
        <v>160190.25</v>
      </c>
      <c r="I1054" s="110">
        <v>6575.53</v>
      </c>
    </row>
    <row r="1055" spans="1:12" x14ac:dyDescent="0.2">
      <c r="A1055" t="s">
        <v>28</v>
      </c>
      <c r="B1055" t="s">
        <v>111</v>
      </c>
      <c r="C1055" t="s">
        <v>220</v>
      </c>
      <c r="D1055" s="110">
        <v>24284</v>
      </c>
      <c r="E1055" s="110">
        <v>24234</v>
      </c>
      <c r="F1055" s="110">
        <v>24234</v>
      </c>
      <c r="G1055" s="110">
        <v>24234</v>
      </c>
      <c r="I1055" s="110">
        <v>200.5</v>
      </c>
      <c r="J1055" s="110">
        <v>1332.5</v>
      </c>
      <c r="K1055" s="110">
        <v>3049</v>
      </c>
      <c r="L1055" s="110">
        <v>3568</v>
      </c>
    </row>
    <row r="1056" spans="1:12" x14ac:dyDescent="0.2">
      <c r="A1056" t="s">
        <v>28</v>
      </c>
      <c r="B1056" t="s">
        <v>111</v>
      </c>
      <c r="C1056" t="s">
        <v>221</v>
      </c>
      <c r="D1056" s="110">
        <v>24220.5</v>
      </c>
      <c r="E1056" s="110">
        <v>24220.5</v>
      </c>
      <c r="F1056" s="110">
        <v>24270.5</v>
      </c>
      <c r="I1056" s="110">
        <v>711.5</v>
      </c>
      <c r="J1056" s="110">
        <v>1334.5</v>
      </c>
      <c r="K1056" s="110">
        <v>1876.5</v>
      </c>
    </row>
    <row r="1057" spans="1:12" x14ac:dyDescent="0.2">
      <c r="A1057" t="s">
        <v>28</v>
      </c>
      <c r="B1057" t="s">
        <v>111</v>
      </c>
      <c r="C1057" t="s">
        <v>222</v>
      </c>
      <c r="D1057" s="110">
        <v>8782</v>
      </c>
      <c r="E1057" s="110">
        <v>8782</v>
      </c>
      <c r="I1057" s="110">
        <v>18</v>
      </c>
      <c r="J1057" s="110">
        <v>341</v>
      </c>
    </row>
    <row r="1058" spans="1:12" x14ac:dyDescent="0.2">
      <c r="A1058" t="s">
        <v>28</v>
      </c>
      <c r="B1058" t="s">
        <v>111</v>
      </c>
      <c r="C1058" t="s">
        <v>223</v>
      </c>
      <c r="D1058" s="110">
        <v>21938</v>
      </c>
      <c r="I1058" s="110">
        <v>14</v>
      </c>
    </row>
    <row r="1059" spans="1:12" x14ac:dyDescent="0.2">
      <c r="A1059" t="s">
        <v>28</v>
      </c>
      <c r="B1059" t="s">
        <v>109</v>
      </c>
      <c r="C1059" t="s">
        <v>220</v>
      </c>
      <c r="D1059" s="110">
        <v>146617.75</v>
      </c>
      <c r="E1059" s="110">
        <v>146564.25</v>
      </c>
      <c r="F1059" s="110">
        <v>146564.25</v>
      </c>
      <c r="G1059" s="110">
        <v>146564.25</v>
      </c>
      <c r="I1059" s="110">
        <v>22349.75</v>
      </c>
      <c r="J1059" s="110">
        <v>41245.49</v>
      </c>
      <c r="K1059" s="110">
        <v>52790.49</v>
      </c>
      <c r="L1059" s="110">
        <v>60750.23</v>
      </c>
    </row>
    <row r="1060" spans="1:12" x14ac:dyDescent="0.2">
      <c r="A1060" t="s">
        <v>28</v>
      </c>
      <c r="B1060" t="s">
        <v>109</v>
      </c>
      <c r="C1060" t="s">
        <v>221</v>
      </c>
      <c r="D1060" s="110">
        <v>142717.75</v>
      </c>
      <c r="E1060" s="110">
        <v>142692.75</v>
      </c>
      <c r="F1060" s="110">
        <v>142692.75</v>
      </c>
      <c r="I1060" s="110">
        <v>20658</v>
      </c>
      <c r="J1060" s="110">
        <v>31595.85</v>
      </c>
      <c r="K1060" s="110">
        <v>39065.85</v>
      </c>
    </row>
    <row r="1061" spans="1:12" x14ac:dyDescent="0.2">
      <c r="A1061" t="s">
        <v>28</v>
      </c>
      <c r="B1061" t="s">
        <v>109</v>
      </c>
      <c r="C1061" t="s">
        <v>222</v>
      </c>
      <c r="D1061" s="110">
        <v>173352.76</v>
      </c>
      <c r="E1061" s="110">
        <v>171643.36</v>
      </c>
      <c r="I1061" s="110">
        <v>29775.25</v>
      </c>
      <c r="J1061" s="110">
        <v>45262.79</v>
      </c>
    </row>
    <row r="1062" spans="1:12" x14ac:dyDescent="0.2">
      <c r="A1062" t="s">
        <v>28</v>
      </c>
      <c r="B1062" t="s">
        <v>109</v>
      </c>
      <c r="C1062" t="s">
        <v>223</v>
      </c>
      <c r="D1062" s="110">
        <v>167788.15</v>
      </c>
      <c r="I1062" s="110">
        <v>20454.5</v>
      </c>
    </row>
    <row r="1063" spans="1:12" x14ac:dyDescent="0.2">
      <c r="A1063" t="s">
        <v>28</v>
      </c>
      <c r="B1063" t="s">
        <v>106</v>
      </c>
      <c r="C1063" t="s">
        <v>220</v>
      </c>
      <c r="D1063" s="110">
        <v>122956.45</v>
      </c>
      <c r="E1063" s="110">
        <v>122956.45</v>
      </c>
      <c r="F1063" s="110">
        <v>123026.45</v>
      </c>
      <c r="G1063" s="110">
        <v>123026.45</v>
      </c>
      <c r="I1063" s="110">
        <v>122906.45</v>
      </c>
      <c r="J1063" s="110">
        <v>122906.45</v>
      </c>
      <c r="K1063" s="110">
        <v>122976.45</v>
      </c>
      <c r="L1063" s="110">
        <v>122976.45</v>
      </c>
    </row>
    <row r="1064" spans="1:12" x14ac:dyDescent="0.2">
      <c r="A1064" t="s">
        <v>28</v>
      </c>
      <c r="B1064" t="s">
        <v>106</v>
      </c>
      <c r="C1064" t="s">
        <v>221</v>
      </c>
      <c r="D1064" s="110">
        <v>112124</v>
      </c>
      <c r="E1064" s="110">
        <v>111724</v>
      </c>
      <c r="F1064" s="110">
        <v>111724</v>
      </c>
      <c r="I1064" s="110">
        <v>109372</v>
      </c>
      <c r="J1064" s="110">
        <v>111724</v>
      </c>
      <c r="K1064" s="110">
        <v>111724</v>
      </c>
    </row>
    <row r="1065" spans="1:12" x14ac:dyDescent="0.2">
      <c r="A1065" t="s">
        <v>28</v>
      </c>
      <c r="B1065" t="s">
        <v>106</v>
      </c>
      <c r="C1065" t="s">
        <v>222</v>
      </c>
      <c r="D1065" s="110">
        <v>129570.98</v>
      </c>
      <c r="E1065" s="110">
        <v>129570.98</v>
      </c>
      <c r="I1065" s="110">
        <v>125880.98</v>
      </c>
      <c r="J1065" s="110">
        <v>129570.98</v>
      </c>
    </row>
    <row r="1066" spans="1:12" x14ac:dyDescent="0.2">
      <c r="A1066" t="s">
        <v>28</v>
      </c>
      <c r="B1066" t="s">
        <v>106</v>
      </c>
      <c r="C1066" t="s">
        <v>223</v>
      </c>
      <c r="D1066" s="110">
        <v>116866.5</v>
      </c>
      <c r="I1066" s="110">
        <v>116466.5</v>
      </c>
    </row>
    <row r="1067" spans="1:12" x14ac:dyDescent="0.2">
      <c r="A1067" t="s">
        <v>28</v>
      </c>
      <c r="B1067" t="s">
        <v>107</v>
      </c>
      <c r="C1067" t="s">
        <v>220</v>
      </c>
      <c r="D1067" s="110">
        <v>111244.11</v>
      </c>
      <c r="E1067" s="110">
        <v>111244.11</v>
      </c>
      <c r="F1067" s="110">
        <v>111244.11</v>
      </c>
      <c r="G1067" s="110">
        <v>111244.11</v>
      </c>
      <c r="I1067" s="110">
        <v>111124.11</v>
      </c>
      <c r="J1067" s="110">
        <v>111239.11</v>
      </c>
      <c r="K1067" s="110">
        <v>111239.11</v>
      </c>
      <c r="L1067" s="110">
        <v>111239.11</v>
      </c>
    </row>
    <row r="1068" spans="1:12" x14ac:dyDescent="0.2">
      <c r="A1068" t="s">
        <v>28</v>
      </c>
      <c r="B1068" t="s">
        <v>107</v>
      </c>
      <c r="C1068" t="s">
        <v>221</v>
      </c>
      <c r="D1068" s="110">
        <v>103173.16</v>
      </c>
      <c r="E1068" s="110">
        <v>103173.16</v>
      </c>
      <c r="F1068" s="110">
        <v>103173.16</v>
      </c>
      <c r="I1068" s="110">
        <v>102243.16</v>
      </c>
      <c r="J1068" s="110">
        <v>103173.16</v>
      </c>
      <c r="K1068" s="110">
        <v>103173.16</v>
      </c>
    </row>
    <row r="1069" spans="1:12" x14ac:dyDescent="0.2">
      <c r="A1069" t="s">
        <v>28</v>
      </c>
      <c r="B1069" t="s">
        <v>107</v>
      </c>
      <c r="C1069" t="s">
        <v>222</v>
      </c>
      <c r="D1069" s="110">
        <v>100425.12</v>
      </c>
      <c r="E1069" s="110">
        <v>100435.12</v>
      </c>
      <c r="I1069" s="110">
        <v>100170.12</v>
      </c>
      <c r="J1069" s="110">
        <v>100180.12</v>
      </c>
    </row>
    <row r="1070" spans="1:12" x14ac:dyDescent="0.2">
      <c r="A1070" t="s">
        <v>28</v>
      </c>
      <c r="B1070" t="s">
        <v>107</v>
      </c>
      <c r="C1070" t="s">
        <v>223</v>
      </c>
      <c r="D1070" s="110">
        <v>109933.87</v>
      </c>
      <c r="I1070" s="110">
        <v>108858.87</v>
      </c>
    </row>
    <row r="1071" spans="1:12" x14ac:dyDescent="0.2">
      <c r="A1071" t="s">
        <v>28</v>
      </c>
      <c r="B1071" t="s">
        <v>108</v>
      </c>
      <c r="C1071" t="s">
        <v>220</v>
      </c>
      <c r="D1071" s="110">
        <v>47365</v>
      </c>
      <c r="E1071" s="110">
        <v>47365</v>
      </c>
      <c r="F1071" s="110">
        <v>47365</v>
      </c>
      <c r="G1071" s="110">
        <v>47365</v>
      </c>
      <c r="I1071" s="110">
        <v>47365</v>
      </c>
      <c r="J1071" s="110">
        <v>47365</v>
      </c>
      <c r="K1071" s="110">
        <v>47365</v>
      </c>
      <c r="L1071" s="110">
        <v>47365</v>
      </c>
    </row>
    <row r="1072" spans="1:12" x14ac:dyDescent="0.2">
      <c r="A1072" t="s">
        <v>28</v>
      </c>
      <c r="B1072" t="s">
        <v>108</v>
      </c>
      <c r="C1072" t="s">
        <v>221</v>
      </c>
      <c r="D1072" s="110">
        <v>55459.5</v>
      </c>
      <c r="E1072" s="110">
        <v>55459.5</v>
      </c>
      <c r="F1072" s="110">
        <v>55459.5</v>
      </c>
      <c r="I1072" s="110">
        <v>55009.5</v>
      </c>
      <c r="J1072" s="110">
        <v>55459.5</v>
      </c>
      <c r="K1072" s="110">
        <v>55459.5</v>
      </c>
    </row>
    <row r="1073" spans="1:12" x14ac:dyDescent="0.2">
      <c r="A1073" t="s">
        <v>28</v>
      </c>
      <c r="B1073" t="s">
        <v>108</v>
      </c>
      <c r="C1073" t="s">
        <v>222</v>
      </c>
      <c r="D1073" s="110">
        <v>47052.5</v>
      </c>
      <c r="E1073" s="110">
        <v>47052.5</v>
      </c>
      <c r="I1073" s="110">
        <v>47052.5</v>
      </c>
      <c r="J1073" s="110">
        <v>47052.5</v>
      </c>
    </row>
    <row r="1074" spans="1:12" x14ac:dyDescent="0.2">
      <c r="A1074" t="s">
        <v>28</v>
      </c>
      <c r="B1074" t="s">
        <v>108</v>
      </c>
      <c r="C1074" t="s">
        <v>223</v>
      </c>
      <c r="D1074" s="110">
        <v>53910.57</v>
      </c>
      <c r="I1074" s="110">
        <v>53886.57</v>
      </c>
    </row>
    <row r="1075" spans="1:12" x14ac:dyDescent="0.2">
      <c r="A1075" t="s">
        <v>28</v>
      </c>
      <c r="B1075" t="s">
        <v>70</v>
      </c>
      <c r="C1075" t="s">
        <v>220</v>
      </c>
      <c r="D1075" s="110">
        <v>48712.5</v>
      </c>
      <c r="E1075" s="110">
        <v>47994.5</v>
      </c>
      <c r="F1075" s="110">
        <v>47994.5</v>
      </c>
      <c r="G1075" s="110">
        <v>47994.5</v>
      </c>
      <c r="I1075" s="110">
        <v>43044</v>
      </c>
      <c r="J1075" s="110">
        <v>44499.76</v>
      </c>
      <c r="K1075" s="110">
        <v>44614.76</v>
      </c>
      <c r="L1075" s="110">
        <v>44634.76</v>
      </c>
    </row>
    <row r="1076" spans="1:12" x14ac:dyDescent="0.2">
      <c r="A1076" t="s">
        <v>28</v>
      </c>
      <c r="B1076" t="s">
        <v>70</v>
      </c>
      <c r="C1076" t="s">
        <v>221</v>
      </c>
      <c r="D1076" s="110">
        <v>41352.5</v>
      </c>
      <c r="E1076" s="110">
        <v>41064.5</v>
      </c>
      <c r="F1076" s="110">
        <v>41124.5</v>
      </c>
      <c r="I1076" s="110">
        <v>36033.25</v>
      </c>
      <c r="J1076" s="110">
        <v>36866.5</v>
      </c>
      <c r="K1076" s="110">
        <v>37013.5</v>
      </c>
    </row>
    <row r="1077" spans="1:12" x14ac:dyDescent="0.2">
      <c r="A1077" t="s">
        <v>28</v>
      </c>
      <c r="B1077" t="s">
        <v>70</v>
      </c>
      <c r="C1077" t="s">
        <v>222</v>
      </c>
      <c r="D1077" s="110">
        <v>47179.5</v>
      </c>
      <c r="E1077" s="110">
        <v>47179.5</v>
      </c>
      <c r="I1077" s="110">
        <v>43985.5</v>
      </c>
      <c r="J1077" s="110">
        <v>43985.5</v>
      </c>
    </row>
    <row r="1078" spans="1:12" x14ac:dyDescent="0.2">
      <c r="A1078" t="s">
        <v>28</v>
      </c>
      <c r="B1078" t="s">
        <v>70</v>
      </c>
      <c r="C1078" t="s">
        <v>223</v>
      </c>
      <c r="D1078" s="110">
        <v>42099</v>
      </c>
      <c r="I1078" s="110">
        <v>38923</v>
      </c>
    </row>
    <row r="1079" spans="1:12" x14ac:dyDescent="0.2">
      <c r="A1079" t="s">
        <v>28</v>
      </c>
      <c r="B1079" t="s">
        <v>110</v>
      </c>
      <c r="C1079" t="s">
        <v>220</v>
      </c>
      <c r="D1079" s="110">
        <v>250702.75</v>
      </c>
      <c r="E1079" s="110">
        <v>246295</v>
      </c>
      <c r="F1079" s="110">
        <v>245341.5</v>
      </c>
      <c r="G1079" s="110">
        <v>245219.86</v>
      </c>
      <c r="I1079" s="110">
        <v>131928.75</v>
      </c>
      <c r="J1079" s="110">
        <v>216212.9</v>
      </c>
      <c r="K1079" s="110">
        <v>222776.9</v>
      </c>
      <c r="L1079" s="110">
        <v>225435.9</v>
      </c>
    </row>
    <row r="1080" spans="1:12" x14ac:dyDescent="0.2">
      <c r="A1080" t="s">
        <v>28</v>
      </c>
      <c r="B1080" t="s">
        <v>110</v>
      </c>
      <c r="C1080" t="s">
        <v>221</v>
      </c>
      <c r="D1080" s="110">
        <v>252363.13</v>
      </c>
      <c r="E1080" s="110">
        <v>247060.08</v>
      </c>
      <c r="F1080" s="110">
        <v>246382.18</v>
      </c>
      <c r="I1080" s="110">
        <v>128668.38</v>
      </c>
      <c r="J1080" s="110">
        <v>208472.73</v>
      </c>
      <c r="K1080" s="110">
        <v>222464.43</v>
      </c>
    </row>
    <row r="1081" spans="1:12" x14ac:dyDescent="0.2">
      <c r="A1081" t="s">
        <v>28</v>
      </c>
      <c r="B1081" t="s">
        <v>110</v>
      </c>
      <c r="C1081" t="s">
        <v>222</v>
      </c>
      <c r="D1081" s="110">
        <v>228621.05</v>
      </c>
      <c r="E1081" s="110">
        <v>222109</v>
      </c>
      <c r="I1081" s="110">
        <v>109323.3</v>
      </c>
      <c r="J1081" s="110">
        <v>183631.7</v>
      </c>
    </row>
    <row r="1082" spans="1:12" x14ac:dyDescent="0.2">
      <c r="A1082" t="s">
        <v>28</v>
      </c>
      <c r="B1082" t="s">
        <v>110</v>
      </c>
      <c r="C1082" t="s">
        <v>223</v>
      </c>
      <c r="D1082" s="110">
        <v>332211.84999999998</v>
      </c>
      <c r="I1082" s="110">
        <v>170287.9</v>
      </c>
    </row>
    <row r="1083" spans="1:12" x14ac:dyDescent="0.2">
      <c r="A1083" t="s">
        <v>29</v>
      </c>
      <c r="B1083" t="s">
        <v>104</v>
      </c>
      <c r="C1083" t="s">
        <v>220</v>
      </c>
      <c r="D1083" s="110">
        <v>6363964</v>
      </c>
      <c r="E1083" s="110">
        <v>6339939</v>
      </c>
      <c r="F1083" s="110">
        <v>6323956</v>
      </c>
      <c r="G1083" s="110">
        <v>6314882</v>
      </c>
      <c r="I1083" s="110">
        <v>276254</v>
      </c>
      <c r="J1083" s="110">
        <v>347505</v>
      </c>
      <c r="K1083" s="110">
        <v>418335</v>
      </c>
      <c r="L1083" s="110">
        <v>487770</v>
      </c>
    </row>
    <row r="1084" spans="1:12" x14ac:dyDescent="0.2">
      <c r="A1084" t="s">
        <v>29</v>
      </c>
      <c r="B1084" t="s">
        <v>104</v>
      </c>
      <c r="C1084" t="s">
        <v>221</v>
      </c>
      <c r="D1084" s="110">
        <v>13814752</v>
      </c>
      <c r="E1084" s="110">
        <v>13792338</v>
      </c>
      <c r="F1084" s="110">
        <v>13778735</v>
      </c>
      <c r="I1084" s="110">
        <v>330170</v>
      </c>
      <c r="J1084" s="110">
        <v>409773</v>
      </c>
      <c r="K1084" s="110">
        <v>469490</v>
      </c>
    </row>
    <row r="1085" spans="1:12" x14ac:dyDescent="0.2">
      <c r="A1085" t="s">
        <v>29</v>
      </c>
      <c r="B1085" t="s">
        <v>104</v>
      </c>
      <c r="C1085" t="s">
        <v>222</v>
      </c>
      <c r="D1085" s="110">
        <v>6705959</v>
      </c>
      <c r="E1085" s="110">
        <v>6688421</v>
      </c>
      <c r="I1085" s="110">
        <v>262765</v>
      </c>
      <c r="J1085" s="110">
        <v>331958</v>
      </c>
    </row>
    <row r="1086" spans="1:12" x14ac:dyDescent="0.2">
      <c r="A1086" t="s">
        <v>29</v>
      </c>
      <c r="B1086" t="s">
        <v>104</v>
      </c>
      <c r="C1086" t="s">
        <v>223</v>
      </c>
      <c r="D1086" s="110">
        <v>5726160</v>
      </c>
      <c r="I1086" s="110">
        <v>354483</v>
      </c>
    </row>
    <row r="1087" spans="1:12" x14ac:dyDescent="0.2">
      <c r="A1087" t="s">
        <v>29</v>
      </c>
      <c r="B1087" t="s">
        <v>140</v>
      </c>
      <c r="C1087" t="s">
        <v>220</v>
      </c>
      <c r="D1087" s="110">
        <v>3758583</v>
      </c>
      <c r="E1087" s="110">
        <v>3758383</v>
      </c>
      <c r="F1087" s="110">
        <v>3758233</v>
      </c>
      <c r="G1087" s="110">
        <v>3758233</v>
      </c>
      <c r="I1087" s="110">
        <v>422</v>
      </c>
      <c r="J1087" s="110">
        <v>783</v>
      </c>
      <c r="K1087" s="110">
        <v>2202</v>
      </c>
      <c r="L1087" s="110">
        <v>3563</v>
      </c>
    </row>
    <row r="1088" spans="1:12" x14ac:dyDescent="0.2">
      <c r="A1088" t="s">
        <v>29</v>
      </c>
      <c r="B1088" t="s">
        <v>140</v>
      </c>
      <c r="C1088" t="s">
        <v>221</v>
      </c>
      <c r="D1088" s="110">
        <v>10300810</v>
      </c>
      <c r="E1088" s="110">
        <v>10300660</v>
      </c>
      <c r="F1088" s="110">
        <v>10300510</v>
      </c>
      <c r="I1088" s="110">
        <v>679</v>
      </c>
      <c r="J1088" s="110">
        <v>1781</v>
      </c>
      <c r="K1088" s="110">
        <v>3931</v>
      </c>
    </row>
    <row r="1089" spans="1:12" x14ac:dyDescent="0.2">
      <c r="A1089" t="s">
        <v>29</v>
      </c>
      <c r="B1089" t="s">
        <v>140</v>
      </c>
      <c r="C1089" t="s">
        <v>222</v>
      </c>
      <c r="D1089" s="110">
        <v>4111757</v>
      </c>
      <c r="E1089" s="110">
        <v>4111432</v>
      </c>
      <c r="I1089" s="110">
        <v>3357</v>
      </c>
      <c r="J1089" s="110">
        <v>5540</v>
      </c>
    </row>
    <row r="1090" spans="1:12" x14ac:dyDescent="0.2">
      <c r="A1090" t="s">
        <v>29</v>
      </c>
      <c r="B1090" t="s">
        <v>140</v>
      </c>
      <c r="C1090" t="s">
        <v>223</v>
      </c>
      <c r="D1090" s="110">
        <v>3099795</v>
      </c>
      <c r="I1090" s="110">
        <v>1397</v>
      </c>
    </row>
    <row r="1091" spans="1:12" x14ac:dyDescent="0.2">
      <c r="A1091" t="s">
        <v>29</v>
      </c>
      <c r="B1091" t="s">
        <v>105</v>
      </c>
      <c r="C1091" t="s">
        <v>220</v>
      </c>
      <c r="D1091" s="110">
        <v>1306586</v>
      </c>
      <c r="E1091" s="110">
        <v>1259345</v>
      </c>
      <c r="F1091" s="110">
        <v>1240361</v>
      </c>
      <c r="G1091" s="110">
        <v>1232293</v>
      </c>
      <c r="I1091" s="110">
        <v>270331</v>
      </c>
      <c r="J1091" s="110">
        <v>379123</v>
      </c>
      <c r="K1091" s="110">
        <v>435387</v>
      </c>
      <c r="L1091" s="110">
        <v>462902</v>
      </c>
    </row>
    <row r="1092" spans="1:12" x14ac:dyDescent="0.2">
      <c r="A1092" t="s">
        <v>29</v>
      </c>
      <c r="B1092" t="s">
        <v>105</v>
      </c>
      <c r="C1092" t="s">
        <v>221</v>
      </c>
      <c r="D1092" s="110">
        <v>1282021</v>
      </c>
      <c r="E1092" s="110">
        <v>1225888</v>
      </c>
      <c r="F1092" s="110">
        <v>1207999</v>
      </c>
      <c r="I1092" s="110">
        <v>328373</v>
      </c>
      <c r="J1092" s="110">
        <v>424393</v>
      </c>
      <c r="K1092" s="110">
        <v>471386</v>
      </c>
    </row>
    <row r="1093" spans="1:12" x14ac:dyDescent="0.2">
      <c r="A1093" t="s">
        <v>29</v>
      </c>
      <c r="B1093" t="s">
        <v>105</v>
      </c>
      <c r="C1093" t="s">
        <v>222</v>
      </c>
      <c r="D1093" s="110">
        <v>1458758</v>
      </c>
      <c r="E1093" s="110">
        <v>1395890</v>
      </c>
      <c r="I1093" s="110">
        <v>385771</v>
      </c>
      <c r="J1093" s="110">
        <v>479001</v>
      </c>
    </row>
    <row r="1094" spans="1:12" x14ac:dyDescent="0.2">
      <c r="A1094" t="s">
        <v>29</v>
      </c>
      <c r="B1094" t="s">
        <v>105</v>
      </c>
      <c r="C1094" t="s">
        <v>223</v>
      </c>
      <c r="D1094" s="110">
        <v>1404290</v>
      </c>
      <c r="I1094" s="110">
        <v>353590</v>
      </c>
    </row>
    <row r="1095" spans="1:12" x14ac:dyDescent="0.2">
      <c r="A1095" t="s">
        <v>29</v>
      </c>
      <c r="B1095" t="s">
        <v>111</v>
      </c>
      <c r="C1095" t="s">
        <v>220</v>
      </c>
      <c r="D1095" s="110">
        <v>78799</v>
      </c>
      <c r="E1095" s="110">
        <v>77529</v>
      </c>
      <c r="F1095" s="110">
        <v>76979</v>
      </c>
      <c r="G1095" s="110">
        <v>76729</v>
      </c>
      <c r="I1095" s="110">
        <v>2277</v>
      </c>
      <c r="J1095" s="110">
        <v>2828</v>
      </c>
      <c r="K1095" s="110">
        <v>3212</v>
      </c>
      <c r="L1095" s="110">
        <v>3843</v>
      </c>
    </row>
    <row r="1096" spans="1:12" x14ac:dyDescent="0.2">
      <c r="A1096" t="s">
        <v>29</v>
      </c>
      <c r="B1096" t="s">
        <v>111</v>
      </c>
      <c r="C1096" t="s">
        <v>221</v>
      </c>
      <c r="D1096" s="110">
        <v>61456</v>
      </c>
      <c r="E1096" s="110">
        <v>60626</v>
      </c>
      <c r="F1096" s="110">
        <v>59976</v>
      </c>
      <c r="I1096" s="110">
        <v>2013</v>
      </c>
      <c r="J1096" s="110">
        <v>2983</v>
      </c>
      <c r="K1096" s="110">
        <v>4065</v>
      </c>
    </row>
    <row r="1097" spans="1:12" x14ac:dyDescent="0.2">
      <c r="A1097" t="s">
        <v>29</v>
      </c>
      <c r="B1097" t="s">
        <v>111</v>
      </c>
      <c r="C1097" t="s">
        <v>222</v>
      </c>
      <c r="D1097" s="110">
        <v>68709</v>
      </c>
      <c r="E1097" s="110">
        <v>67559</v>
      </c>
      <c r="I1097" s="110">
        <v>2468</v>
      </c>
      <c r="J1097" s="110">
        <v>3768</v>
      </c>
    </row>
    <row r="1098" spans="1:12" x14ac:dyDescent="0.2">
      <c r="A1098" t="s">
        <v>29</v>
      </c>
      <c r="B1098" t="s">
        <v>111</v>
      </c>
      <c r="C1098" t="s">
        <v>223</v>
      </c>
      <c r="D1098" s="110">
        <v>55254</v>
      </c>
      <c r="I1098" s="110">
        <v>3145</v>
      </c>
    </row>
    <row r="1099" spans="1:12" x14ac:dyDescent="0.2">
      <c r="A1099" t="s">
        <v>29</v>
      </c>
      <c r="B1099" t="s">
        <v>109</v>
      </c>
      <c r="C1099" t="s">
        <v>220</v>
      </c>
      <c r="D1099" s="110">
        <v>1818380</v>
      </c>
      <c r="E1099" s="110">
        <v>1800929</v>
      </c>
      <c r="F1099" s="110">
        <v>1783280</v>
      </c>
      <c r="G1099" s="110">
        <v>1761167</v>
      </c>
      <c r="I1099" s="110">
        <v>614483</v>
      </c>
      <c r="J1099" s="110">
        <v>924655</v>
      </c>
      <c r="K1099" s="110">
        <v>1067832</v>
      </c>
      <c r="L1099" s="110">
        <v>1143054</v>
      </c>
    </row>
    <row r="1100" spans="1:12" x14ac:dyDescent="0.2">
      <c r="A1100" t="s">
        <v>29</v>
      </c>
      <c r="B1100" t="s">
        <v>109</v>
      </c>
      <c r="C1100" t="s">
        <v>221</v>
      </c>
      <c r="D1100" s="110">
        <v>1933658</v>
      </c>
      <c r="E1100" s="110">
        <v>1913018</v>
      </c>
      <c r="F1100" s="110">
        <v>1901508</v>
      </c>
      <c r="I1100" s="110">
        <v>740700</v>
      </c>
      <c r="J1100" s="110">
        <v>1058181</v>
      </c>
      <c r="K1100" s="110">
        <v>1196533</v>
      </c>
    </row>
    <row r="1101" spans="1:12" x14ac:dyDescent="0.2">
      <c r="A1101" t="s">
        <v>29</v>
      </c>
      <c r="B1101" t="s">
        <v>109</v>
      </c>
      <c r="C1101" t="s">
        <v>222</v>
      </c>
      <c r="D1101" s="110">
        <v>1946844</v>
      </c>
      <c r="E1101" s="110">
        <v>1922470</v>
      </c>
      <c r="I1101" s="110">
        <v>786641</v>
      </c>
      <c r="J1101" s="110">
        <v>1043002</v>
      </c>
    </row>
    <row r="1102" spans="1:12" x14ac:dyDescent="0.2">
      <c r="A1102" t="s">
        <v>29</v>
      </c>
      <c r="B1102" t="s">
        <v>109</v>
      </c>
      <c r="C1102" t="s">
        <v>223</v>
      </c>
      <c r="D1102" s="110">
        <v>1806124</v>
      </c>
      <c r="I1102" s="110">
        <v>720952</v>
      </c>
    </row>
    <row r="1103" spans="1:12" x14ac:dyDescent="0.2">
      <c r="A1103" t="s">
        <v>29</v>
      </c>
      <c r="B1103" t="s">
        <v>106</v>
      </c>
      <c r="C1103" t="s">
        <v>220</v>
      </c>
      <c r="D1103" s="110">
        <v>2170858</v>
      </c>
      <c r="E1103" s="110">
        <v>2168867</v>
      </c>
      <c r="F1103" s="110">
        <v>2168867</v>
      </c>
      <c r="G1103" s="110">
        <v>2168407</v>
      </c>
      <c r="I1103" s="110">
        <v>2127685</v>
      </c>
      <c r="J1103" s="110">
        <v>2147706</v>
      </c>
      <c r="K1103" s="110">
        <v>2148581</v>
      </c>
      <c r="L1103" s="110">
        <v>2148997</v>
      </c>
    </row>
    <row r="1104" spans="1:12" x14ac:dyDescent="0.2">
      <c r="A1104" t="s">
        <v>29</v>
      </c>
      <c r="B1104" t="s">
        <v>106</v>
      </c>
      <c r="C1104" t="s">
        <v>221</v>
      </c>
      <c r="D1104" s="110">
        <v>2360318</v>
      </c>
      <c r="E1104" s="110">
        <v>2356612</v>
      </c>
      <c r="F1104" s="110">
        <v>2356123</v>
      </c>
      <c r="I1104" s="110">
        <v>2301498</v>
      </c>
      <c r="J1104" s="110">
        <v>2322327</v>
      </c>
      <c r="K1104" s="110">
        <v>2323854</v>
      </c>
    </row>
    <row r="1105" spans="1:12" x14ac:dyDescent="0.2">
      <c r="A1105" t="s">
        <v>29</v>
      </c>
      <c r="B1105" t="s">
        <v>106</v>
      </c>
      <c r="C1105" t="s">
        <v>222</v>
      </c>
      <c r="D1105" s="110">
        <v>2459245</v>
      </c>
      <c r="E1105" s="110">
        <v>2455127</v>
      </c>
      <c r="I1105" s="110">
        <v>2405349</v>
      </c>
      <c r="J1105" s="110">
        <v>2426024</v>
      </c>
    </row>
    <row r="1106" spans="1:12" x14ac:dyDescent="0.2">
      <c r="A1106" t="s">
        <v>29</v>
      </c>
      <c r="B1106" t="s">
        <v>106</v>
      </c>
      <c r="C1106" t="s">
        <v>223</v>
      </c>
      <c r="D1106" s="110">
        <v>2258022</v>
      </c>
      <c r="I1106" s="110">
        <v>2193578</v>
      </c>
    </row>
    <row r="1107" spans="1:12" x14ac:dyDescent="0.2">
      <c r="A1107" t="s">
        <v>29</v>
      </c>
      <c r="B1107" t="s">
        <v>107</v>
      </c>
      <c r="C1107" t="s">
        <v>220</v>
      </c>
      <c r="D1107" s="110">
        <v>2826866</v>
      </c>
      <c r="E1107" s="110">
        <v>2822285</v>
      </c>
      <c r="F1107" s="110">
        <v>2816835</v>
      </c>
      <c r="G1107" s="110">
        <v>2815020</v>
      </c>
      <c r="I1107" s="110">
        <v>2812272</v>
      </c>
      <c r="J1107" s="110">
        <v>2811986</v>
      </c>
      <c r="K1107" s="110">
        <v>2806856</v>
      </c>
      <c r="L1107" s="110">
        <v>2805669</v>
      </c>
    </row>
    <row r="1108" spans="1:12" x14ac:dyDescent="0.2">
      <c r="A1108" t="s">
        <v>29</v>
      </c>
      <c r="B1108" t="s">
        <v>107</v>
      </c>
      <c r="C1108" t="s">
        <v>221</v>
      </c>
      <c r="D1108" s="110">
        <v>3095993</v>
      </c>
      <c r="E1108" s="110">
        <v>3094613</v>
      </c>
      <c r="F1108" s="110">
        <v>3076879</v>
      </c>
      <c r="I1108" s="110">
        <v>3082990</v>
      </c>
      <c r="J1108" s="110">
        <v>3083512</v>
      </c>
      <c r="K1108" s="110">
        <v>3065842</v>
      </c>
    </row>
    <row r="1109" spans="1:12" x14ac:dyDescent="0.2">
      <c r="A1109" t="s">
        <v>29</v>
      </c>
      <c r="B1109" t="s">
        <v>107</v>
      </c>
      <c r="C1109" t="s">
        <v>222</v>
      </c>
      <c r="D1109" s="110">
        <v>3120776</v>
      </c>
      <c r="E1109" s="110">
        <v>3113426</v>
      </c>
      <c r="I1109" s="110">
        <v>3099465</v>
      </c>
      <c r="J1109" s="110">
        <v>3096150</v>
      </c>
    </row>
    <row r="1110" spans="1:12" x14ac:dyDescent="0.2">
      <c r="A1110" t="s">
        <v>29</v>
      </c>
      <c r="B1110" t="s">
        <v>107</v>
      </c>
      <c r="C1110" t="s">
        <v>223</v>
      </c>
      <c r="D1110" s="110">
        <v>3155020</v>
      </c>
      <c r="I1110" s="110">
        <v>3142432</v>
      </c>
    </row>
    <row r="1111" spans="1:12" x14ac:dyDescent="0.2">
      <c r="A1111" t="s">
        <v>29</v>
      </c>
      <c r="B1111" t="s">
        <v>108</v>
      </c>
      <c r="C1111" t="s">
        <v>220</v>
      </c>
      <c r="D1111" s="110">
        <v>295657</v>
      </c>
      <c r="E1111" s="110">
        <v>293968</v>
      </c>
      <c r="F1111" s="110">
        <v>293968</v>
      </c>
      <c r="G1111" s="110">
        <v>293968</v>
      </c>
      <c r="I1111" s="110">
        <v>286218</v>
      </c>
      <c r="J1111" s="110">
        <v>287654</v>
      </c>
      <c r="K1111" s="110">
        <v>288494</v>
      </c>
      <c r="L1111" s="110">
        <v>288771</v>
      </c>
    </row>
    <row r="1112" spans="1:12" x14ac:dyDescent="0.2">
      <c r="A1112" t="s">
        <v>29</v>
      </c>
      <c r="B1112" t="s">
        <v>108</v>
      </c>
      <c r="C1112" t="s">
        <v>221</v>
      </c>
      <c r="D1112" s="110">
        <v>339548</v>
      </c>
      <c r="E1112" s="110">
        <v>339149</v>
      </c>
      <c r="F1112" s="110">
        <v>339098</v>
      </c>
      <c r="I1112" s="110">
        <v>331981</v>
      </c>
      <c r="J1112" s="110">
        <v>332906</v>
      </c>
      <c r="K1112" s="110">
        <v>333415</v>
      </c>
    </row>
    <row r="1113" spans="1:12" x14ac:dyDescent="0.2">
      <c r="A1113" t="s">
        <v>29</v>
      </c>
      <c r="B1113" t="s">
        <v>108</v>
      </c>
      <c r="C1113" t="s">
        <v>222</v>
      </c>
      <c r="D1113" s="110">
        <v>353191</v>
      </c>
      <c r="E1113" s="110">
        <v>350503</v>
      </c>
      <c r="I1113" s="110">
        <v>346211</v>
      </c>
      <c r="J1113" s="110">
        <v>347396</v>
      </c>
    </row>
    <row r="1114" spans="1:12" x14ac:dyDescent="0.2">
      <c r="A1114" t="s">
        <v>29</v>
      </c>
      <c r="B1114" t="s">
        <v>108</v>
      </c>
      <c r="C1114" t="s">
        <v>223</v>
      </c>
      <c r="D1114" s="110">
        <v>342223</v>
      </c>
      <c r="I1114" s="110">
        <v>332372</v>
      </c>
    </row>
    <row r="1115" spans="1:12" x14ac:dyDescent="0.2">
      <c r="A1115" t="s">
        <v>29</v>
      </c>
      <c r="B1115" t="s">
        <v>70</v>
      </c>
      <c r="C1115" t="s">
        <v>220</v>
      </c>
      <c r="D1115" s="110">
        <v>689229</v>
      </c>
      <c r="E1115" s="110">
        <v>682494</v>
      </c>
      <c r="F1115" s="110">
        <v>681141</v>
      </c>
      <c r="G1115" s="110">
        <v>680846</v>
      </c>
      <c r="I1115" s="110">
        <v>655274</v>
      </c>
      <c r="J1115" s="110">
        <v>662125</v>
      </c>
      <c r="K1115" s="110">
        <v>663183</v>
      </c>
      <c r="L1115" s="110">
        <v>663545</v>
      </c>
    </row>
    <row r="1116" spans="1:12" x14ac:dyDescent="0.2">
      <c r="A1116" t="s">
        <v>29</v>
      </c>
      <c r="B1116" t="s">
        <v>70</v>
      </c>
      <c r="C1116" t="s">
        <v>221</v>
      </c>
      <c r="D1116" s="110">
        <v>758763</v>
      </c>
      <c r="E1116" s="110">
        <v>755992</v>
      </c>
      <c r="F1116" s="110">
        <v>755402</v>
      </c>
      <c r="I1116" s="110">
        <v>725591</v>
      </c>
      <c r="J1116" s="110">
        <v>733979</v>
      </c>
      <c r="K1116" s="110">
        <v>734778</v>
      </c>
    </row>
    <row r="1117" spans="1:12" x14ac:dyDescent="0.2">
      <c r="A1117" t="s">
        <v>29</v>
      </c>
      <c r="B1117" t="s">
        <v>70</v>
      </c>
      <c r="C1117" t="s">
        <v>222</v>
      </c>
      <c r="D1117" s="110">
        <v>799900</v>
      </c>
      <c r="E1117" s="110">
        <v>792038</v>
      </c>
      <c r="I1117" s="110">
        <v>755961</v>
      </c>
      <c r="J1117" s="110">
        <v>760814</v>
      </c>
    </row>
    <row r="1118" spans="1:12" x14ac:dyDescent="0.2">
      <c r="A1118" t="s">
        <v>29</v>
      </c>
      <c r="B1118" t="s">
        <v>70</v>
      </c>
      <c r="C1118" t="s">
        <v>223</v>
      </c>
      <c r="D1118" s="110">
        <v>775770</v>
      </c>
      <c r="I1118" s="110">
        <v>723189</v>
      </c>
    </row>
    <row r="1119" spans="1:12" x14ac:dyDescent="0.2">
      <c r="A1119" t="s">
        <v>29</v>
      </c>
      <c r="B1119" t="s">
        <v>110</v>
      </c>
      <c r="C1119" t="s">
        <v>220</v>
      </c>
      <c r="D1119" s="110">
        <v>8279988</v>
      </c>
      <c r="E1119" s="110">
        <v>7054353</v>
      </c>
      <c r="F1119" s="110">
        <v>6396515</v>
      </c>
      <c r="G1119" s="110">
        <v>6245080</v>
      </c>
      <c r="I1119" s="110">
        <v>2252991</v>
      </c>
      <c r="J1119" s="110">
        <v>4247208</v>
      </c>
      <c r="K1119" s="110">
        <v>4792852</v>
      </c>
      <c r="L1119" s="110">
        <v>5020475</v>
      </c>
    </row>
    <row r="1120" spans="1:12" x14ac:dyDescent="0.2">
      <c r="A1120" t="s">
        <v>29</v>
      </c>
      <c r="B1120" t="s">
        <v>110</v>
      </c>
      <c r="C1120" t="s">
        <v>221</v>
      </c>
      <c r="D1120" s="110">
        <v>7954469</v>
      </c>
      <c r="E1120" s="110">
        <v>6621665</v>
      </c>
      <c r="F1120" s="110">
        <v>6078272</v>
      </c>
      <c r="I1120" s="110">
        <v>2423741</v>
      </c>
      <c r="J1120" s="110">
        <v>4054912</v>
      </c>
      <c r="K1120" s="110">
        <v>4561933</v>
      </c>
    </row>
    <row r="1121" spans="1:12" x14ac:dyDescent="0.2">
      <c r="A1121" t="s">
        <v>29</v>
      </c>
      <c r="B1121" t="s">
        <v>110</v>
      </c>
      <c r="C1121" t="s">
        <v>222</v>
      </c>
      <c r="D1121" s="110">
        <v>8680253</v>
      </c>
      <c r="E1121" s="110">
        <v>7176350</v>
      </c>
      <c r="I1121" s="110">
        <v>2417454</v>
      </c>
      <c r="J1121" s="110">
        <v>4202268</v>
      </c>
    </row>
    <row r="1122" spans="1:12" x14ac:dyDescent="0.2">
      <c r="A1122" t="s">
        <v>29</v>
      </c>
      <c r="B1122" t="s">
        <v>110</v>
      </c>
      <c r="C1122" t="s">
        <v>223</v>
      </c>
      <c r="D1122" s="110">
        <v>9796687</v>
      </c>
      <c r="I1122" s="110">
        <v>2501743</v>
      </c>
    </row>
    <row r="1123" spans="1:12" x14ac:dyDescent="0.2">
      <c r="A1123" t="s">
        <v>30</v>
      </c>
      <c r="B1123" t="s">
        <v>104</v>
      </c>
      <c r="C1123" t="s">
        <v>220</v>
      </c>
      <c r="D1123" s="110">
        <v>248175.49</v>
      </c>
      <c r="E1123" s="110">
        <v>248225.49</v>
      </c>
      <c r="F1123" s="110">
        <v>248225.49</v>
      </c>
      <c r="G1123" s="110">
        <v>247475.49</v>
      </c>
      <c r="I1123" s="110">
        <v>1841.21</v>
      </c>
      <c r="J1123" s="110">
        <v>12154.12</v>
      </c>
      <c r="K1123" s="110">
        <v>23738.880000000001</v>
      </c>
      <c r="L1123" s="110">
        <v>30003.73</v>
      </c>
    </row>
    <row r="1124" spans="1:12" x14ac:dyDescent="0.2">
      <c r="A1124" t="s">
        <v>30</v>
      </c>
      <c r="B1124" t="s">
        <v>104</v>
      </c>
      <c r="C1124" t="s">
        <v>221</v>
      </c>
      <c r="D1124" s="110">
        <v>231488.3</v>
      </c>
      <c r="E1124" s="110">
        <v>231238.3</v>
      </c>
      <c r="F1124" s="110">
        <v>231188.3</v>
      </c>
      <c r="I1124" s="110">
        <v>3401.69</v>
      </c>
      <c r="J1124" s="110">
        <v>6719.94</v>
      </c>
      <c r="K1124" s="110">
        <v>9386.1</v>
      </c>
    </row>
    <row r="1125" spans="1:12" x14ac:dyDescent="0.2">
      <c r="A1125" t="s">
        <v>30</v>
      </c>
      <c r="B1125" t="s">
        <v>104</v>
      </c>
      <c r="C1125" t="s">
        <v>222</v>
      </c>
      <c r="D1125" s="110">
        <v>621172.06000000006</v>
      </c>
      <c r="E1125" s="110">
        <v>620925.56000000006</v>
      </c>
      <c r="I1125" s="110">
        <v>4116.6099999999997</v>
      </c>
      <c r="J1125" s="110">
        <v>10170.86</v>
      </c>
    </row>
    <row r="1126" spans="1:12" x14ac:dyDescent="0.2">
      <c r="A1126" t="s">
        <v>30</v>
      </c>
      <c r="B1126" t="s">
        <v>104</v>
      </c>
      <c r="C1126" t="s">
        <v>223</v>
      </c>
      <c r="D1126" s="110">
        <v>210955.15</v>
      </c>
      <c r="I1126" s="110">
        <v>2271.61</v>
      </c>
    </row>
    <row r="1127" spans="1:12" x14ac:dyDescent="0.2">
      <c r="A1127" t="s">
        <v>30</v>
      </c>
      <c r="B1127" t="s">
        <v>140</v>
      </c>
      <c r="C1127" t="s">
        <v>220</v>
      </c>
      <c r="D1127" s="110">
        <v>0</v>
      </c>
      <c r="E1127" s="110">
        <v>0</v>
      </c>
      <c r="F1127" s="110">
        <v>0</v>
      </c>
      <c r="G1127" s="110">
        <v>0</v>
      </c>
      <c r="I1127" s="110">
        <v>0</v>
      </c>
      <c r="J1127" s="110">
        <v>0</v>
      </c>
      <c r="K1127" s="110">
        <v>0</v>
      </c>
      <c r="L1127" s="110">
        <v>0</v>
      </c>
    </row>
    <row r="1128" spans="1:12" x14ac:dyDescent="0.2">
      <c r="A1128" t="s">
        <v>30</v>
      </c>
      <c r="B1128" t="s">
        <v>140</v>
      </c>
      <c r="C1128" t="s">
        <v>221</v>
      </c>
      <c r="D1128" s="110">
        <v>53418</v>
      </c>
      <c r="E1128" s="110">
        <v>53418</v>
      </c>
      <c r="F1128" s="110">
        <v>53418</v>
      </c>
      <c r="I1128" s="110">
        <v>0</v>
      </c>
      <c r="J1128" s="110">
        <v>0</v>
      </c>
      <c r="K1128" s="110">
        <v>0</v>
      </c>
    </row>
    <row r="1129" spans="1:12" x14ac:dyDescent="0.2">
      <c r="A1129" t="s">
        <v>30</v>
      </c>
      <c r="B1129" t="s">
        <v>140</v>
      </c>
      <c r="C1129" t="s">
        <v>222</v>
      </c>
      <c r="D1129" s="110">
        <v>53418</v>
      </c>
      <c r="E1129" s="110">
        <v>53418</v>
      </c>
      <c r="I1129" s="110">
        <v>0</v>
      </c>
      <c r="J1129" s="110">
        <v>0</v>
      </c>
    </row>
    <row r="1130" spans="1:12" x14ac:dyDescent="0.2">
      <c r="A1130" t="s">
        <v>30</v>
      </c>
      <c r="B1130" t="s">
        <v>140</v>
      </c>
      <c r="C1130" t="s">
        <v>223</v>
      </c>
      <c r="D1130" s="110">
        <v>0</v>
      </c>
      <c r="I1130" s="110">
        <v>0</v>
      </c>
    </row>
    <row r="1131" spans="1:12" x14ac:dyDescent="0.2">
      <c r="A1131" t="s">
        <v>30</v>
      </c>
      <c r="B1131" t="s">
        <v>105</v>
      </c>
      <c r="C1131" t="s">
        <v>220</v>
      </c>
      <c r="D1131" s="110">
        <v>52358.25</v>
      </c>
      <c r="E1131" s="110">
        <v>52358.25</v>
      </c>
      <c r="F1131" s="110">
        <v>52358.25</v>
      </c>
      <c r="G1131" s="110">
        <v>52358.25</v>
      </c>
      <c r="I1131" s="110">
        <v>7329.33</v>
      </c>
      <c r="J1131" s="110">
        <v>15844.66</v>
      </c>
      <c r="K1131" s="110">
        <v>18733.13</v>
      </c>
      <c r="L1131" s="110">
        <v>19427.25</v>
      </c>
    </row>
    <row r="1132" spans="1:12" x14ac:dyDescent="0.2">
      <c r="A1132" t="s">
        <v>30</v>
      </c>
      <c r="B1132" t="s">
        <v>105</v>
      </c>
      <c r="C1132" t="s">
        <v>221</v>
      </c>
      <c r="D1132" s="110">
        <v>46062.9</v>
      </c>
      <c r="E1132" s="110">
        <v>46182.9</v>
      </c>
      <c r="F1132" s="110">
        <v>46182.9</v>
      </c>
      <c r="I1132" s="110">
        <v>11243.31</v>
      </c>
      <c r="J1132" s="110">
        <v>19297.95</v>
      </c>
      <c r="K1132" s="110">
        <v>23910.59</v>
      </c>
    </row>
    <row r="1133" spans="1:12" x14ac:dyDescent="0.2">
      <c r="A1133" t="s">
        <v>30</v>
      </c>
      <c r="B1133" t="s">
        <v>105</v>
      </c>
      <c r="C1133" t="s">
        <v>222</v>
      </c>
      <c r="D1133" s="110">
        <v>47740.3</v>
      </c>
      <c r="E1133" s="110">
        <v>47341.3</v>
      </c>
      <c r="I1133" s="110">
        <v>9159.82</v>
      </c>
      <c r="J1133" s="110">
        <v>17745.14</v>
      </c>
    </row>
    <row r="1134" spans="1:12" x14ac:dyDescent="0.2">
      <c r="A1134" t="s">
        <v>30</v>
      </c>
      <c r="B1134" t="s">
        <v>105</v>
      </c>
      <c r="C1134" t="s">
        <v>223</v>
      </c>
      <c r="D1134" s="110">
        <v>59902.9</v>
      </c>
      <c r="I1134" s="110">
        <v>10979.77</v>
      </c>
    </row>
    <row r="1135" spans="1:12" x14ac:dyDescent="0.2">
      <c r="A1135" t="s">
        <v>30</v>
      </c>
      <c r="B1135" t="s">
        <v>111</v>
      </c>
      <c r="C1135" t="s">
        <v>220</v>
      </c>
      <c r="D1135" s="110">
        <v>577.5</v>
      </c>
      <c r="E1135" s="110">
        <v>577.5</v>
      </c>
      <c r="F1135" s="110">
        <v>577.5</v>
      </c>
      <c r="G1135" s="110">
        <v>577.5</v>
      </c>
      <c r="I1135" s="110">
        <v>577.5</v>
      </c>
      <c r="J1135" s="110">
        <v>577.5</v>
      </c>
      <c r="K1135" s="110">
        <v>577.5</v>
      </c>
      <c r="L1135" s="110">
        <v>577.5</v>
      </c>
    </row>
    <row r="1136" spans="1:12" x14ac:dyDescent="0.2">
      <c r="A1136" t="s">
        <v>30</v>
      </c>
      <c r="B1136" t="s">
        <v>111</v>
      </c>
      <c r="C1136" t="s">
        <v>221</v>
      </c>
      <c r="D1136" s="110">
        <v>811</v>
      </c>
      <c r="E1136" s="110">
        <v>811</v>
      </c>
      <c r="F1136" s="110">
        <v>811</v>
      </c>
      <c r="I1136" s="110">
        <v>3.5</v>
      </c>
      <c r="J1136" s="110">
        <v>3.5</v>
      </c>
      <c r="K1136" s="110">
        <v>3.5</v>
      </c>
    </row>
    <row r="1137" spans="1:12" x14ac:dyDescent="0.2">
      <c r="A1137" t="s">
        <v>30</v>
      </c>
      <c r="B1137" t="s">
        <v>111</v>
      </c>
      <c r="C1137" t="s">
        <v>222</v>
      </c>
      <c r="D1137" s="110">
        <v>822</v>
      </c>
      <c r="E1137" s="110">
        <v>822</v>
      </c>
      <c r="I1137" s="110">
        <v>386</v>
      </c>
      <c r="J1137" s="110">
        <v>386</v>
      </c>
    </row>
    <row r="1138" spans="1:12" x14ac:dyDescent="0.2">
      <c r="A1138" t="s">
        <v>30</v>
      </c>
      <c r="B1138" t="s">
        <v>111</v>
      </c>
      <c r="C1138" t="s">
        <v>223</v>
      </c>
      <c r="D1138" s="110">
        <v>238</v>
      </c>
      <c r="I1138" s="110">
        <v>238</v>
      </c>
    </row>
    <row r="1139" spans="1:12" x14ac:dyDescent="0.2">
      <c r="A1139" t="s">
        <v>30</v>
      </c>
      <c r="B1139" t="s">
        <v>109</v>
      </c>
      <c r="C1139" t="s">
        <v>220</v>
      </c>
      <c r="D1139" s="110">
        <v>18811.25</v>
      </c>
      <c r="E1139" s="110">
        <v>18811.25</v>
      </c>
      <c r="F1139" s="110">
        <v>18811.25</v>
      </c>
      <c r="G1139" s="110">
        <v>18811.25</v>
      </c>
      <c r="I1139" s="110">
        <v>3695.05</v>
      </c>
      <c r="J1139" s="110">
        <v>8202.89</v>
      </c>
      <c r="K1139" s="110">
        <v>9721.5499999999993</v>
      </c>
      <c r="L1139" s="110">
        <v>10042.049999999999</v>
      </c>
    </row>
    <row r="1140" spans="1:12" x14ac:dyDescent="0.2">
      <c r="A1140" t="s">
        <v>30</v>
      </c>
      <c r="B1140" t="s">
        <v>109</v>
      </c>
      <c r="C1140" t="s">
        <v>221</v>
      </c>
      <c r="D1140" s="110">
        <v>23697.3</v>
      </c>
      <c r="E1140" s="110">
        <v>23697.3</v>
      </c>
      <c r="F1140" s="110">
        <v>23697.05</v>
      </c>
      <c r="I1140" s="110">
        <v>7745</v>
      </c>
      <c r="J1140" s="110">
        <v>14077.78</v>
      </c>
      <c r="K1140" s="110">
        <v>16234.5</v>
      </c>
    </row>
    <row r="1141" spans="1:12" x14ac:dyDescent="0.2">
      <c r="A1141" t="s">
        <v>30</v>
      </c>
      <c r="B1141" t="s">
        <v>109</v>
      </c>
      <c r="C1141" t="s">
        <v>222</v>
      </c>
      <c r="D1141" s="110">
        <v>21927.8</v>
      </c>
      <c r="E1141" s="110">
        <v>21927.8</v>
      </c>
      <c r="I1141" s="110">
        <v>7752.54</v>
      </c>
      <c r="J1141" s="110">
        <v>10593.58</v>
      </c>
    </row>
    <row r="1142" spans="1:12" x14ac:dyDescent="0.2">
      <c r="A1142" t="s">
        <v>30</v>
      </c>
      <c r="B1142" t="s">
        <v>109</v>
      </c>
      <c r="C1142" t="s">
        <v>223</v>
      </c>
      <c r="D1142" s="110">
        <v>35325.25</v>
      </c>
      <c r="I1142" s="110">
        <v>8440.02</v>
      </c>
    </row>
    <row r="1143" spans="1:12" x14ac:dyDescent="0.2">
      <c r="A1143" t="s">
        <v>30</v>
      </c>
      <c r="B1143" t="s">
        <v>106</v>
      </c>
      <c r="C1143" t="s">
        <v>220</v>
      </c>
      <c r="D1143" s="110">
        <v>8137.5</v>
      </c>
      <c r="E1143" s="110">
        <v>8137.5</v>
      </c>
      <c r="F1143" s="110">
        <v>8137.5</v>
      </c>
      <c r="G1143" s="110">
        <v>8137.5</v>
      </c>
      <c r="I1143" s="110">
        <v>8137.5</v>
      </c>
      <c r="J1143" s="110">
        <v>8137.5</v>
      </c>
      <c r="K1143" s="110">
        <v>8137.5</v>
      </c>
      <c r="L1143" s="110">
        <v>8137.5</v>
      </c>
    </row>
    <row r="1144" spans="1:12" x14ac:dyDescent="0.2">
      <c r="A1144" t="s">
        <v>30</v>
      </c>
      <c r="B1144" t="s">
        <v>106</v>
      </c>
      <c r="C1144" t="s">
        <v>221</v>
      </c>
      <c r="D1144" s="110">
        <v>30487.5</v>
      </c>
      <c r="E1144" s="110">
        <v>30487.5</v>
      </c>
      <c r="F1144" s="110">
        <v>30467.5</v>
      </c>
      <c r="I1144" s="110">
        <v>30467.5</v>
      </c>
      <c r="J1144" s="110">
        <v>30467.5</v>
      </c>
      <c r="K1144" s="110">
        <v>30467.5</v>
      </c>
    </row>
    <row r="1145" spans="1:12" x14ac:dyDescent="0.2">
      <c r="A1145" t="s">
        <v>30</v>
      </c>
      <c r="B1145" t="s">
        <v>106</v>
      </c>
      <c r="C1145" t="s">
        <v>222</v>
      </c>
      <c r="D1145" s="110">
        <v>66312.3</v>
      </c>
      <c r="E1145" s="110">
        <v>66312.3</v>
      </c>
      <c r="I1145" s="110">
        <v>63852.3</v>
      </c>
      <c r="J1145" s="110">
        <v>65952.3</v>
      </c>
    </row>
    <row r="1146" spans="1:12" x14ac:dyDescent="0.2">
      <c r="A1146" t="s">
        <v>30</v>
      </c>
      <c r="B1146" t="s">
        <v>106</v>
      </c>
      <c r="C1146" t="s">
        <v>223</v>
      </c>
      <c r="D1146" s="110">
        <v>18537.5</v>
      </c>
      <c r="I1146" s="110">
        <v>17293.5</v>
      </c>
    </row>
    <row r="1147" spans="1:12" x14ac:dyDescent="0.2">
      <c r="A1147" t="s">
        <v>30</v>
      </c>
      <c r="B1147" t="s">
        <v>107</v>
      </c>
      <c r="C1147" t="s">
        <v>220</v>
      </c>
      <c r="D1147" s="110">
        <v>13154.72</v>
      </c>
      <c r="E1147" s="110">
        <v>13094.72</v>
      </c>
      <c r="F1147" s="110">
        <v>13094.72</v>
      </c>
      <c r="G1147" s="110">
        <v>13094.72</v>
      </c>
      <c r="I1147" s="110">
        <v>12959.72</v>
      </c>
      <c r="J1147" s="110">
        <v>12899.72</v>
      </c>
      <c r="K1147" s="110">
        <v>12899.72</v>
      </c>
      <c r="L1147" s="110">
        <v>12899.72</v>
      </c>
    </row>
    <row r="1148" spans="1:12" x14ac:dyDescent="0.2">
      <c r="A1148" t="s">
        <v>30</v>
      </c>
      <c r="B1148" t="s">
        <v>107</v>
      </c>
      <c r="C1148" t="s">
        <v>221</v>
      </c>
      <c r="D1148" s="110">
        <v>21319.75</v>
      </c>
      <c r="E1148" s="110">
        <v>21319.75</v>
      </c>
      <c r="F1148" s="110">
        <v>21319.75</v>
      </c>
      <c r="I1148" s="110">
        <v>21319.75</v>
      </c>
      <c r="J1148" s="110">
        <v>21319.75</v>
      </c>
      <c r="K1148" s="110">
        <v>21319.75</v>
      </c>
    </row>
    <row r="1149" spans="1:12" x14ac:dyDescent="0.2">
      <c r="A1149" t="s">
        <v>30</v>
      </c>
      <c r="B1149" t="s">
        <v>107</v>
      </c>
      <c r="C1149" t="s">
        <v>222</v>
      </c>
      <c r="D1149" s="110">
        <v>19476.75</v>
      </c>
      <c r="E1149" s="110">
        <v>19476.75</v>
      </c>
      <c r="I1149" s="110">
        <v>19146.75</v>
      </c>
      <c r="J1149" s="110">
        <v>19456.75</v>
      </c>
    </row>
    <row r="1150" spans="1:12" x14ac:dyDescent="0.2">
      <c r="A1150" t="s">
        <v>30</v>
      </c>
      <c r="B1150" t="s">
        <v>107</v>
      </c>
      <c r="C1150" t="s">
        <v>223</v>
      </c>
      <c r="D1150" s="110">
        <v>25332.75</v>
      </c>
      <c r="I1150" s="110">
        <v>24442.75</v>
      </c>
    </row>
    <row r="1151" spans="1:12" x14ac:dyDescent="0.2">
      <c r="A1151" t="s">
        <v>30</v>
      </c>
      <c r="B1151" t="s">
        <v>108</v>
      </c>
      <c r="C1151" t="s">
        <v>220</v>
      </c>
      <c r="D1151" s="110">
        <v>3554</v>
      </c>
      <c r="E1151" s="110">
        <v>3789</v>
      </c>
      <c r="F1151" s="110">
        <v>3789</v>
      </c>
      <c r="G1151" s="110">
        <v>3789</v>
      </c>
      <c r="I1151" s="110">
        <v>3323</v>
      </c>
      <c r="J1151" s="110">
        <v>3323</v>
      </c>
      <c r="K1151" s="110">
        <v>3323</v>
      </c>
      <c r="L1151" s="110">
        <v>3323</v>
      </c>
    </row>
    <row r="1152" spans="1:12" x14ac:dyDescent="0.2">
      <c r="A1152" t="s">
        <v>30</v>
      </c>
      <c r="B1152" t="s">
        <v>108</v>
      </c>
      <c r="C1152" t="s">
        <v>221</v>
      </c>
      <c r="D1152" s="110">
        <v>7739</v>
      </c>
      <c r="E1152" s="110">
        <v>7739</v>
      </c>
      <c r="F1152" s="110">
        <v>7739</v>
      </c>
      <c r="I1152" s="110">
        <v>7739</v>
      </c>
      <c r="J1152" s="110">
        <v>7739</v>
      </c>
      <c r="K1152" s="110">
        <v>7739</v>
      </c>
    </row>
    <row r="1153" spans="1:12" x14ac:dyDescent="0.2">
      <c r="A1153" t="s">
        <v>30</v>
      </c>
      <c r="B1153" t="s">
        <v>108</v>
      </c>
      <c r="C1153" t="s">
        <v>222</v>
      </c>
      <c r="D1153" s="110">
        <v>4387</v>
      </c>
      <c r="E1153" s="110">
        <v>4387</v>
      </c>
      <c r="I1153" s="110">
        <v>4042</v>
      </c>
      <c r="J1153" s="110">
        <v>4042</v>
      </c>
    </row>
    <row r="1154" spans="1:12" x14ac:dyDescent="0.2">
      <c r="A1154" t="s">
        <v>30</v>
      </c>
      <c r="B1154" t="s">
        <v>108</v>
      </c>
      <c r="C1154" t="s">
        <v>223</v>
      </c>
      <c r="D1154" s="110">
        <v>9576.9500000000007</v>
      </c>
      <c r="I1154" s="110">
        <v>9341.9500000000007</v>
      </c>
    </row>
    <row r="1155" spans="1:12" x14ac:dyDescent="0.2">
      <c r="A1155" t="s">
        <v>30</v>
      </c>
      <c r="B1155" t="s">
        <v>70</v>
      </c>
      <c r="C1155" t="s">
        <v>220</v>
      </c>
      <c r="D1155" s="110">
        <v>11926.5</v>
      </c>
      <c r="E1155" s="110">
        <v>11901.5</v>
      </c>
      <c r="F1155" s="110">
        <v>11901.5</v>
      </c>
      <c r="G1155" s="110">
        <v>11901.5</v>
      </c>
      <c r="I1155" s="110">
        <v>9317.5</v>
      </c>
      <c r="J1155" s="110">
        <v>9967.5</v>
      </c>
      <c r="K1155" s="110">
        <v>10650.5</v>
      </c>
      <c r="L1155" s="110">
        <v>10650.5</v>
      </c>
    </row>
    <row r="1156" spans="1:12" x14ac:dyDescent="0.2">
      <c r="A1156" t="s">
        <v>30</v>
      </c>
      <c r="B1156" t="s">
        <v>70</v>
      </c>
      <c r="C1156" t="s">
        <v>221</v>
      </c>
      <c r="D1156" s="110">
        <v>11815.5</v>
      </c>
      <c r="E1156" s="110">
        <v>12631.5</v>
      </c>
      <c r="F1156" s="110">
        <v>12631.5</v>
      </c>
      <c r="I1156" s="110">
        <v>10641.5</v>
      </c>
      <c r="J1156" s="110">
        <v>11169.5</v>
      </c>
      <c r="K1156" s="110">
        <v>11259.5</v>
      </c>
    </row>
    <row r="1157" spans="1:12" x14ac:dyDescent="0.2">
      <c r="A1157" t="s">
        <v>30</v>
      </c>
      <c r="B1157" t="s">
        <v>70</v>
      </c>
      <c r="C1157" t="s">
        <v>222</v>
      </c>
      <c r="D1157" s="110">
        <v>11844.5</v>
      </c>
      <c r="E1157" s="110">
        <v>11411.5</v>
      </c>
      <c r="I1157" s="110">
        <v>9322.5</v>
      </c>
      <c r="J1157" s="110">
        <v>9392.5</v>
      </c>
    </row>
    <row r="1158" spans="1:12" x14ac:dyDescent="0.2">
      <c r="A1158" t="s">
        <v>30</v>
      </c>
      <c r="B1158" t="s">
        <v>70</v>
      </c>
      <c r="C1158" t="s">
        <v>223</v>
      </c>
      <c r="D1158" s="110">
        <v>14870</v>
      </c>
      <c r="I1158" s="110">
        <v>13154</v>
      </c>
    </row>
    <row r="1159" spans="1:12" x14ac:dyDescent="0.2">
      <c r="A1159" t="s">
        <v>30</v>
      </c>
      <c r="B1159" t="s">
        <v>110</v>
      </c>
      <c r="C1159" t="s">
        <v>220</v>
      </c>
      <c r="D1159" s="110">
        <v>71017.75</v>
      </c>
      <c r="E1159" s="110">
        <v>70734.25</v>
      </c>
      <c r="F1159" s="110">
        <v>139430.25</v>
      </c>
      <c r="G1159" s="110">
        <v>70628.25</v>
      </c>
      <c r="I1159" s="110">
        <v>27539.25</v>
      </c>
      <c r="J1159" s="110">
        <v>52250.67</v>
      </c>
      <c r="K1159" s="110">
        <v>121068.56</v>
      </c>
      <c r="L1159" s="110">
        <v>58265.25</v>
      </c>
    </row>
    <row r="1160" spans="1:12" x14ac:dyDescent="0.2">
      <c r="A1160" t="s">
        <v>30</v>
      </c>
      <c r="B1160" t="s">
        <v>110</v>
      </c>
      <c r="C1160" t="s">
        <v>221</v>
      </c>
      <c r="D1160" s="110">
        <v>105932.35</v>
      </c>
      <c r="E1160" s="110">
        <v>70628.25</v>
      </c>
      <c r="F1160" s="110">
        <v>107293.55</v>
      </c>
      <c r="I1160" s="110">
        <v>41113.1</v>
      </c>
      <c r="J1160" s="110">
        <v>56514.25</v>
      </c>
      <c r="K1160" s="110">
        <v>88694.64</v>
      </c>
    </row>
    <row r="1161" spans="1:12" x14ac:dyDescent="0.2">
      <c r="A1161" t="s">
        <v>30</v>
      </c>
      <c r="B1161" t="s">
        <v>110</v>
      </c>
      <c r="C1161" t="s">
        <v>222</v>
      </c>
      <c r="D1161" s="110">
        <v>107197.3</v>
      </c>
      <c r="E1161" s="110">
        <v>99943.25</v>
      </c>
      <c r="I1161" s="110">
        <v>82626.31</v>
      </c>
      <c r="J1161" s="110">
        <v>81224.19</v>
      </c>
    </row>
    <row r="1162" spans="1:12" x14ac:dyDescent="0.2">
      <c r="A1162" t="s">
        <v>30</v>
      </c>
      <c r="B1162" t="s">
        <v>110</v>
      </c>
      <c r="C1162" t="s">
        <v>223</v>
      </c>
      <c r="D1162" s="110">
        <v>102360.3</v>
      </c>
      <c r="I1162" s="110">
        <v>48541.64</v>
      </c>
    </row>
    <row r="1163" spans="1:12" x14ac:dyDescent="0.2">
      <c r="A1163" t="s">
        <v>31</v>
      </c>
      <c r="B1163" t="s">
        <v>104</v>
      </c>
      <c r="C1163" t="s">
        <v>220</v>
      </c>
      <c r="D1163" s="110">
        <v>507079.69</v>
      </c>
      <c r="E1163" s="110">
        <v>501990.33</v>
      </c>
      <c r="F1163" s="110">
        <v>496855.4</v>
      </c>
      <c r="G1163" s="110">
        <v>493910.54</v>
      </c>
      <c r="I1163" s="110">
        <v>14684.15</v>
      </c>
      <c r="J1163" s="110">
        <v>36789.949999999997</v>
      </c>
      <c r="K1163" s="110">
        <v>46609.62</v>
      </c>
      <c r="L1163" s="110">
        <v>55255.72</v>
      </c>
    </row>
    <row r="1164" spans="1:12" x14ac:dyDescent="0.2">
      <c r="A1164" t="s">
        <v>31</v>
      </c>
      <c r="B1164" t="s">
        <v>104</v>
      </c>
      <c r="C1164" t="s">
        <v>221</v>
      </c>
      <c r="D1164" s="110">
        <v>403665.11</v>
      </c>
      <c r="E1164" s="110">
        <v>415155.93</v>
      </c>
      <c r="F1164" s="110">
        <v>412624.24</v>
      </c>
      <c r="I1164" s="110">
        <v>18272.55</v>
      </c>
      <c r="J1164" s="110">
        <v>35304.21</v>
      </c>
      <c r="K1164" s="110">
        <v>51700.14</v>
      </c>
    </row>
    <row r="1165" spans="1:12" x14ac:dyDescent="0.2">
      <c r="A1165" t="s">
        <v>31</v>
      </c>
      <c r="B1165" t="s">
        <v>104</v>
      </c>
      <c r="C1165" t="s">
        <v>222</v>
      </c>
      <c r="D1165" s="110">
        <v>530469.14</v>
      </c>
      <c r="E1165" s="110">
        <v>526727.16</v>
      </c>
      <c r="I1165" s="110">
        <v>13639.48</v>
      </c>
      <c r="J1165" s="110">
        <v>34587.15</v>
      </c>
    </row>
    <row r="1166" spans="1:12" x14ac:dyDescent="0.2">
      <c r="A1166" t="s">
        <v>31</v>
      </c>
      <c r="B1166" t="s">
        <v>104</v>
      </c>
      <c r="C1166" t="s">
        <v>223</v>
      </c>
      <c r="D1166" s="110">
        <v>489650.47</v>
      </c>
      <c r="I1166" s="110">
        <v>16081.38</v>
      </c>
    </row>
    <row r="1167" spans="1:12" x14ac:dyDescent="0.2">
      <c r="A1167" t="s">
        <v>31</v>
      </c>
      <c r="B1167" t="s">
        <v>140</v>
      </c>
      <c r="C1167" t="s">
        <v>220</v>
      </c>
      <c r="D1167" s="110">
        <v>159643</v>
      </c>
      <c r="E1167" s="110">
        <v>159643</v>
      </c>
      <c r="F1167" s="110">
        <v>159589.5</v>
      </c>
      <c r="G1167" s="110">
        <v>159589.5</v>
      </c>
      <c r="I1167" s="110">
        <v>42</v>
      </c>
      <c r="J1167" s="110">
        <v>42</v>
      </c>
      <c r="K1167" s="110">
        <v>42</v>
      </c>
      <c r="L1167" s="110">
        <v>42</v>
      </c>
    </row>
    <row r="1168" spans="1:12" x14ac:dyDescent="0.2">
      <c r="A1168" t="s">
        <v>31</v>
      </c>
      <c r="B1168" t="s">
        <v>140</v>
      </c>
      <c r="C1168" t="s">
        <v>221</v>
      </c>
      <c r="D1168" s="110">
        <v>76406.89</v>
      </c>
      <c r="E1168" s="110">
        <v>76406.89</v>
      </c>
      <c r="F1168" s="110">
        <v>76406.89</v>
      </c>
      <c r="I1168" s="110">
        <v>12.89</v>
      </c>
      <c r="J1168" s="110">
        <v>28</v>
      </c>
      <c r="K1168" s="110">
        <v>28</v>
      </c>
    </row>
    <row r="1169" spans="1:12" x14ac:dyDescent="0.2">
      <c r="A1169" t="s">
        <v>31</v>
      </c>
      <c r="B1169" t="s">
        <v>140</v>
      </c>
      <c r="C1169" t="s">
        <v>222</v>
      </c>
      <c r="D1169" s="110">
        <v>41137.769999999997</v>
      </c>
      <c r="E1169" s="110">
        <v>41137.769999999997</v>
      </c>
      <c r="I1169" s="110">
        <v>16</v>
      </c>
      <c r="J1169" s="110">
        <v>41</v>
      </c>
    </row>
    <row r="1170" spans="1:12" x14ac:dyDescent="0.2">
      <c r="A1170" t="s">
        <v>31</v>
      </c>
      <c r="B1170" t="s">
        <v>140</v>
      </c>
      <c r="C1170" t="s">
        <v>223</v>
      </c>
      <c r="D1170" s="110">
        <v>54501.02</v>
      </c>
      <c r="I1170" s="110">
        <v>0</v>
      </c>
    </row>
    <row r="1171" spans="1:12" x14ac:dyDescent="0.2">
      <c r="A1171" t="s">
        <v>31</v>
      </c>
      <c r="B1171" t="s">
        <v>105</v>
      </c>
      <c r="C1171" t="s">
        <v>220</v>
      </c>
      <c r="D1171" s="110">
        <v>169302.56</v>
      </c>
      <c r="E1171" s="110">
        <v>167379.5</v>
      </c>
      <c r="F1171" s="110">
        <v>166431.49</v>
      </c>
      <c r="G1171" s="110">
        <v>166216</v>
      </c>
      <c r="I1171" s="110">
        <v>48709.87</v>
      </c>
      <c r="J1171" s="110">
        <v>76294.789999999994</v>
      </c>
      <c r="K1171" s="110">
        <v>85849.26</v>
      </c>
      <c r="L1171" s="110">
        <v>91291.19</v>
      </c>
    </row>
    <row r="1172" spans="1:12" x14ac:dyDescent="0.2">
      <c r="A1172" t="s">
        <v>31</v>
      </c>
      <c r="B1172" t="s">
        <v>105</v>
      </c>
      <c r="C1172" t="s">
        <v>221</v>
      </c>
      <c r="D1172" s="110">
        <v>230294.26</v>
      </c>
      <c r="E1172" s="110">
        <v>207896.37</v>
      </c>
      <c r="F1172" s="110">
        <v>205563.35</v>
      </c>
      <c r="I1172" s="110">
        <v>66114.990000000005</v>
      </c>
      <c r="J1172" s="110">
        <v>96628.2</v>
      </c>
      <c r="K1172" s="110">
        <v>108711.9</v>
      </c>
    </row>
    <row r="1173" spans="1:12" x14ac:dyDescent="0.2">
      <c r="A1173" t="s">
        <v>31</v>
      </c>
      <c r="B1173" t="s">
        <v>105</v>
      </c>
      <c r="C1173" t="s">
        <v>222</v>
      </c>
      <c r="D1173" s="110">
        <v>189309.87</v>
      </c>
      <c r="E1173" s="110">
        <v>190487.54</v>
      </c>
      <c r="I1173" s="110">
        <v>62264.56</v>
      </c>
      <c r="J1173" s="110">
        <v>84666.44</v>
      </c>
    </row>
    <row r="1174" spans="1:12" x14ac:dyDescent="0.2">
      <c r="A1174" t="s">
        <v>31</v>
      </c>
      <c r="B1174" t="s">
        <v>105</v>
      </c>
      <c r="C1174" t="s">
        <v>223</v>
      </c>
      <c r="D1174" s="110">
        <v>162571.49</v>
      </c>
      <c r="I1174" s="110">
        <v>46439.43</v>
      </c>
    </row>
    <row r="1175" spans="1:12" x14ac:dyDescent="0.2">
      <c r="A1175" t="s">
        <v>31</v>
      </c>
      <c r="B1175" t="s">
        <v>111</v>
      </c>
      <c r="C1175" t="s">
        <v>220</v>
      </c>
      <c r="D1175" s="110">
        <v>39093</v>
      </c>
      <c r="E1175" s="110">
        <v>40261</v>
      </c>
      <c r="F1175" s="110">
        <v>43228.5</v>
      </c>
      <c r="G1175" s="110">
        <v>43128.5</v>
      </c>
      <c r="I1175" s="110">
        <v>4735.78</v>
      </c>
      <c r="J1175" s="110">
        <v>8573.89</v>
      </c>
      <c r="K1175" s="110">
        <v>10710.83</v>
      </c>
      <c r="L1175" s="110">
        <v>11820.14</v>
      </c>
    </row>
    <row r="1176" spans="1:12" x14ac:dyDescent="0.2">
      <c r="A1176" t="s">
        <v>31</v>
      </c>
      <c r="B1176" t="s">
        <v>111</v>
      </c>
      <c r="C1176" t="s">
        <v>221</v>
      </c>
      <c r="D1176" s="110">
        <v>47623</v>
      </c>
      <c r="E1176" s="110">
        <v>48294.5</v>
      </c>
      <c r="F1176" s="110">
        <v>49119.5</v>
      </c>
      <c r="I1176" s="110">
        <v>5012.6099999999997</v>
      </c>
      <c r="J1176" s="110">
        <v>8271.5400000000009</v>
      </c>
      <c r="K1176" s="110">
        <v>11608.57</v>
      </c>
    </row>
    <row r="1177" spans="1:12" x14ac:dyDescent="0.2">
      <c r="A1177" t="s">
        <v>31</v>
      </c>
      <c r="B1177" t="s">
        <v>111</v>
      </c>
      <c r="C1177" t="s">
        <v>222</v>
      </c>
      <c r="D1177" s="110">
        <v>54971</v>
      </c>
      <c r="E1177" s="110">
        <v>55921.5</v>
      </c>
      <c r="I1177" s="110">
        <v>4424.58</v>
      </c>
      <c r="J1177" s="110">
        <v>6566.72</v>
      </c>
    </row>
    <row r="1178" spans="1:12" x14ac:dyDescent="0.2">
      <c r="A1178" t="s">
        <v>31</v>
      </c>
      <c r="B1178" t="s">
        <v>111</v>
      </c>
      <c r="C1178" t="s">
        <v>223</v>
      </c>
      <c r="D1178" s="110">
        <v>48448</v>
      </c>
      <c r="I1178" s="110">
        <v>5787.89</v>
      </c>
    </row>
    <row r="1179" spans="1:12" x14ac:dyDescent="0.2">
      <c r="A1179" t="s">
        <v>31</v>
      </c>
      <c r="B1179" t="s">
        <v>109</v>
      </c>
      <c r="C1179" t="s">
        <v>220</v>
      </c>
      <c r="D1179" s="110">
        <v>169446.89</v>
      </c>
      <c r="E1179" s="110">
        <v>165102.51999999999</v>
      </c>
      <c r="F1179" s="110">
        <v>165027.51999999999</v>
      </c>
      <c r="G1179" s="110">
        <v>164871.12</v>
      </c>
      <c r="I1179" s="110">
        <v>61725.64</v>
      </c>
      <c r="J1179" s="110">
        <v>92100.77</v>
      </c>
      <c r="K1179" s="110">
        <v>107794.87</v>
      </c>
      <c r="L1179" s="110">
        <v>116128.84</v>
      </c>
    </row>
    <row r="1180" spans="1:12" x14ac:dyDescent="0.2">
      <c r="A1180" t="s">
        <v>31</v>
      </c>
      <c r="B1180" t="s">
        <v>109</v>
      </c>
      <c r="C1180" t="s">
        <v>221</v>
      </c>
      <c r="D1180" s="110">
        <v>211319.83</v>
      </c>
      <c r="E1180" s="110">
        <v>209158.33</v>
      </c>
      <c r="F1180" s="110">
        <v>208628.8</v>
      </c>
      <c r="I1180" s="110">
        <v>81607.91</v>
      </c>
      <c r="J1180" s="110">
        <v>115210.34</v>
      </c>
      <c r="K1180" s="110">
        <v>130551.83</v>
      </c>
    </row>
    <row r="1181" spans="1:12" x14ac:dyDescent="0.2">
      <c r="A1181" t="s">
        <v>31</v>
      </c>
      <c r="B1181" t="s">
        <v>109</v>
      </c>
      <c r="C1181" t="s">
        <v>222</v>
      </c>
      <c r="D1181" s="110">
        <v>233262.58</v>
      </c>
      <c r="E1181" s="110">
        <v>230736.93</v>
      </c>
      <c r="I1181" s="110">
        <v>85631.74</v>
      </c>
      <c r="J1181" s="110">
        <v>121698.48</v>
      </c>
    </row>
    <row r="1182" spans="1:12" x14ac:dyDescent="0.2">
      <c r="A1182" t="s">
        <v>31</v>
      </c>
      <c r="B1182" t="s">
        <v>109</v>
      </c>
      <c r="C1182" t="s">
        <v>223</v>
      </c>
      <c r="D1182" s="110">
        <v>192306.79</v>
      </c>
      <c r="I1182" s="110">
        <v>77989.95</v>
      </c>
    </row>
    <row r="1183" spans="1:12" x14ac:dyDescent="0.2">
      <c r="A1183" t="s">
        <v>31</v>
      </c>
      <c r="B1183" t="s">
        <v>106</v>
      </c>
      <c r="C1183" t="s">
        <v>220</v>
      </c>
      <c r="D1183" s="110">
        <v>161250.5</v>
      </c>
      <c r="E1183" s="110">
        <v>161250.5</v>
      </c>
      <c r="F1183" s="110">
        <v>161250.5</v>
      </c>
      <c r="G1183" s="110">
        <v>161250.5</v>
      </c>
      <c r="I1183" s="110">
        <v>155993</v>
      </c>
      <c r="J1183" s="110">
        <v>158654.5</v>
      </c>
      <c r="K1183" s="110">
        <v>158654.5</v>
      </c>
      <c r="L1183" s="110">
        <v>158654.5</v>
      </c>
    </row>
    <row r="1184" spans="1:12" x14ac:dyDescent="0.2">
      <c r="A1184" t="s">
        <v>31</v>
      </c>
      <c r="B1184" t="s">
        <v>106</v>
      </c>
      <c r="C1184" t="s">
        <v>221</v>
      </c>
      <c r="D1184" s="110">
        <v>187459.34</v>
      </c>
      <c r="E1184" s="110">
        <v>187559.34</v>
      </c>
      <c r="F1184" s="110">
        <v>187609.34</v>
      </c>
      <c r="I1184" s="110">
        <v>179596.85</v>
      </c>
      <c r="J1184" s="110">
        <v>185316.34</v>
      </c>
      <c r="K1184" s="110">
        <v>186416.34</v>
      </c>
    </row>
    <row r="1185" spans="1:12" x14ac:dyDescent="0.2">
      <c r="A1185" t="s">
        <v>31</v>
      </c>
      <c r="B1185" t="s">
        <v>106</v>
      </c>
      <c r="C1185" t="s">
        <v>222</v>
      </c>
      <c r="D1185" s="110">
        <v>188399.72</v>
      </c>
      <c r="E1185" s="110">
        <v>187559.72</v>
      </c>
      <c r="I1185" s="110">
        <v>178466.22</v>
      </c>
      <c r="J1185" s="110">
        <v>186294.72</v>
      </c>
    </row>
    <row r="1186" spans="1:12" x14ac:dyDescent="0.2">
      <c r="A1186" t="s">
        <v>31</v>
      </c>
      <c r="B1186" t="s">
        <v>106</v>
      </c>
      <c r="C1186" t="s">
        <v>223</v>
      </c>
      <c r="D1186" s="110">
        <v>165379.38</v>
      </c>
      <c r="I1186" s="110">
        <v>158653.88</v>
      </c>
    </row>
    <row r="1187" spans="1:12" x14ac:dyDescent="0.2">
      <c r="A1187" t="s">
        <v>31</v>
      </c>
      <c r="B1187" t="s">
        <v>107</v>
      </c>
      <c r="C1187" t="s">
        <v>220</v>
      </c>
      <c r="D1187" s="110">
        <v>146660.07</v>
      </c>
      <c r="E1187" s="110">
        <v>146660.07</v>
      </c>
      <c r="F1187" s="110">
        <v>146660.07</v>
      </c>
      <c r="G1187" s="110">
        <v>146660.07</v>
      </c>
      <c r="I1187" s="110">
        <v>142606.23000000001</v>
      </c>
      <c r="J1187" s="110">
        <v>146188.73000000001</v>
      </c>
      <c r="K1187" s="110">
        <v>146188.73000000001</v>
      </c>
      <c r="L1187" s="110">
        <v>146282.66</v>
      </c>
    </row>
    <row r="1188" spans="1:12" x14ac:dyDescent="0.2">
      <c r="A1188" t="s">
        <v>31</v>
      </c>
      <c r="B1188" t="s">
        <v>107</v>
      </c>
      <c r="C1188" t="s">
        <v>221</v>
      </c>
      <c r="D1188" s="110">
        <v>177968.48</v>
      </c>
      <c r="E1188" s="110">
        <v>175086.48</v>
      </c>
      <c r="F1188" s="110">
        <v>175086.48</v>
      </c>
      <c r="I1188" s="110">
        <v>158142.53</v>
      </c>
      <c r="J1188" s="110">
        <v>175077.03</v>
      </c>
      <c r="K1188" s="110">
        <v>175077.03</v>
      </c>
    </row>
    <row r="1189" spans="1:12" x14ac:dyDescent="0.2">
      <c r="A1189" t="s">
        <v>31</v>
      </c>
      <c r="B1189" t="s">
        <v>107</v>
      </c>
      <c r="C1189" t="s">
        <v>222</v>
      </c>
      <c r="D1189" s="110">
        <v>142058.79999999999</v>
      </c>
      <c r="E1189" s="110">
        <v>142058.79999999999</v>
      </c>
      <c r="I1189" s="110">
        <v>135322.79999999999</v>
      </c>
      <c r="J1189" s="110">
        <v>141108.79999999999</v>
      </c>
    </row>
    <row r="1190" spans="1:12" x14ac:dyDescent="0.2">
      <c r="A1190" t="s">
        <v>31</v>
      </c>
      <c r="B1190" t="s">
        <v>107</v>
      </c>
      <c r="C1190" t="s">
        <v>223</v>
      </c>
      <c r="D1190" s="110">
        <v>161399.99</v>
      </c>
      <c r="I1190" s="110">
        <v>151490.99</v>
      </c>
    </row>
    <row r="1191" spans="1:12" x14ac:dyDescent="0.2">
      <c r="A1191" t="s">
        <v>31</v>
      </c>
      <c r="B1191" t="s">
        <v>108</v>
      </c>
      <c r="C1191" t="s">
        <v>220</v>
      </c>
      <c r="D1191" s="110">
        <v>78515.039999999994</v>
      </c>
      <c r="E1191" s="110">
        <v>78284.039999999994</v>
      </c>
      <c r="F1191" s="110">
        <v>77653.039999999994</v>
      </c>
      <c r="G1191" s="110">
        <v>77653.039999999994</v>
      </c>
      <c r="I1191" s="110">
        <v>75435.039999999994</v>
      </c>
      <c r="J1191" s="110">
        <v>77653.039999999994</v>
      </c>
      <c r="K1191" s="110">
        <v>77653.039999999994</v>
      </c>
      <c r="L1191" s="110">
        <v>77653.039999999994</v>
      </c>
    </row>
    <row r="1192" spans="1:12" x14ac:dyDescent="0.2">
      <c r="A1192" t="s">
        <v>31</v>
      </c>
      <c r="B1192" t="s">
        <v>108</v>
      </c>
      <c r="C1192" t="s">
        <v>221</v>
      </c>
      <c r="D1192" s="110">
        <v>83455.89</v>
      </c>
      <c r="E1192" s="110">
        <v>82899.89</v>
      </c>
      <c r="F1192" s="110">
        <v>82899.89</v>
      </c>
      <c r="I1192" s="110">
        <v>79776.89</v>
      </c>
      <c r="J1192" s="110">
        <v>82268.89</v>
      </c>
      <c r="K1192" s="110">
        <v>82268.89</v>
      </c>
    </row>
    <row r="1193" spans="1:12" x14ac:dyDescent="0.2">
      <c r="A1193" t="s">
        <v>31</v>
      </c>
      <c r="B1193" t="s">
        <v>108</v>
      </c>
      <c r="C1193" t="s">
        <v>222</v>
      </c>
      <c r="D1193" s="110">
        <v>100820</v>
      </c>
      <c r="E1193" s="110">
        <v>100187</v>
      </c>
      <c r="I1193" s="110">
        <v>97273</v>
      </c>
      <c r="J1193" s="110">
        <v>99490</v>
      </c>
    </row>
    <row r="1194" spans="1:12" x14ac:dyDescent="0.2">
      <c r="A1194" t="s">
        <v>31</v>
      </c>
      <c r="B1194" t="s">
        <v>108</v>
      </c>
      <c r="C1194" t="s">
        <v>223</v>
      </c>
      <c r="D1194" s="110">
        <v>90758.3</v>
      </c>
      <c r="I1194" s="110">
        <v>84881.3</v>
      </c>
    </row>
    <row r="1195" spans="1:12" x14ac:dyDescent="0.2">
      <c r="A1195" t="s">
        <v>31</v>
      </c>
      <c r="B1195" t="s">
        <v>70</v>
      </c>
      <c r="C1195" t="s">
        <v>220</v>
      </c>
      <c r="D1195" s="110">
        <v>83127.63</v>
      </c>
      <c r="E1195" s="110">
        <v>83127.63</v>
      </c>
      <c r="F1195" s="110">
        <v>82718.63</v>
      </c>
      <c r="G1195" s="110">
        <v>82718.63</v>
      </c>
      <c r="I1195" s="110">
        <v>78340.63</v>
      </c>
      <c r="J1195" s="110">
        <v>81443.13</v>
      </c>
      <c r="K1195" s="110">
        <v>81533.13</v>
      </c>
      <c r="L1195" s="110">
        <v>81578.13</v>
      </c>
    </row>
    <row r="1196" spans="1:12" x14ac:dyDescent="0.2">
      <c r="A1196" t="s">
        <v>31</v>
      </c>
      <c r="B1196" t="s">
        <v>70</v>
      </c>
      <c r="C1196" t="s">
        <v>221</v>
      </c>
      <c r="D1196" s="110">
        <v>109418.95</v>
      </c>
      <c r="E1196" s="110">
        <v>109713.95</v>
      </c>
      <c r="F1196" s="110">
        <v>109713.95</v>
      </c>
      <c r="I1196" s="110">
        <v>104673.2</v>
      </c>
      <c r="J1196" s="110">
        <v>108181.7</v>
      </c>
      <c r="K1196" s="110">
        <v>108454.45</v>
      </c>
    </row>
    <row r="1197" spans="1:12" x14ac:dyDescent="0.2">
      <c r="A1197" t="s">
        <v>31</v>
      </c>
      <c r="B1197" t="s">
        <v>70</v>
      </c>
      <c r="C1197" t="s">
        <v>222</v>
      </c>
      <c r="D1197" s="110">
        <v>83936.4</v>
      </c>
      <c r="E1197" s="110">
        <v>83926.399999999994</v>
      </c>
      <c r="I1197" s="110">
        <v>78939.45</v>
      </c>
      <c r="J1197" s="110">
        <v>81084.45</v>
      </c>
    </row>
    <row r="1198" spans="1:12" x14ac:dyDescent="0.2">
      <c r="A1198" t="s">
        <v>31</v>
      </c>
      <c r="B1198" t="s">
        <v>70</v>
      </c>
      <c r="C1198" t="s">
        <v>223</v>
      </c>
      <c r="D1198" s="110">
        <v>80082.34</v>
      </c>
      <c r="I1198" s="110">
        <v>77791</v>
      </c>
    </row>
    <row r="1199" spans="1:12" x14ac:dyDescent="0.2">
      <c r="A1199" t="s">
        <v>31</v>
      </c>
      <c r="B1199" t="s">
        <v>110</v>
      </c>
      <c r="C1199" t="s">
        <v>220</v>
      </c>
      <c r="D1199" s="110">
        <v>435791.72</v>
      </c>
      <c r="E1199" s="110">
        <v>426269.98</v>
      </c>
      <c r="F1199" s="110">
        <v>426947.72</v>
      </c>
      <c r="G1199" s="110">
        <v>427127.87</v>
      </c>
      <c r="I1199" s="110">
        <v>235146.87</v>
      </c>
      <c r="J1199" s="110">
        <v>378743.75</v>
      </c>
      <c r="K1199" s="110">
        <v>389688.16</v>
      </c>
      <c r="L1199" s="110">
        <v>394040.22</v>
      </c>
    </row>
    <row r="1200" spans="1:12" x14ac:dyDescent="0.2">
      <c r="A1200" t="s">
        <v>31</v>
      </c>
      <c r="B1200" t="s">
        <v>110</v>
      </c>
      <c r="C1200" t="s">
        <v>221</v>
      </c>
      <c r="D1200" s="110">
        <v>494583.53</v>
      </c>
      <c r="E1200" s="110">
        <v>480030.71999999997</v>
      </c>
      <c r="F1200" s="110">
        <v>480651.87</v>
      </c>
      <c r="I1200" s="110">
        <v>292219.73</v>
      </c>
      <c r="J1200" s="110">
        <v>423329.58</v>
      </c>
      <c r="K1200" s="110">
        <v>436050.41</v>
      </c>
    </row>
    <row r="1201" spans="1:12" x14ac:dyDescent="0.2">
      <c r="A1201" t="s">
        <v>31</v>
      </c>
      <c r="B1201" t="s">
        <v>110</v>
      </c>
      <c r="C1201" t="s">
        <v>222</v>
      </c>
      <c r="D1201" s="110">
        <v>584060.69999999995</v>
      </c>
      <c r="E1201" s="110">
        <v>573204.54</v>
      </c>
      <c r="I1201" s="110">
        <v>331455.86</v>
      </c>
      <c r="J1201" s="110">
        <v>479799.3</v>
      </c>
    </row>
    <row r="1202" spans="1:12" x14ac:dyDescent="0.2">
      <c r="A1202" t="s">
        <v>31</v>
      </c>
      <c r="B1202" t="s">
        <v>110</v>
      </c>
      <c r="C1202" t="s">
        <v>223</v>
      </c>
      <c r="D1202" s="110">
        <v>578354.87</v>
      </c>
      <c r="I1202" s="110">
        <v>298541.09000000003</v>
      </c>
    </row>
    <row r="1203" spans="1:12" x14ac:dyDescent="0.2">
      <c r="A1203" t="s">
        <v>32</v>
      </c>
      <c r="B1203" t="s">
        <v>104</v>
      </c>
      <c r="C1203" t="s">
        <v>220</v>
      </c>
      <c r="D1203" s="110">
        <v>107221</v>
      </c>
      <c r="E1203" s="110">
        <v>107221</v>
      </c>
      <c r="F1203" s="110">
        <v>107221</v>
      </c>
      <c r="G1203" s="110">
        <v>107221</v>
      </c>
      <c r="I1203" s="110">
        <v>151.28</v>
      </c>
      <c r="J1203" s="110">
        <v>4717.88</v>
      </c>
      <c r="K1203" s="110">
        <v>7365.48</v>
      </c>
      <c r="L1203" s="110">
        <v>8767.4500000000007</v>
      </c>
    </row>
    <row r="1204" spans="1:12" x14ac:dyDescent="0.2">
      <c r="A1204" t="s">
        <v>32</v>
      </c>
      <c r="B1204" t="s">
        <v>104</v>
      </c>
      <c r="C1204" t="s">
        <v>221</v>
      </c>
      <c r="D1204" s="110">
        <v>198798</v>
      </c>
      <c r="E1204" s="110">
        <v>198798</v>
      </c>
      <c r="F1204" s="110">
        <v>198798</v>
      </c>
      <c r="I1204" s="110">
        <v>2545.8000000000002</v>
      </c>
      <c r="J1204" s="110">
        <v>6341.2</v>
      </c>
      <c r="K1204" s="110">
        <v>9564.56</v>
      </c>
    </row>
    <row r="1205" spans="1:12" x14ac:dyDescent="0.2">
      <c r="A1205" t="s">
        <v>32</v>
      </c>
      <c r="B1205" t="s">
        <v>104</v>
      </c>
      <c r="C1205" t="s">
        <v>222</v>
      </c>
      <c r="D1205" s="110">
        <v>135233.5</v>
      </c>
      <c r="E1205" s="110">
        <v>135233.5</v>
      </c>
      <c r="I1205" s="110">
        <v>2267.6999999999998</v>
      </c>
      <c r="J1205" s="110">
        <v>4079.68</v>
      </c>
    </row>
    <row r="1206" spans="1:12" x14ac:dyDescent="0.2">
      <c r="A1206" t="s">
        <v>32</v>
      </c>
      <c r="B1206" t="s">
        <v>104</v>
      </c>
      <c r="C1206" t="s">
        <v>223</v>
      </c>
      <c r="D1206" s="110">
        <v>243464.32000000001</v>
      </c>
      <c r="I1206" s="110">
        <v>2897.27</v>
      </c>
    </row>
    <row r="1207" spans="1:12" x14ac:dyDescent="0.2">
      <c r="A1207" t="s">
        <v>32</v>
      </c>
      <c r="B1207" t="s">
        <v>140</v>
      </c>
      <c r="C1207" t="s">
        <v>220</v>
      </c>
      <c r="D1207" s="110">
        <v>0</v>
      </c>
      <c r="E1207" s="110">
        <v>0</v>
      </c>
      <c r="F1207" s="110">
        <v>0</v>
      </c>
      <c r="G1207" s="110">
        <v>0</v>
      </c>
      <c r="I1207" s="110">
        <v>0</v>
      </c>
      <c r="J1207" s="110">
        <v>0</v>
      </c>
      <c r="K1207" s="110">
        <v>0</v>
      </c>
      <c r="L1207" s="110">
        <v>0</v>
      </c>
    </row>
    <row r="1208" spans="1:12" x14ac:dyDescent="0.2">
      <c r="A1208" t="s">
        <v>32</v>
      </c>
      <c r="B1208" t="s">
        <v>140</v>
      </c>
      <c r="C1208" t="s">
        <v>221</v>
      </c>
      <c r="D1208" s="110">
        <v>53040</v>
      </c>
      <c r="E1208" s="110">
        <v>53040</v>
      </c>
      <c r="F1208" s="110">
        <v>53040</v>
      </c>
      <c r="I1208" s="110">
        <v>0</v>
      </c>
      <c r="J1208" s="110">
        <v>0</v>
      </c>
      <c r="K1208" s="110">
        <v>0</v>
      </c>
    </row>
    <row r="1209" spans="1:12" x14ac:dyDescent="0.2">
      <c r="A1209" t="s">
        <v>32</v>
      </c>
      <c r="B1209" t="s">
        <v>140</v>
      </c>
      <c r="C1209" t="s">
        <v>222</v>
      </c>
      <c r="D1209" s="110">
        <v>0</v>
      </c>
      <c r="E1209" s="110">
        <v>0</v>
      </c>
      <c r="I1209" s="110">
        <v>0</v>
      </c>
      <c r="J1209" s="110">
        <v>0</v>
      </c>
    </row>
    <row r="1210" spans="1:12" x14ac:dyDescent="0.2">
      <c r="A1210" t="s">
        <v>32</v>
      </c>
      <c r="B1210" t="s">
        <v>140</v>
      </c>
      <c r="C1210" t="s">
        <v>223</v>
      </c>
      <c r="D1210" s="110">
        <v>105890</v>
      </c>
      <c r="I1210" s="110">
        <v>0</v>
      </c>
    </row>
    <row r="1211" spans="1:12" x14ac:dyDescent="0.2">
      <c r="A1211" t="s">
        <v>32</v>
      </c>
      <c r="B1211" t="s">
        <v>105</v>
      </c>
      <c r="C1211" t="s">
        <v>220</v>
      </c>
      <c r="D1211" s="110">
        <v>26595.16</v>
      </c>
      <c r="E1211" s="110">
        <v>24730.16</v>
      </c>
      <c r="F1211" s="110">
        <v>24360.16</v>
      </c>
      <c r="G1211" s="110">
        <v>24227.16</v>
      </c>
      <c r="I1211" s="110">
        <v>2106.16</v>
      </c>
      <c r="J1211" s="110">
        <v>6008.16</v>
      </c>
      <c r="K1211" s="110">
        <v>7298.16</v>
      </c>
      <c r="L1211" s="110">
        <v>8003.16</v>
      </c>
    </row>
    <row r="1212" spans="1:12" x14ac:dyDescent="0.2">
      <c r="A1212" t="s">
        <v>32</v>
      </c>
      <c r="B1212" t="s">
        <v>105</v>
      </c>
      <c r="C1212" t="s">
        <v>221</v>
      </c>
      <c r="D1212" s="110">
        <v>24552.18</v>
      </c>
      <c r="E1212" s="110">
        <v>21180.18</v>
      </c>
      <c r="F1212" s="110">
        <v>20770.18</v>
      </c>
      <c r="I1212" s="110">
        <v>5323.18</v>
      </c>
      <c r="J1212" s="110">
        <v>9446.18</v>
      </c>
      <c r="K1212" s="110">
        <v>11558.18</v>
      </c>
    </row>
    <row r="1213" spans="1:12" x14ac:dyDescent="0.2">
      <c r="A1213" t="s">
        <v>32</v>
      </c>
      <c r="B1213" t="s">
        <v>105</v>
      </c>
      <c r="C1213" t="s">
        <v>222</v>
      </c>
      <c r="D1213" s="110">
        <v>32076.67</v>
      </c>
      <c r="E1213" s="110">
        <v>29856.67</v>
      </c>
      <c r="I1213" s="110">
        <v>8265.17</v>
      </c>
      <c r="J1213" s="110">
        <v>13616.17</v>
      </c>
    </row>
    <row r="1214" spans="1:12" x14ac:dyDescent="0.2">
      <c r="A1214" t="s">
        <v>32</v>
      </c>
      <c r="B1214" t="s">
        <v>105</v>
      </c>
      <c r="C1214" t="s">
        <v>223</v>
      </c>
      <c r="D1214" s="110">
        <v>27851</v>
      </c>
      <c r="I1214" s="110">
        <v>5990.5</v>
      </c>
    </row>
    <row r="1215" spans="1:12" x14ac:dyDescent="0.2">
      <c r="A1215" t="s">
        <v>32</v>
      </c>
      <c r="B1215" t="s">
        <v>111</v>
      </c>
      <c r="C1215" t="s">
        <v>220</v>
      </c>
      <c r="D1215" s="110">
        <v>7</v>
      </c>
      <c r="E1215" s="110">
        <v>7</v>
      </c>
      <c r="F1215" s="110">
        <v>7</v>
      </c>
      <c r="G1215" s="110">
        <v>7</v>
      </c>
      <c r="I1215" s="110">
        <v>7</v>
      </c>
      <c r="J1215" s="110">
        <v>7</v>
      </c>
      <c r="K1215" s="110">
        <v>7</v>
      </c>
      <c r="L1215" s="110">
        <v>7</v>
      </c>
    </row>
    <row r="1216" spans="1:12" x14ac:dyDescent="0.2">
      <c r="A1216" t="s">
        <v>32</v>
      </c>
      <c r="B1216" t="s">
        <v>111</v>
      </c>
      <c r="C1216" t="s">
        <v>221</v>
      </c>
      <c r="D1216" s="110">
        <v>235</v>
      </c>
      <c r="E1216" s="110">
        <v>235</v>
      </c>
      <c r="F1216" s="110">
        <v>7</v>
      </c>
      <c r="I1216" s="110">
        <v>0</v>
      </c>
      <c r="J1216" s="110">
        <v>0</v>
      </c>
      <c r="K1216" s="110">
        <v>7</v>
      </c>
    </row>
    <row r="1217" spans="1:12" x14ac:dyDescent="0.2">
      <c r="A1217" t="s">
        <v>32</v>
      </c>
      <c r="B1217" t="s">
        <v>111</v>
      </c>
      <c r="C1217" t="s">
        <v>222</v>
      </c>
      <c r="D1217" s="110">
        <v>63.5</v>
      </c>
      <c r="E1217" s="110">
        <v>63.5</v>
      </c>
      <c r="I1217" s="110">
        <v>63</v>
      </c>
      <c r="J1217" s="110">
        <v>63</v>
      </c>
    </row>
    <row r="1218" spans="1:12" x14ac:dyDescent="0.2">
      <c r="A1218" t="s">
        <v>32</v>
      </c>
      <c r="B1218" t="s">
        <v>111</v>
      </c>
      <c r="C1218" t="s">
        <v>223</v>
      </c>
      <c r="D1218" s="110">
        <v>865</v>
      </c>
      <c r="I1218" s="110">
        <v>0</v>
      </c>
    </row>
    <row r="1219" spans="1:12" x14ac:dyDescent="0.2">
      <c r="A1219" t="s">
        <v>32</v>
      </c>
      <c r="B1219" t="s">
        <v>109</v>
      </c>
      <c r="C1219" t="s">
        <v>220</v>
      </c>
      <c r="D1219" s="110">
        <v>22642</v>
      </c>
      <c r="E1219" s="110">
        <v>22073</v>
      </c>
      <c r="F1219" s="110">
        <v>20695</v>
      </c>
      <c r="G1219" s="110">
        <v>20695</v>
      </c>
      <c r="I1219" s="110">
        <v>8295</v>
      </c>
      <c r="J1219" s="110">
        <v>11591</v>
      </c>
      <c r="K1219" s="110">
        <v>13470</v>
      </c>
      <c r="L1219" s="110">
        <v>13778</v>
      </c>
    </row>
    <row r="1220" spans="1:12" x14ac:dyDescent="0.2">
      <c r="A1220" t="s">
        <v>32</v>
      </c>
      <c r="B1220" t="s">
        <v>109</v>
      </c>
      <c r="C1220" t="s">
        <v>221</v>
      </c>
      <c r="D1220" s="110">
        <v>49827</v>
      </c>
      <c r="E1220" s="110">
        <v>43790</v>
      </c>
      <c r="F1220" s="110">
        <v>42659</v>
      </c>
      <c r="I1220" s="110">
        <v>17730</v>
      </c>
      <c r="J1220" s="110">
        <v>25947</v>
      </c>
      <c r="K1220" s="110">
        <v>28879</v>
      </c>
    </row>
    <row r="1221" spans="1:12" x14ac:dyDescent="0.2">
      <c r="A1221" t="s">
        <v>32</v>
      </c>
      <c r="B1221" t="s">
        <v>109</v>
      </c>
      <c r="C1221" t="s">
        <v>222</v>
      </c>
      <c r="D1221" s="110">
        <v>41855</v>
      </c>
      <c r="E1221" s="110">
        <v>36265</v>
      </c>
      <c r="I1221" s="110">
        <v>14063</v>
      </c>
      <c r="J1221" s="110">
        <v>20265</v>
      </c>
    </row>
    <row r="1222" spans="1:12" x14ac:dyDescent="0.2">
      <c r="A1222" t="s">
        <v>32</v>
      </c>
      <c r="B1222" t="s">
        <v>109</v>
      </c>
      <c r="C1222" t="s">
        <v>223</v>
      </c>
      <c r="D1222" s="110">
        <v>36044</v>
      </c>
      <c r="I1222" s="110">
        <v>12887</v>
      </c>
    </row>
    <row r="1223" spans="1:12" x14ac:dyDescent="0.2">
      <c r="A1223" t="s">
        <v>32</v>
      </c>
      <c r="B1223" t="s">
        <v>106</v>
      </c>
      <c r="C1223" t="s">
        <v>220</v>
      </c>
      <c r="D1223" s="110">
        <v>30353.42</v>
      </c>
      <c r="E1223" s="110">
        <v>29866.22</v>
      </c>
      <c r="F1223" s="110">
        <v>29866.22</v>
      </c>
      <c r="G1223" s="110">
        <v>29866.22</v>
      </c>
      <c r="I1223" s="110">
        <v>29866.22</v>
      </c>
      <c r="J1223" s="110">
        <v>29866.22</v>
      </c>
      <c r="K1223" s="110">
        <v>29866.22</v>
      </c>
      <c r="L1223" s="110">
        <v>29866.22</v>
      </c>
    </row>
    <row r="1224" spans="1:12" x14ac:dyDescent="0.2">
      <c r="A1224" t="s">
        <v>32</v>
      </c>
      <c r="B1224" t="s">
        <v>106</v>
      </c>
      <c r="C1224" t="s">
        <v>221</v>
      </c>
      <c r="D1224" s="110">
        <v>55868.15</v>
      </c>
      <c r="E1224" s="110">
        <v>55868.15</v>
      </c>
      <c r="F1224" s="110">
        <v>55868.15</v>
      </c>
      <c r="I1224" s="110">
        <v>55718.15</v>
      </c>
      <c r="J1224" s="110">
        <v>55768.15</v>
      </c>
      <c r="K1224" s="110">
        <v>55793.15</v>
      </c>
    </row>
    <row r="1225" spans="1:12" x14ac:dyDescent="0.2">
      <c r="A1225" t="s">
        <v>32</v>
      </c>
      <c r="B1225" t="s">
        <v>106</v>
      </c>
      <c r="C1225" t="s">
        <v>222</v>
      </c>
      <c r="D1225" s="110">
        <v>103992</v>
      </c>
      <c r="E1225" s="110">
        <v>103492</v>
      </c>
      <c r="I1225" s="110">
        <v>100597</v>
      </c>
      <c r="J1225" s="110">
        <v>103492</v>
      </c>
    </row>
    <row r="1226" spans="1:12" x14ac:dyDescent="0.2">
      <c r="A1226" t="s">
        <v>32</v>
      </c>
      <c r="B1226" t="s">
        <v>106</v>
      </c>
      <c r="C1226" t="s">
        <v>223</v>
      </c>
      <c r="D1226" s="110">
        <v>101213.2</v>
      </c>
      <c r="I1226" s="110">
        <v>99578.2</v>
      </c>
    </row>
    <row r="1227" spans="1:12" x14ac:dyDescent="0.2">
      <c r="A1227" t="s">
        <v>32</v>
      </c>
      <c r="B1227" t="s">
        <v>107</v>
      </c>
      <c r="C1227" t="s">
        <v>220</v>
      </c>
      <c r="D1227" s="110">
        <v>40811.769999999997</v>
      </c>
      <c r="E1227" s="110">
        <v>40811.769999999997</v>
      </c>
      <c r="F1227" s="110">
        <v>40811.769999999997</v>
      </c>
      <c r="G1227" s="110">
        <v>40811.769999999997</v>
      </c>
      <c r="I1227" s="110">
        <v>40801.769999999997</v>
      </c>
      <c r="J1227" s="110">
        <v>40801.769999999997</v>
      </c>
      <c r="K1227" s="110">
        <v>40801.769999999997</v>
      </c>
      <c r="L1227" s="110">
        <v>40801.769999999997</v>
      </c>
    </row>
    <row r="1228" spans="1:12" x14ac:dyDescent="0.2">
      <c r="A1228" t="s">
        <v>32</v>
      </c>
      <c r="B1228" t="s">
        <v>107</v>
      </c>
      <c r="C1228" t="s">
        <v>221</v>
      </c>
      <c r="D1228" s="110">
        <v>50353.14</v>
      </c>
      <c r="E1228" s="110">
        <v>50353.14</v>
      </c>
      <c r="F1228" s="110">
        <v>50353.14</v>
      </c>
      <c r="I1228" s="110">
        <v>50353.14</v>
      </c>
      <c r="J1228" s="110">
        <v>50353.14</v>
      </c>
      <c r="K1228" s="110">
        <v>50353.14</v>
      </c>
    </row>
    <row r="1229" spans="1:12" x14ac:dyDescent="0.2">
      <c r="A1229" t="s">
        <v>32</v>
      </c>
      <c r="B1229" t="s">
        <v>107</v>
      </c>
      <c r="C1229" t="s">
        <v>222</v>
      </c>
      <c r="D1229" s="110">
        <v>57711.25</v>
      </c>
      <c r="E1229" s="110">
        <v>57711.25</v>
      </c>
      <c r="I1229" s="110">
        <v>57126.25</v>
      </c>
      <c r="J1229" s="110">
        <v>57711.25</v>
      </c>
    </row>
    <row r="1230" spans="1:12" x14ac:dyDescent="0.2">
      <c r="A1230" t="s">
        <v>32</v>
      </c>
      <c r="B1230" t="s">
        <v>107</v>
      </c>
      <c r="C1230" t="s">
        <v>223</v>
      </c>
      <c r="D1230" s="110">
        <v>59132</v>
      </c>
      <c r="I1230" s="110">
        <v>58767</v>
      </c>
    </row>
    <row r="1231" spans="1:12" x14ac:dyDescent="0.2">
      <c r="A1231" t="s">
        <v>32</v>
      </c>
      <c r="B1231" t="s">
        <v>108</v>
      </c>
      <c r="C1231" t="s">
        <v>220</v>
      </c>
      <c r="D1231" s="110">
        <v>13606</v>
      </c>
      <c r="E1231" s="110">
        <v>13606</v>
      </c>
      <c r="F1231" s="110">
        <v>13606</v>
      </c>
      <c r="G1231" s="110">
        <v>13206</v>
      </c>
      <c r="I1231" s="110">
        <v>13206</v>
      </c>
      <c r="J1231" s="110">
        <v>13206</v>
      </c>
      <c r="K1231" s="110">
        <v>13206</v>
      </c>
      <c r="L1231" s="110">
        <v>13206</v>
      </c>
    </row>
    <row r="1232" spans="1:12" x14ac:dyDescent="0.2">
      <c r="A1232" t="s">
        <v>32</v>
      </c>
      <c r="B1232" t="s">
        <v>108</v>
      </c>
      <c r="C1232" t="s">
        <v>221</v>
      </c>
      <c r="D1232" s="110">
        <v>20998.1</v>
      </c>
      <c r="E1232" s="110">
        <v>20998.1</v>
      </c>
      <c r="F1232" s="110">
        <v>20998.1</v>
      </c>
      <c r="I1232" s="110">
        <v>20598.099999999999</v>
      </c>
      <c r="J1232" s="110">
        <v>20998.1</v>
      </c>
      <c r="K1232" s="110">
        <v>20998.1</v>
      </c>
    </row>
    <row r="1233" spans="1:12" x14ac:dyDescent="0.2">
      <c r="A1233" t="s">
        <v>32</v>
      </c>
      <c r="B1233" t="s">
        <v>108</v>
      </c>
      <c r="C1233" t="s">
        <v>222</v>
      </c>
      <c r="D1233" s="110">
        <v>14522.28</v>
      </c>
      <c r="E1233" s="110">
        <v>14522.28</v>
      </c>
      <c r="I1233" s="110">
        <v>14266.28</v>
      </c>
      <c r="J1233" s="110">
        <v>14266.28</v>
      </c>
    </row>
    <row r="1234" spans="1:12" x14ac:dyDescent="0.2">
      <c r="A1234" t="s">
        <v>32</v>
      </c>
      <c r="B1234" t="s">
        <v>108</v>
      </c>
      <c r="C1234" t="s">
        <v>223</v>
      </c>
      <c r="D1234" s="110">
        <v>30545.81</v>
      </c>
      <c r="I1234" s="110">
        <v>29080.81</v>
      </c>
    </row>
    <row r="1235" spans="1:12" x14ac:dyDescent="0.2">
      <c r="A1235" t="s">
        <v>32</v>
      </c>
      <c r="B1235" t="s">
        <v>70</v>
      </c>
      <c r="C1235" t="s">
        <v>220</v>
      </c>
      <c r="D1235" s="110">
        <v>18764</v>
      </c>
      <c r="E1235" s="110">
        <v>18764</v>
      </c>
      <c r="F1235" s="110">
        <v>18764</v>
      </c>
      <c r="G1235" s="110">
        <v>18764</v>
      </c>
      <c r="I1235" s="110">
        <v>18764</v>
      </c>
      <c r="J1235" s="110">
        <v>18764</v>
      </c>
      <c r="K1235" s="110">
        <v>18764</v>
      </c>
      <c r="L1235" s="110">
        <v>18764</v>
      </c>
    </row>
    <row r="1236" spans="1:12" x14ac:dyDescent="0.2">
      <c r="A1236" t="s">
        <v>32</v>
      </c>
      <c r="B1236" t="s">
        <v>70</v>
      </c>
      <c r="C1236" t="s">
        <v>221</v>
      </c>
      <c r="D1236" s="110">
        <v>26428</v>
      </c>
      <c r="E1236" s="110">
        <v>26428</v>
      </c>
      <c r="F1236" s="110">
        <v>26428</v>
      </c>
      <c r="I1236" s="110">
        <v>25943</v>
      </c>
      <c r="J1236" s="110">
        <v>26343</v>
      </c>
      <c r="K1236" s="110">
        <v>26368</v>
      </c>
    </row>
    <row r="1237" spans="1:12" x14ac:dyDescent="0.2">
      <c r="A1237" t="s">
        <v>32</v>
      </c>
      <c r="B1237" t="s">
        <v>70</v>
      </c>
      <c r="C1237" t="s">
        <v>222</v>
      </c>
      <c r="D1237" s="110">
        <v>23652</v>
      </c>
      <c r="E1237" s="110">
        <v>23652</v>
      </c>
      <c r="I1237" s="110">
        <v>23652</v>
      </c>
      <c r="J1237" s="110">
        <v>23652</v>
      </c>
    </row>
    <row r="1238" spans="1:12" x14ac:dyDescent="0.2">
      <c r="A1238" t="s">
        <v>32</v>
      </c>
      <c r="B1238" t="s">
        <v>70</v>
      </c>
      <c r="C1238" t="s">
        <v>223</v>
      </c>
      <c r="D1238" s="110">
        <v>21686</v>
      </c>
      <c r="I1238" s="110">
        <v>21686</v>
      </c>
    </row>
    <row r="1239" spans="1:12" x14ac:dyDescent="0.2">
      <c r="A1239" t="s">
        <v>32</v>
      </c>
      <c r="B1239" t="s">
        <v>110</v>
      </c>
      <c r="C1239" t="s">
        <v>220</v>
      </c>
      <c r="D1239" s="110">
        <v>184258.25</v>
      </c>
      <c r="E1239" s="110">
        <v>175250.7</v>
      </c>
      <c r="F1239" s="110">
        <v>174910.7</v>
      </c>
      <c r="G1239" s="110">
        <v>175163.7</v>
      </c>
      <c r="I1239" s="110">
        <v>81464.25</v>
      </c>
      <c r="J1239" s="110">
        <v>142168.1</v>
      </c>
      <c r="K1239" s="110">
        <v>149879.1</v>
      </c>
      <c r="L1239" s="110">
        <v>152788.1</v>
      </c>
    </row>
    <row r="1240" spans="1:12" x14ac:dyDescent="0.2">
      <c r="A1240" t="s">
        <v>32</v>
      </c>
      <c r="B1240" t="s">
        <v>110</v>
      </c>
      <c r="C1240" t="s">
        <v>221</v>
      </c>
      <c r="D1240" s="110">
        <v>221953.26</v>
      </c>
      <c r="E1240" s="110">
        <v>219152.21</v>
      </c>
      <c r="F1240" s="110">
        <v>218763.21</v>
      </c>
      <c r="I1240" s="110">
        <v>117134.35</v>
      </c>
      <c r="J1240" s="110">
        <v>177938.26</v>
      </c>
      <c r="K1240" s="110">
        <v>186381.41</v>
      </c>
    </row>
    <row r="1241" spans="1:12" x14ac:dyDescent="0.2">
      <c r="A1241" t="s">
        <v>32</v>
      </c>
      <c r="B1241" t="s">
        <v>110</v>
      </c>
      <c r="C1241" t="s">
        <v>222</v>
      </c>
      <c r="D1241" s="110">
        <v>274289.15000000002</v>
      </c>
      <c r="E1241" s="110">
        <v>266618.45</v>
      </c>
      <c r="I1241" s="110">
        <v>132890.15</v>
      </c>
      <c r="J1241" s="110">
        <v>215632.66</v>
      </c>
    </row>
    <row r="1242" spans="1:12" x14ac:dyDescent="0.2">
      <c r="A1242" t="s">
        <v>32</v>
      </c>
      <c r="B1242" t="s">
        <v>110</v>
      </c>
      <c r="C1242" t="s">
        <v>223</v>
      </c>
      <c r="D1242" s="110">
        <v>295074.84999999998</v>
      </c>
      <c r="I1242" s="110">
        <v>144002.35</v>
      </c>
    </row>
    <row r="1243" spans="1:12" x14ac:dyDescent="0.2">
      <c r="A1243" t="s">
        <v>33</v>
      </c>
      <c r="B1243" t="s">
        <v>104</v>
      </c>
      <c r="C1243" t="s">
        <v>220</v>
      </c>
      <c r="D1243" s="110">
        <v>22788</v>
      </c>
      <c r="E1243" s="110">
        <v>22788</v>
      </c>
      <c r="F1243" s="110">
        <v>22337.73</v>
      </c>
      <c r="G1243" s="110">
        <v>22337.73</v>
      </c>
      <c r="I1243" s="110">
        <v>2269</v>
      </c>
      <c r="J1243" s="110">
        <v>3399.36</v>
      </c>
      <c r="K1243" s="110">
        <v>3767.69</v>
      </c>
      <c r="L1243" s="110">
        <v>4214</v>
      </c>
    </row>
    <row r="1244" spans="1:12" x14ac:dyDescent="0.2">
      <c r="A1244" t="s">
        <v>33</v>
      </c>
      <c r="B1244" t="s">
        <v>104</v>
      </c>
      <c r="C1244" t="s">
        <v>221</v>
      </c>
      <c r="D1244" s="110">
        <v>22804.75</v>
      </c>
      <c r="E1244" s="110">
        <v>22315.75</v>
      </c>
      <c r="F1244" s="110">
        <v>22315.75</v>
      </c>
      <c r="I1244" s="110">
        <v>143.47999999999999</v>
      </c>
      <c r="J1244" s="110">
        <v>1492.45</v>
      </c>
      <c r="K1244" s="110">
        <v>2538</v>
      </c>
    </row>
    <row r="1245" spans="1:12" x14ac:dyDescent="0.2">
      <c r="A1245" t="s">
        <v>33</v>
      </c>
      <c r="B1245" t="s">
        <v>104</v>
      </c>
      <c r="C1245" t="s">
        <v>222</v>
      </c>
      <c r="D1245" s="110">
        <v>17803.25</v>
      </c>
      <c r="E1245" s="110">
        <v>17803.25</v>
      </c>
      <c r="I1245" s="110">
        <v>240.47</v>
      </c>
      <c r="J1245" s="110">
        <v>836</v>
      </c>
    </row>
    <row r="1246" spans="1:12" x14ac:dyDescent="0.2">
      <c r="A1246" t="s">
        <v>33</v>
      </c>
      <c r="B1246" t="s">
        <v>104</v>
      </c>
      <c r="C1246" t="s">
        <v>223</v>
      </c>
      <c r="D1246" s="110">
        <v>26378</v>
      </c>
      <c r="I1246" s="110">
        <v>1804</v>
      </c>
    </row>
    <row r="1247" spans="1:12" x14ac:dyDescent="0.2">
      <c r="A1247" t="s">
        <v>33</v>
      </c>
      <c r="B1247" t="s">
        <v>140</v>
      </c>
      <c r="C1247" t="s">
        <v>220</v>
      </c>
      <c r="D1247" s="110">
        <v>0</v>
      </c>
      <c r="E1247" s="110">
        <v>0</v>
      </c>
      <c r="F1247" s="110">
        <v>0</v>
      </c>
      <c r="I1247" s="110">
        <v>0</v>
      </c>
      <c r="J1247" s="110">
        <v>0</v>
      </c>
      <c r="K1247" s="110">
        <v>0</v>
      </c>
    </row>
    <row r="1248" spans="1:12" x14ac:dyDescent="0.2">
      <c r="A1248" t="s">
        <v>33</v>
      </c>
      <c r="B1248" t="s">
        <v>140</v>
      </c>
      <c r="C1248" t="s">
        <v>221</v>
      </c>
      <c r="D1248" s="110">
        <v>0</v>
      </c>
      <c r="E1248" s="110">
        <v>0</v>
      </c>
      <c r="I1248" s="110">
        <v>0</v>
      </c>
      <c r="J1248" s="110">
        <v>0</v>
      </c>
    </row>
    <row r="1249" spans="1:12" x14ac:dyDescent="0.2">
      <c r="A1249" t="s">
        <v>33</v>
      </c>
      <c r="B1249" t="s">
        <v>140</v>
      </c>
      <c r="C1249" t="s">
        <v>222</v>
      </c>
      <c r="D1249" s="110">
        <v>0</v>
      </c>
      <c r="I1249" s="110">
        <v>0</v>
      </c>
    </row>
    <row r="1250" spans="1:12" x14ac:dyDescent="0.2">
      <c r="A1250" t="s">
        <v>33</v>
      </c>
      <c r="B1250" t="s">
        <v>140</v>
      </c>
      <c r="C1250" t="s">
        <v>223</v>
      </c>
    </row>
    <row r="1251" spans="1:12" x14ac:dyDescent="0.2">
      <c r="A1251" t="s">
        <v>33</v>
      </c>
      <c r="B1251" t="s">
        <v>105</v>
      </c>
      <c r="C1251" t="s">
        <v>220</v>
      </c>
      <c r="D1251" s="110">
        <v>7451</v>
      </c>
      <c r="E1251" s="110">
        <v>7451</v>
      </c>
      <c r="F1251" s="110">
        <v>7450</v>
      </c>
      <c r="G1251" s="110">
        <v>7450</v>
      </c>
      <c r="I1251" s="110">
        <v>1170</v>
      </c>
      <c r="J1251" s="110">
        <v>2491</v>
      </c>
      <c r="K1251" s="110">
        <v>4044</v>
      </c>
      <c r="L1251" s="110">
        <v>4204</v>
      </c>
    </row>
    <row r="1252" spans="1:12" x14ac:dyDescent="0.2">
      <c r="A1252" t="s">
        <v>33</v>
      </c>
      <c r="B1252" t="s">
        <v>105</v>
      </c>
      <c r="C1252" t="s">
        <v>221</v>
      </c>
      <c r="D1252" s="110">
        <v>14481</v>
      </c>
      <c r="E1252" s="110">
        <v>12517</v>
      </c>
      <c r="F1252" s="110">
        <v>12517</v>
      </c>
      <c r="I1252" s="110">
        <v>2392</v>
      </c>
      <c r="J1252" s="110">
        <v>4495</v>
      </c>
      <c r="K1252" s="110">
        <v>5378</v>
      </c>
    </row>
    <row r="1253" spans="1:12" x14ac:dyDescent="0.2">
      <c r="A1253" t="s">
        <v>33</v>
      </c>
      <c r="B1253" t="s">
        <v>105</v>
      </c>
      <c r="C1253" t="s">
        <v>222</v>
      </c>
      <c r="D1253" s="110">
        <v>17376</v>
      </c>
      <c r="E1253" s="110">
        <v>16068</v>
      </c>
      <c r="I1253" s="110">
        <v>4034.75</v>
      </c>
      <c r="J1253" s="110">
        <v>7692</v>
      </c>
    </row>
    <row r="1254" spans="1:12" x14ac:dyDescent="0.2">
      <c r="A1254" t="s">
        <v>33</v>
      </c>
      <c r="B1254" t="s">
        <v>105</v>
      </c>
      <c r="C1254" t="s">
        <v>223</v>
      </c>
      <c r="D1254" s="110">
        <v>14391</v>
      </c>
      <c r="I1254" s="110">
        <v>1703</v>
      </c>
    </row>
    <row r="1255" spans="1:12" x14ac:dyDescent="0.2">
      <c r="A1255" t="s">
        <v>33</v>
      </c>
      <c r="B1255" t="s">
        <v>111</v>
      </c>
      <c r="C1255" t="s">
        <v>220</v>
      </c>
      <c r="D1255" s="110">
        <v>0</v>
      </c>
      <c r="E1255" s="110">
        <v>0</v>
      </c>
      <c r="F1255" s="110">
        <v>0</v>
      </c>
      <c r="G1255" s="110">
        <v>0</v>
      </c>
      <c r="I1255" s="110">
        <v>0</v>
      </c>
      <c r="J1255" s="110">
        <v>0</v>
      </c>
      <c r="K1255" s="110">
        <v>0</v>
      </c>
      <c r="L1255" s="110">
        <v>0</v>
      </c>
    </row>
    <row r="1256" spans="1:12" x14ac:dyDescent="0.2">
      <c r="A1256" t="s">
        <v>33</v>
      </c>
      <c r="B1256" t="s">
        <v>111</v>
      </c>
      <c r="C1256" t="s">
        <v>221</v>
      </c>
      <c r="D1256" s="110">
        <v>0</v>
      </c>
      <c r="E1256" s="110">
        <v>0</v>
      </c>
      <c r="F1256" s="110">
        <v>0</v>
      </c>
      <c r="I1256" s="110">
        <v>0</v>
      </c>
      <c r="J1256" s="110">
        <v>0</v>
      </c>
      <c r="K1256" s="110">
        <v>0</v>
      </c>
    </row>
    <row r="1257" spans="1:12" x14ac:dyDescent="0.2">
      <c r="A1257" t="s">
        <v>33</v>
      </c>
      <c r="B1257" t="s">
        <v>111</v>
      </c>
      <c r="C1257" t="s">
        <v>222</v>
      </c>
      <c r="E1257" s="110">
        <v>0</v>
      </c>
      <c r="J1257" s="110">
        <v>0</v>
      </c>
    </row>
    <row r="1258" spans="1:12" x14ac:dyDescent="0.2">
      <c r="A1258" t="s">
        <v>33</v>
      </c>
      <c r="B1258" t="s">
        <v>111</v>
      </c>
      <c r="C1258" t="s">
        <v>223</v>
      </c>
      <c r="D1258" s="110">
        <v>0</v>
      </c>
      <c r="I1258" s="110">
        <v>0</v>
      </c>
    </row>
    <row r="1259" spans="1:12" x14ac:dyDescent="0.2">
      <c r="A1259" t="s">
        <v>33</v>
      </c>
      <c r="B1259" t="s">
        <v>109</v>
      </c>
      <c r="C1259" t="s">
        <v>220</v>
      </c>
      <c r="D1259" s="110">
        <v>13902</v>
      </c>
      <c r="E1259" s="110">
        <v>13356</v>
      </c>
      <c r="F1259" s="110">
        <v>12997</v>
      </c>
      <c r="G1259" s="110">
        <v>12997</v>
      </c>
      <c r="I1259" s="110">
        <v>5699</v>
      </c>
      <c r="J1259" s="110">
        <v>7986</v>
      </c>
      <c r="K1259" s="110">
        <v>8707</v>
      </c>
      <c r="L1259" s="110">
        <v>9085</v>
      </c>
    </row>
    <row r="1260" spans="1:12" x14ac:dyDescent="0.2">
      <c r="A1260" t="s">
        <v>33</v>
      </c>
      <c r="B1260" t="s">
        <v>109</v>
      </c>
      <c r="C1260" t="s">
        <v>221</v>
      </c>
      <c r="D1260" s="110">
        <v>11717</v>
      </c>
      <c r="E1260" s="110">
        <v>11717</v>
      </c>
      <c r="F1260" s="110">
        <v>11717</v>
      </c>
      <c r="I1260" s="110">
        <v>1076</v>
      </c>
      <c r="J1260" s="110">
        <v>2268</v>
      </c>
      <c r="K1260" s="110">
        <v>6223</v>
      </c>
    </row>
    <row r="1261" spans="1:12" x14ac:dyDescent="0.2">
      <c r="A1261" t="s">
        <v>33</v>
      </c>
      <c r="B1261" t="s">
        <v>109</v>
      </c>
      <c r="C1261" t="s">
        <v>222</v>
      </c>
      <c r="D1261" s="110">
        <v>16101</v>
      </c>
      <c r="E1261" s="110">
        <v>13551</v>
      </c>
      <c r="I1261" s="110">
        <v>2616</v>
      </c>
      <c r="J1261" s="110">
        <v>4823</v>
      </c>
    </row>
    <row r="1262" spans="1:12" x14ac:dyDescent="0.2">
      <c r="A1262" t="s">
        <v>33</v>
      </c>
      <c r="B1262" t="s">
        <v>109</v>
      </c>
      <c r="C1262" t="s">
        <v>223</v>
      </c>
      <c r="D1262" s="110">
        <v>16854</v>
      </c>
      <c r="I1262" s="110">
        <v>2301</v>
      </c>
    </row>
    <row r="1263" spans="1:12" x14ac:dyDescent="0.2">
      <c r="A1263" t="s">
        <v>33</v>
      </c>
      <c r="B1263" t="s">
        <v>106</v>
      </c>
      <c r="C1263" t="s">
        <v>220</v>
      </c>
      <c r="D1263" s="110">
        <v>11747</v>
      </c>
      <c r="E1263" s="110">
        <v>11747</v>
      </c>
      <c r="F1263" s="110">
        <v>11747</v>
      </c>
      <c r="G1263" s="110">
        <v>11747</v>
      </c>
      <c r="I1263" s="110">
        <v>10947</v>
      </c>
      <c r="J1263" s="110">
        <v>10947</v>
      </c>
      <c r="K1263" s="110">
        <v>10947</v>
      </c>
      <c r="L1263" s="110">
        <v>10947</v>
      </c>
    </row>
    <row r="1264" spans="1:12" x14ac:dyDescent="0.2">
      <c r="A1264" t="s">
        <v>33</v>
      </c>
      <c r="B1264" t="s">
        <v>106</v>
      </c>
      <c r="C1264" t="s">
        <v>221</v>
      </c>
      <c r="D1264" s="110">
        <v>11033</v>
      </c>
      <c r="E1264" s="110">
        <v>11033</v>
      </c>
      <c r="F1264" s="110">
        <v>11033</v>
      </c>
      <c r="I1264" s="110">
        <v>9982</v>
      </c>
      <c r="J1264" s="110">
        <v>10433</v>
      </c>
      <c r="K1264" s="110">
        <v>10433</v>
      </c>
    </row>
    <row r="1265" spans="1:12" x14ac:dyDescent="0.2">
      <c r="A1265" t="s">
        <v>33</v>
      </c>
      <c r="B1265" t="s">
        <v>106</v>
      </c>
      <c r="C1265" t="s">
        <v>222</v>
      </c>
      <c r="D1265" s="110">
        <v>14616</v>
      </c>
      <c r="E1265" s="110">
        <v>14616</v>
      </c>
      <c r="I1265" s="110">
        <v>12986</v>
      </c>
      <c r="J1265" s="110">
        <v>14216</v>
      </c>
    </row>
    <row r="1266" spans="1:12" x14ac:dyDescent="0.2">
      <c r="A1266" t="s">
        <v>33</v>
      </c>
      <c r="B1266" t="s">
        <v>106</v>
      </c>
      <c r="C1266" t="s">
        <v>223</v>
      </c>
      <c r="D1266" s="110">
        <v>12415</v>
      </c>
      <c r="I1266" s="110">
        <v>11965</v>
      </c>
    </row>
    <row r="1267" spans="1:12" x14ac:dyDescent="0.2">
      <c r="A1267" t="s">
        <v>33</v>
      </c>
      <c r="B1267" t="s">
        <v>107</v>
      </c>
      <c r="C1267" t="s">
        <v>220</v>
      </c>
      <c r="D1267" s="110">
        <v>5236</v>
      </c>
      <c r="E1267" s="110">
        <v>5236</v>
      </c>
      <c r="F1267" s="110">
        <v>5236</v>
      </c>
      <c r="G1267" s="110">
        <v>5236</v>
      </c>
      <c r="I1267" s="110">
        <v>4926</v>
      </c>
      <c r="J1267" s="110">
        <v>5236</v>
      </c>
      <c r="K1267" s="110">
        <v>5236</v>
      </c>
      <c r="L1267" s="110">
        <v>5236</v>
      </c>
    </row>
    <row r="1268" spans="1:12" x14ac:dyDescent="0.2">
      <c r="A1268" t="s">
        <v>33</v>
      </c>
      <c r="B1268" t="s">
        <v>107</v>
      </c>
      <c r="C1268" t="s">
        <v>221</v>
      </c>
      <c r="D1268" s="110">
        <v>9505</v>
      </c>
      <c r="E1268" s="110">
        <v>9505</v>
      </c>
      <c r="F1268" s="110">
        <v>9505</v>
      </c>
      <c r="I1268" s="110">
        <v>9010</v>
      </c>
      <c r="J1268" s="110">
        <v>9320</v>
      </c>
      <c r="K1268" s="110">
        <v>9320</v>
      </c>
    </row>
    <row r="1269" spans="1:12" x14ac:dyDescent="0.2">
      <c r="A1269" t="s">
        <v>33</v>
      </c>
      <c r="B1269" t="s">
        <v>107</v>
      </c>
      <c r="C1269" t="s">
        <v>222</v>
      </c>
      <c r="D1269" s="110">
        <v>12030</v>
      </c>
      <c r="E1269" s="110">
        <v>12030</v>
      </c>
      <c r="I1269" s="110">
        <v>12030</v>
      </c>
      <c r="J1269" s="110">
        <v>12030</v>
      </c>
    </row>
    <row r="1270" spans="1:12" x14ac:dyDescent="0.2">
      <c r="A1270" t="s">
        <v>33</v>
      </c>
      <c r="B1270" t="s">
        <v>107</v>
      </c>
      <c r="C1270" t="s">
        <v>223</v>
      </c>
      <c r="D1270" s="110">
        <v>12225</v>
      </c>
      <c r="I1270" s="110">
        <v>11915</v>
      </c>
    </row>
    <row r="1271" spans="1:12" x14ac:dyDescent="0.2">
      <c r="A1271" t="s">
        <v>33</v>
      </c>
      <c r="B1271" t="s">
        <v>108</v>
      </c>
      <c r="C1271" t="s">
        <v>220</v>
      </c>
      <c r="D1271" s="110">
        <v>5382</v>
      </c>
      <c r="E1271" s="110">
        <v>5382</v>
      </c>
      <c r="F1271" s="110">
        <v>5382</v>
      </c>
      <c r="G1271" s="110">
        <v>5382</v>
      </c>
      <c r="I1271" s="110">
        <v>5382</v>
      </c>
      <c r="J1271" s="110">
        <v>5382</v>
      </c>
      <c r="K1271" s="110">
        <v>5382</v>
      </c>
      <c r="L1271" s="110">
        <v>5382</v>
      </c>
    </row>
    <row r="1272" spans="1:12" x14ac:dyDescent="0.2">
      <c r="A1272" t="s">
        <v>33</v>
      </c>
      <c r="B1272" t="s">
        <v>108</v>
      </c>
      <c r="C1272" t="s">
        <v>221</v>
      </c>
      <c r="D1272" s="110">
        <v>4929</v>
      </c>
      <c r="E1272" s="110">
        <v>4929</v>
      </c>
      <c r="F1272" s="110">
        <v>4929</v>
      </c>
      <c r="I1272" s="110">
        <v>4929</v>
      </c>
      <c r="J1272" s="110">
        <v>4929</v>
      </c>
      <c r="K1272" s="110">
        <v>4929</v>
      </c>
    </row>
    <row r="1273" spans="1:12" x14ac:dyDescent="0.2">
      <c r="A1273" t="s">
        <v>33</v>
      </c>
      <c r="B1273" t="s">
        <v>108</v>
      </c>
      <c r="C1273" t="s">
        <v>222</v>
      </c>
      <c r="D1273" s="110">
        <v>4297</v>
      </c>
      <c r="E1273" s="110">
        <v>4297</v>
      </c>
      <c r="I1273" s="110">
        <v>4297</v>
      </c>
      <c r="J1273" s="110">
        <v>4297</v>
      </c>
    </row>
    <row r="1274" spans="1:12" x14ac:dyDescent="0.2">
      <c r="A1274" t="s">
        <v>33</v>
      </c>
      <c r="B1274" t="s">
        <v>108</v>
      </c>
      <c r="C1274" t="s">
        <v>223</v>
      </c>
      <c r="D1274" s="110">
        <v>6917</v>
      </c>
      <c r="I1274" s="110">
        <v>6917</v>
      </c>
    </row>
    <row r="1275" spans="1:12" x14ac:dyDescent="0.2">
      <c r="A1275" t="s">
        <v>33</v>
      </c>
      <c r="B1275" t="s">
        <v>70</v>
      </c>
      <c r="C1275" t="s">
        <v>220</v>
      </c>
      <c r="D1275" s="110">
        <v>2784</v>
      </c>
      <c r="E1275" s="110">
        <v>2784</v>
      </c>
      <c r="F1275" s="110">
        <v>2784</v>
      </c>
      <c r="G1275" s="110">
        <v>2784</v>
      </c>
      <c r="I1275" s="110">
        <v>2784</v>
      </c>
      <c r="J1275" s="110">
        <v>2784</v>
      </c>
      <c r="K1275" s="110">
        <v>2784</v>
      </c>
      <c r="L1275" s="110">
        <v>2784</v>
      </c>
    </row>
    <row r="1276" spans="1:12" x14ac:dyDescent="0.2">
      <c r="A1276" t="s">
        <v>33</v>
      </c>
      <c r="B1276" t="s">
        <v>70</v>
      </c>
      <c r="C1276" t="s">
        <v>221</v>
      </c>
      <c r="D1276" s="110">
        <v>4942</v>
      </c>
      <c r="E1276" s="110">
        <v>4942</v>
      </c>
      <c r="F1276" s="110">
        <v>4942</v>
      </c>
      <c r="I1276" s="110">
        <v>4942</v>
      </c>
      <c r="J1276" s="110">
        <v>4942</v>
      </c>
      <c r="K1276" s="110">
        <v>4942</v>
      </c>
    </row>
    <row r="1277" spans="1:12" x14ac:dyDescent="0.2">
      <c r="A1277" t="s">
        <v>33</v>
      </c>
      <c r="B1277" t="s">
        <v>70</v>
      </c>
      <c r="C1277" t="s">
        <v>222</v>
      </c>
      <c r="D1277" s="110">
        <v>8263</v>
      </c>
      <c r="E1277" s="110">
        <v>8263</v>
      </c>
      <c r="I1277" s="110">
        <v>7447</v>
      </c>
      <c r="J1277" s="110">
        <v>7447</v>
      </c>
    </row>
    <row r="1278" spans="1:12" x14ac:dyDescent="0.2">
      <c r="A1278" t="s">
        <v>33</v>
      </c>
      <c r="B1278" t="s">
        <v>70</v>
      </c>
      <c r="C1278" t="s">
        <v>223</v>
      </c>
      <c r="D1278" s="110">
        <v>7126</v>
      </c>
      <c r="I1278" s="110">
        <v>6718</v>
      </c>
    </row>
    <row r="1279" spans="1:12" x14ac:dyDescent="0.2">
      <c r="A1279" t="s">
        <v>33</v>
      </c>
      <c r="B1279" t="s">
        <v>110</v>
      </c>
      <c r="C1279" t="s">
        <v>220</v>
      </c>
      <c r="D1279" s="110">
        <v>82941</v>
      </c>
      <c r="E1279" s="110">
        <v>82941</v>
      </c>
      <c r="F1279" s="110">
        <v>82941</v>
      </c>
      <c r="G1279" s="110">
        <v>82941</v>
      </c>
      <c r="I1279" s="110">
        <v>39097</v>
      </c>
      <c r="J1279" s="110">
        <v>66962</v>
      </c>
      <c r="K1279" s="110">
        <v>74323</v>
      </c>
      <c r="L1279" s="110">
        <v>74774</v>
      </c>
    </row>
    <row r="1280" spans="1:12" x14ac:dyDescent="0.2">
      <c r="A1280" t="s">
        <v>33</v>
      </c>
      <c r="B1280" t="s">
        <v>110</v>
      </c>
      <c r="C1280" t="s">
        <v>221</v>
      </c>
      <c r="D1280" s="110">
        <v>162094</v>
      </c>
      <c r="E1280" s="110">
        <v>159417</v>
      </c>
      <c r="F1280" s="110">
        <v>158026</v>
      </c>
      <c r="I1280" s="110">
        <v>66812</v>
      </c>
      <c r="J1280" s="110">
        <v>128836</v>
      </c>
      <c r="K1280" s="110">
        <v>139043</v>
      </c>
    </row>
    <row r="1281" spans="1:12" x14ac:dyDescent="0.2">
      <c r="A1281" t="s">
        <v>33</v>
      </c>
      <c r="B1281" t="s">
        <v>110</v>
      </c>
      <c r="C1281" t="s">
        <v>222</v>
      </c>
      <c r="D1281" s="110">
        <v>194767</v>
      </c>
      <c r="E1281" s="110">
        <v>191701</v>
      </c>
      <c r="I1281" s="110">
        <v>96036</v>
      </c>
      <c r="J1281" s="110">
        <v>150357</v>
      </c>
    </row>
    <row r="1282" spans="1:12" x14ac:dyDescent="0.2">
      <c r="A1282" t="s">
        <v>33</v>
      </c>
      <c r="B1282" t="s">
        <v>110</v>
      </c>
      <c r="C1282" t="s">
        <v>223</v>
      </c>
      <c r="D1282" s="110">
        <v>166832</v>
      </c>
      <c r="I1282" s="110">
        <v>81196</v>
      </c>
    </row>
    <row r="1283" spans="1:12" x14ac:dyDescent="0.2">
      <c r="A1283" t="s">
        <v>34</v>
      </c>
      <c r="B1283" t="s">
        <v>104</v>
      </c>
      <c r="C1283" t="s">
        <v>220</v>
      </c>
      <c r="D1283" s="110">
        <v>62803.62</v>
      </c>
      <c r="E1283" s="110">
        <v>62173.62</v>
      </c>
      <c r="F1283" s="110">
        <v>63463.62</v>
      </c>
      <c r="G1283" s="110">
        <v>63463.62</v>
      </c>
      <c r="I1283" s="110">
        <v>564.89</v>
      </c>
      <c r="J1283" s="110">
        <v>1002.39</v>
      </c>
      <c r="K1283" s="110">
        <v>1424.78</v>
      </c>
      <c r="L1283" s="110">
        <v>1742.25</v>
      </c>
    </row>
    <row r="1284" spans="1:12" x14ac:dyDescent="0.2">
      <c r="A1284" t="s">
        <v>34</v>
      </c>
      <c r="B1284" t="s">
        <v>104</v>
      </c>
      <c r="C1284" t="s">
        <v>221</v>
      </c>
      <c r="D1284" s="110">
        <v>69769</v>
      </c>
      <c r="E1284" s="110">
        <v>78869</v>
      </c>
      <c r="F1284" s="110">
        <v>78869</v>
      </c>
      <c r="I1284" s="110">
        <v>422.5</v>
      </c>
      <c r="J1284" s="110">
        <v>501.35</v>
      </c>
      <c r="K1284" s="110">
        <v>501.35</v>
      </c>
    </row>
    <row r="1285" spans="1:12" x14ac:dyDescent="0.2">
      <c r="A1285" t="s">
        <v>34</v>
      </c>
      <c r="B1285" t="s">
        <v>104</v>
      </c>
      <c r="C1285" t="s">
        <v>222</v>
      </c>
      <c r="D1285" s="110">
        <v>31905</v>
      </c>
      <c r="E1285" s="110">
        <v>32205</v>
      </c>
      <c r="I1285" s="110">
        <v>750</v>
      </c>
      <c r="J1285" s="110">
        <v>1274.04</v>
      </c>
    </row>
    <row r="1286" spans="1:12" x14ac:dyDescent="0.2">
      <c r="A1286" t="s">
        <v>34</v>
      </c>
      <c r="B1286" t="s">
        <v>104</v>
      </c>
      <c r="C1286" t="s">
        <v>223</v>
      </c>
      <c r="D1286" s="110">
        <v>86989</v>
      </c>
      <c r="I1286" s="110">
        <v>479.96</v>
      </c>
    </row>
    <row r="1287" spans="1:12" x14ac:dyDescent="0.2">
      <c r="A1287" t="s">
        <v>34</v>
      </c>
      <c r="B1287" t="s">
        <v>140</v>
      </c>
      <c r="C1287" t="s">
        <v>220</v>
      </c>
      <c r="D1287" s="110">
        <v>0</v>
      </c>
      <c r="E1287" s="110">
        <v>0</v>
      </c>
      <c r="F1287" s="110">
        <v>0</v>
      </c>
      <c r="G1287" s="110">
        <v>0</v>
      </c>
      <c r="I1287" s="110">
        <v>0</v>
      </c>
      <c r="J1287" s="110">
        <v>0</v>
      </c>
      <c r="K1287" s="110">
        <v>0</v>
      </c>
      <c r="L1287" s="110">
        <v>0</v>
      </c>
    </row>
    <row r="1288" spans="1:12" x14ac:dyDescent="0.2">
      <c r="A1288" t="s">
        <v>34</v>
      </c>
      <c r="B1288" t="s">
        <v>140</v>
      </c>
      <c r="C1288" t="s">
        <v>221</v>
      </c>
      <c r="D1288" s="110">
        <v>0</v>
      </c>
      <c r="E1288" s="110">
        <v>0</v>
      </c>
      <c r="F1288" s="110">
        <v>0</v>
      </c>
      <c r="I1288" s="110">
        <v>0</v>
      </c>
      <c r="J1288" s="110">
        <v>0</v>
      </c>
      <c r="K1288" s="110">
        <v>0</v>
      </c>
    </row>
    <row r="1289" spans="1:12" x14ac:dyDescent="0.2">
      <c r="A1289" t="s">
        <v>34</v>
      </c>
      <c r="B1289" t="s">
        <v>140</v>
      </c>
      <c r="C1289" t="s">
        <v>222</v>
      </c>
      <c r="D1289" s="110">
        <v>0</v>
      </c>
      <c r="E1289" s="110">
        <v>0</v>
      </c>
      <c r="I1289" s="110">
        <v>0</v>
      </c>
      <c r="J1289" s="110">
        <v>0</v>
      </c>
    </row>
    <row r="1290" spans="1:12" x14ac:dyDescent="0.2">
      <c r="A1290" t="s">
        <v>34</v>
      </c>
      <c r="B1290" t="s">
        <v>140</v>
      </c>
      <c r="C1290" t="s">
        <v>223</v>
      </c>
      <c r="D1290" s="110">
        <v>0</v>
      </c>
      <c r="I1290" s="110">
        <v>0</v>
      </c>
    </row>
    <row r="1291" spans="1:12" x14ac:dyDescent="0.2">
      <c r="A1291" t="s">
        <v>34</v>
      </c>
      <c r="B1291" t="s">
        <v>105</v>
      </c>
      <c r="C1291" t="s">
        <v>220</v>
      </c>
      <c r="D1291" s="110">
        <v>11474.2</v>
      </c>
      <c r="E1291" s="110">
        <v>11474.2</v>
      </c>
      <c r="F1291" s="110">
        <v>11474.2</v>
      </c>
      <c r="G1291" s="110">
        <v>11474.2</v>
      </c>
      <c r="I1291" s="110">
        <v>2877.2</v>
      </c>
      <c r="J1291" s="110">
        <v>4092.2</v>
      </c>
      <c r="K1291" s="110">
        <v>5572.2</v>
      </c>
      <c r="L1291" s="110">
        <v>6732.2</v>
      </c>
    </row>
    <row r="1292" spans="1:12" x14ac:dyDescent="0.2">
      <c r="A1292" t="s">
        <v>34</v>
      </c>
      <c r="B1292" t="s">
        <v>105</v>
      </c>
      <c r="C1292" t="s">
        <v>221</v>
      </c>
      <c r="D1292" s="110">
        <v>10180</v>
      </c>
      <c r="E1292" s="110">
        <v>10180</v>
      </c>
      <c r="F1292" s="110">
        <v>10130</v>
      </c>
      <c r="I1292" s="110">
        <v>1613</v>
      </c>
      <c r="J1292" s="110">
        <v>2068</v>
      </c>
      <c r="K1292" s="110">
        <v>3238</v>
      </c>
    </row>
    <row r="1293" spans="1:12" x14ac:dyDescent="0.2">
      <c r="A1293" t="s">
        <v>34</v>
      </c>
      <c r="B1293" t="s">
        <v>105</v>
      </c>
      <c r="C1293" t="s">
        <v>222</v>
      </c>
      <c r="D1293" s="110">
        <v>5402.5</v>
      </c>
      <c r="E1293" s="110">
        <v>5312.5</v>
      </c>
      <c r="I1293" s="110">
        <v>1852.5</v>
      </c>
      <c r="J1293" s="110">
        <v>2532.5</v>
      </c>
    </row>
    <row r="1294" spans="1:12" x14ac:dyDescent="0.2">
      <c r="A1294" t="s">
        <v>34</v>
      </c>
      <c r="B1294" t="s">
        <v>105</v>
      </c>
      <c r="C1294" t="s">
        <v>223</v>
      </c>
      <c r="D1294" s="110">
        <v>6372</v>
      </c>
      <c r="I1294" s="110">
        <v>2080</v>
      </c>
    </row>
    <row r="1295" spans="1:12" x14ac:dyDescent="0.2">
      <c r="A1295" t="s">
        <v>34</v>
      </c>
      <c r="B1295" t="s">
        <v>111</v>
      </c>
      <c r="C1295" t="s">
        <v>220</v>
      </c>
      <c r="D1295" s="110">
        <v>0</v>
      </c>
      <c r="E1295" s="110">
        <v>0</v>
      </c>
      <c r="F1295" s="110">
        <v>0</v>
      </c>
      <c r="G1295" s="110">
        <v>0</v>
      </c>
      <c r="I1295" s="110">
        <v>0</v>
      </c>
      <c r="J1295" s="110">
        <v>0</v>
      </c>
      <c r="K1295" s="110">
        <v>0</v>
      </c>
      <c r="L1295" s="110">
        <v>0</v>
      </c>
    </row>
    <row r="1296" spans="1:12" x14ac:dyDescent="0.2">
      <c r="A1296" t="s">
        <v>34</v>
      </c>
      <c r="B1296" t="s">
        <v>111</v>
      </c>
      <c r="C1296" t="s">
        <v>221</v>
      </c>
      <c r="D1296" s="110">
        <v>0</v>
      </c>
      <c r="E1296" s="110">
        <v>2967</v>
      </c>
      <c r="F1296" s="110">
        <v>2967</v>
      </c>
      <c r="I1296" s="110">
        <v>0</v>
      </c>
      <c r="J1296" s="110">
        <v>37</v>
      </c>
      <c r="K1296" s="110">
        <v>37</v>
      </c>
    </row>
    <row r="1297" spans="1:12" x14ac:dyDescent="0.2">
      <c r="A1297" t="s">
        <v>34</v>
      </c>
      <c r="B1297" t="s">
        <v>111</v>
      </c>
      <c r="C1297" t="s">
        <v>222</v>
      </c>
      <c r="D1297" s="110">
        <v>450</v>
      </c>
      <c r="E1297" s="110">
        <v>450</v>
      </c>
      <c r="I1297" s="110">
        <v>450</v>
      </c>
      <c r="J1297" s="110">
        <v>450</v>
      </c>
    </row>
    <row r="1298" spans="1:12" x14ac:dyDescent="0.2">
      <c r="A1298" t="s">
        <v>34</v>
      </c>
      <c r="B1298" t="s">
        <v>111</v>
      </c>
      <c r="C1298" t="s">
        <v>223</v>
      </c>
      <c r="D1298" s="110">
        <v>0</v>
      </c>
      <c r="I1298" s="110">
        <v>0</v>
      </c>
    </row>
    <row r="1299" spans="1:12" x14ac:dyDescent="0.2">
      <c r="A1299" t="s">
        <v>34</v>
      </c>
      <c r="B1299" t="s">
        <v>109</v>
      </c>
      <c r="C1299" t="s">
        <v>220</v>
      </c>
      <c r="D1299" s="110">
        <v>11559</v>
      </c>
      <c r="E1299" s="110">
        <v>11559</v>
      </c>
      <c r="F1299" s="110">
        <v>11559</v>
      </c>
      <c r="G1299" s="110">
        <v>11559</v>
      </c>
      <c r="I1299" s="110">
        <v>4146</v>
      </c>
      <c r="J1299" s="110">
        <v>8448</v>
      </c>
      <c r="K1299" s="110">
        <v>8448</v>
      </c>
      <c r="L1299" s="110">
        <v>9936</v>
      </c>
    </row>
    <row r="1300" spans="1:12" x14ac:dyDescent="0.2">
      <c r="A1300" t="s">
        <v>34</v>
      </c>
      <c r="B1300" t="s">
        <v>109</v>
      </c>
      <c r="C1300" t="s">
        <v>221</v>
      </c>
      <c r="D1300" s="110">
        <v>10140</v>
      </c>
      <c r="E1300" s="110">
        <v>10140</v>
      </c>
      <c r="F1300" s="110">
        <v>10090</v>
      </c>
      <c r="I1300" s="110">
        <v>2673</v>
      </c>
      <c r="J1300" s="110">
        <v>4589</v>
      </c>
      <c r="K1300" s="110">
        <v>6162</v>
      </c>
    </row>
    <row r="1301" spans="1:12" x14ac:dyDescent="0.2">
      <c r="A1301" t="s">
        <v>34</v>
      </c>
      <c r="B1301" t="s">
        <v>109</v>
      </c>
      <c r="C1301" t="s">
        <v>222</v>
      </c>
      <c r="D1301" s="110">
        <v>10468</v>
      </c>
      <c r="E1301" s="110">
        <v>10468</v>
      </c>
      <c r="I1301" s="110">
        <v>2754</v>
      </c>
      <c r="J1301" s="110">
        <v>5865</v>
      </c>
    </row>
    <row r="1302" spans="1:12" x14ac:dyDescent="0.2">
      <c r="A1302" t="s">
        <v>34</v>
      </c>
      <c r="B1302" t="s">
        <v>109</v>
      </c>
      <c r="C1302" t="s">
        <v>223</v>
      </c>
      <c r="D1302" s="110">
        <v>5489</v>
      </c>
      <c r="I1302" s="110">
        <v>2722</v>
      </c>
    </row>
    <row r="1303" spans="1:12" x14ac:dyDescent="0.2">
      <c r="A1303" t="s">
        <v>34</v>
      </c>
      <c r="B1303" t="s">
        <v>106</v>
      </c>
      <c r="C1303" t="s">
        <v>220</v>
      </c>
      <c r="D1303" s="110">
        <v>5211</v>
      </c>
      <c r="E1303" s="110">
        <v>5211</v>
      </c>
      <c r="F1303" s="110">
        <v>5211</v>
      </c>
      <c r="G1303" s="110">
        <v>5211</v>
      </c>
      <c r="I1303" s="110">
        <v>5211</v>
      </c>
      <c r="J1303" s="110">
        <v>5211</v>
      </c>
      <c r="K1303" s="110">
        <v>5211</v>
      </c>
      <c r="L1303" s="110">
        <v>5211</v>
      </c>
    </row>
    <row r="1304" spans="1:12" x14ac:dyDescent="0.2">
      <c r="A1304" t="s">
        <v>34</v>
      </c>
      <c r="B1304" t="s">
        <v>106</v>
      </c>
      <c r="C1304" t="s">
        <v>221</v>
      </c>
      <c r="D1304" s="110">
        <v>3400</v>
      </c>
      <c r="E1304" s="110">
        <v>3400</v>
      </c>
      <c r="F1304" s="110">
        <v>3400</v>
      </c>
      <c r="I1304" s="110">
        <v>3400</v>
      </c>
      <c r="J1304" s="110">
        <v>3400</v>
      </c>
      <c r="K1304" s="110">
        <v>3400</v>
      </c>
    </row>
    <row r="1305" spans="1:12" x14ac:dyDescent="0.2">
      <c r="A1305" t="s">
        <v>34</v>
      </c>
      <c r="B1305" t="s">
        <v>106</v>
      </c>
      <c r="C1305" t="s">
        <v>222</v>
      </c>
      <c r="D1305" s="110">
        <v>2970</v>
      </c>
      <c r="E1305" s="110">
        <v>2970</v>
      </c>
      <c r="I1305" s="110">
        <v>2970</v>
      </c>
      <c r="J1305" s="110">
        <v>2970</v>
      </c>
    </row>
    <row r="1306" spans="1:12" x14ac:dyDescent="0.2">
      <c r="A1306" t="s">
        <v>34</v>
      </c>
      <c r="B1306" t="s">
        <v>106</v>
      </c>
      <c r="C1306" t="s">
        <v>223</v>
      </c>
      <c r="D1306" s="110">
        <v>2495</v>
      </c>
      <c r="I1306" s="110">
        <v>2495</v>
      </c>
    </row>
    <row r="1307" spans="1:12" x14ac:dyDescent="0.2">
      <c r="A1307" t="s">
        <v>34</v>
      </c>
      <c r="B1307" t="s">
        <v>107</v>
      </c>
      <c r="C1307" t="s">
        <v>220</v>
      </c>
      <c r="D1307" s="110">
        <v>5470</v>
      </c>
      <c r="E1307" s="110">
        <v>5470</v>
      </c>
      <c r="F1307" s="110">
        <v>5470</v>
      </c>
      <c r="G1307" s="110">
        <v>5470</v>
      </c>
      <c r="I1307" s="110">
        <v>4470</v>
      </c>
      <c r="J1307" s="110">
        <v>5470</v>
      </c>
      <c r="K1307" s="110">
        <v>5470</v>
      </c>
      <c r="L1307" s="110">
        <v>5470</v>
      </c>
    </row>
    <row r="1308" spans="1:12" x14ac:dyDescent="0.2">
      <c r="A1308" t="s">
        <v>34</v>
      </c>
      <c r="B1308" t="s">
        <v>107</v>
      </c>
      <c r="C1308" t="s">
        <v>221</v>
      </c>
      <c r="D1308" s="110">
        <v>8537</v>
      </c>
      <c r="E1308" s="110">
        <v>8547</v>
      </c>
      <c r="F1308" s="110">
        <v>8547</v>
      </c>
      <c r="I1308" s="110">
        <v>8537</v>
      </c>
      <c r="J1308" s="110">
        <v>8537</v>
      </c>
      <c r="K1308" s="110">
        <v>8537</v>
      </c>
    </row>
    <row r="1309" spans="1:12" x14ac:dyDescent="0.2">
      <c r="A1309" t="s">
        <v>34</v>
      </c>
      <c r="B1309" t="s">
        <v>107</v>
      </c>
      <c r="C1309" t="s">
        <v>222</v>
      </c>
      <c r="D1309" s="110">
        <v>9745</v>
      </c>
      <c r="E1309" s="110">
        <v>9745</v>
      </c>
      <c r="I1309" s="110">
        <v>9560</v>
      </c>
      <c r="J1309" s="110">
        <v>9745</v>
      </c>
    </row>
    <row r="1310" spans="1:12" x14ac:dyDescent="0.2">
      <c r="A1310" t="s">
        <v>34</v>
      </c>
      <c r="B1310" t="s">
        <v>107</v>
      </c>
      <c r="C1310" t="s">
        <v>223</v>
      </c>
      <c r="D1310" s="110">
        <v>3992</v>
      </c>
      <c r="I1310" s="110">
        <v>3992</v>
      </c>
    </row>
    <row r="1311" spans="1:12" x14ac:dyDescent="0.2">
      <c r="A1311" t="s">
        <v>34</v>
      </c>
      <c r="B1311" t="s">
        <v>108</v>
      </c>
      <c r="C1311" t="s">
        <v>220</v>
      </c>
      <c r="D1311" s="110">
        <v>1200</v>
      </c>
      <c r="E1311" s="110">
        <v>1200</v>
      </c>
      <c r="F1311" s="110">
        <v>1200</v>
      </c>
      <c r="G1311" s="110">
        <v>1200</v>
      </c>
      <c r="I1311" s="110">
        <v>1200</v>
      </c>
      <c r="J1311" s="110">
        <v>1200</v>
      </c>
      <c r="K1311" s="110">
        <v>1200</v>
      </c>
      <c r="L1311" s="110">
        <v>1200</v>
      </c>
    </row>
    <row r="1312" spans="1:12" x14ac:dyDescent="0.2">
      <c r="A1312" t="s">
        <v>34</v>
      </c>
      <c r="B1312" t="s">
        <v>108</v>
      </c>
      <c r="C1312" t="s">
        <v>221</v>
      </c>
      <c r="D1312" s="110">
        <v>3945</v>
      </c>
      <c r="E1312" s="110">
        <v>4059</v>
      </c>
      <c r="F1312" s="110">
        <v>4059</v>
      </c>
      <c r="I1312" s="110">
        <v>3545</v>
      </c>
      <c r="J1312" s="110">
        <v>4059</v>
      </c>
      <c r="K1312" s="110">
        <v>4059</v>
      </c>
    </row>
    <row r="1313" spans="1:12" x14ac:dyDescent="0.2">
      <c r="A1313" t="s">
        <v>34</v>
      </c>
      <c r="B1313" t="s">
        <v>108</v>
      </c>
      <c r="C1313" t="s">
        <v>222</v>
      </c>
      <c r="D1313" s="110">
        <v>2426</v>
      </c>
      <c r="E1313" s="110">
        <v>2426</v>
      </c>
      <c r="I1313" s="110">
        <v>2081</v>
      </c>
      <c r="J1313" s="110">
        <v>2426</v>
      </c>
    </row>
    <row r="1314" spans="1:12" x14ac:dyDescent="0.2">
      <c r="A1314" t="s">
        <v>34</v>
      </c>
      <c r="B1314" t="s">
        <v>108</v>
      </c>
      <c r="C1314" t="s">
        <v>223</v>
      </c>
      <c r="D1314" s="110">
        <v>2180</v>
      </c>
      <c r="I1314" s="110">
        <v>2180</v>
      </c>
    </row>
    <row r="1315" spans="1:12" x14ac:dyDescent="0.2">
      <c r="A1315" t="s">
        <v>34</v>
      </c>
      <c r="B1315" t="s">
        <v>70</v>
      </c>
      <c r="C1315" t="s">
        <v>220</v>
      </c>
      <c r="D1315" s="110">
        <v>5528</v>
      </c>
      <c r="E1315" s="110">
        <v>5528</v>
      </c>
      <c r="F1315" s="110">
        <v>5528</v>
      </c>
      <c r="G1315" s="110">
        <v>5528</v>
      </c>
      <c r="I1315" s="110">
        <v>5528</v>
      </c>
      <c r="J1315" s="110">
        <v>5528</v>
      </c>
      <c r="K1315" s="110">
        <v>5528</v>
      </c>
      <c r="L1315" s="110">
        <v>5528</v>
      </c>
    </row>
    <row r="1316" spans="1:12" x14ac:dyDescent="0.2">
      <c r="A1316" t="s">
        <v>34</v>
      </c>
      <c r="B1316" t="s">
        <v>70</v>
      </c>
      <c r="C1316" t="s">
        <v>221</v>
      </c>
      <c r="D1316" s="110">
        <v>4452</v>
      </c>
      <c r="E1316" s="110">
        <v>4452</v>
      </c>
      <c r="F1316" s="110">
        <v>4452</v>
      </c>
      <c r="I1316" s="110">
        <v>4452</v>
      </c>
      <c r="J1316" s="110">
        <v>4452</v>
      </c>
      <c r="K1316" s="110">
        <v>4452</v>
      </c>
    </row>
    <row r="1317" spans="1:12" x14ac:dyDescent="0.2">
      <c r="A1317" t="s">
        <v>34</v>
      </c>
      <c r="B1317" t="s">
        <v>70</v>
      </c>
      <c r="C1317" t="s">
        <v>222</v>
      </c>
      <c r="D1317" s="110">
        <v>4990.5</v>
      </c>
      <c r="E1317" s="110">
        <v>4582.5</v>
      </c>
      <c r="I1317" s="110">
        <v>3774.5</v>
      </c>
      <c r="J1317" s="110">
        <v>4174.5</v>
      </c>
    </row>
    <row r="1318" spans="1:12" x14ac:dyDescent="0.2">
      <c r="A1318" t="s">
        <v>34</v>
      </c>
      <c r="B1318" t="s">
        <v>70</v>
      </c>
      <c r="C1318" t="s">
        <v>223</v>
      </c>
      <c r="D1318" s="110">
        <v>4463</v>
      </c>
      <c r="I1318" s="110">
        <v>3663</v>
      </c>
    </row>
    <row r="1319" spans="1:12" x14ac:dyDescent="0.2">
      <c r="A1319" t="s">
        <v>34</v>
      </c>
      <c r="B1319" t="s">
        <v>110</v>
      </c>
      <c r="C1319" t="s">
        <v>220</v>
      </c>
      <c r="D1319" s="110">
        <v>11695.75</v>
      </c>
      <c r="E1319" s="110">
        <v>11164.25</v>
      </c>
      <c r="F1319" s="110">
        <v>11164.25</v>
      </c>
      <c r="G1319" s="110">
        <v>11164.25</v>
      </c>
      <c r="I1319" s="110">
        <v>6262.75</v>
      </c>
      <c r="J1319" s="110">
        <v>9830.25</v>
      </c>
      <c r="K1319" s="110">
        <v>10415.25</v>
      </c>
      <c r="L1319" s="110">
        <v>10461.25</v>
      </c>
    </row>
    <row r="1320" spans="1:12" x14ac:dyDescent="0.2">
      <c r="A1320" t="s">
        <v>34</v>
      </c>
      <c r="B1320" t="s">
        <v>110</v>
      </c>
      <c r="C1320" t="s">
        <v>221</v>
      </c>
      <c r="D1320" s="110">
        <v>20247.25</v>
      </c>
      <c r="E1320" s="110">
        <v>18527.45</v>
      </c>
      <c r="F1320" s="110">
        <v>18529.25</v>
      </c>
      <c r="I1320" s="110">
        <v>11475.25</v>
      </c>
      <c r="J1320" s="110">
        <v>16463.95</v>
      </c>
      <c r="K1320" s="110">
        <v>16893.25</v>
      </c>
    </row>
    <row r="1321" spans="1:12" x14ac:dyDescent="0.2">
      <c r="A1321" t="s">
        <v>34</v>
      </c>
      <c r="B1321" t="s">
        <v>110</v>
      </c>
      <c r="C1321" t="s">
        <v>222</v>
      </c>
      <c r="D1321" s="110">
        <v>17185</v>
      </c>
      <c r="E1321" s="110">
        <v>16524.349999999999</v>
      </c>
      <c r="I1321" s="110">
        <v>8226</v>
      </c>
      <c r="J1321" s="110">
        <v>13137.35</v>
      </c>
    </row>
    <row r="1322" spans="1:12" x14ac:dyDescent="0.2">
      <c r="A1322" t="s">
        <v>34</v>
      </c>
      <c r="B1322" t="s">
        <v>110</v>
      </c>
      <c r="C1322" t="s">
        <v>223</v>
      </c>
      <c r="D1322" s="110">
        <v>17300.5</v>
      </c>
      <c r="I1322" s="110">
        <v>9455.5</v>
      </c>
    </row>
    <row r="1323" spans="1:12" x14ac:dyDescent="0.2">
      <c r="A1323" t="s">
        <v>35</v>
      </c>
      <c r="B1323" t="s">
        <v>104</v>
      </c>
      <c r="C1323" t="s">
        <v>220</v>
      </c>
      <c r="D1323" s="110">
        <v>1324119.1200000001</v>
      </c>
      <c r="E1323" s="110">
        <v>1320612.1200000001</v>
      </c>
      <c r="F1323" s="110">
        <v>1319012.1200000001</v>
      </c>
      <c r="G1323" s="110">
        <v>1318312.1200000001</v>
      </c>
      <c r="I1323" s="110">
        <v>29163.08</v>
      </c>
      <c r="J1323" s="110">
        <v>48078.18</v>
      </c>
      <c r="K1323" s="110">
        <v>61277.35</v>
      </c>
      <c r="L1323" s="110">
        <v>74926.53</v>
      </c>
    </row>
    <row r="1324" spans="1:12" x14ac:dyDescent="0.2">
      <c r="A1324" t="s">
        <v>35</v>
      </c>
      <c r="B1324" t="s">
        <v>104</v>
      </c>
      <c r="C1324" t="s">
        <v>221</v>
      </c>
      <c r="D1324" s="110">
        <v>1563638.98</v>
      </c>
      <c r="E1324" s="110">
        <v>1455371.98</v>
      </c>
      <c r="F1324" s="110">
        <v>1454321.98</v>
      </c>
      <c r="I1324" s="110">
        <v>40984.53</v>
      </c>
      <c r="J1324" s="110">
        <v>65570.649999999994</v>
      </c>
      <c r="K1324" s="110">
        <v>81145.66</v>
      </c>
    </row>
    <row r="1325" spans="1:12" x14ac:dyDescent="0.2">
      <c r="A1325" t="s">
        <v>35</v>
      </c>
      <c r="B1325" t="s">
        <v>104</v>
      </c>
      <c r="C1325" t="s">
        <v>222</v>
      </c>
      <c r="D1325" s="110">
        <v>1716074.18</v>
      </c>
      <c r="E1325" s="110">
        <v>1710085.68</v>
      </c>
      <c r="I1325" s="110">
        <v>25654.880000000001</v>
      </c>
      <c r="J1325" s="110">
        <v>47698.41</v>
      </c>
    </row>
    <row r="1326" spans="1:12" x14ac:dyDescent="0.2">
      <c r="A1326" t="s">
        <v>35</v>
      </c>
      <c r="B1326" t="s">
        <v>104</v>
      </c>
      <c r="C1326" t="s">
        <v>223</v>
      </c>
      <c r="D1326" s="110">
        <v>1275155.18</v>
      </c>
      <c r="I1326" s="110">
        <v>29696.48</v>
      </c>
    </row>
    <row r="1327" spans="1:12" x14ac:dyDescent="0.2">
      <c r="A1327" t="s">
        <v>35</v>
      </c>
      <c r="B1327" t="s">
        <v>140</v>
      </c>
      <c r="C1327" t="s">
        <v>220</v>
      </c>
      <c r="D1327" s="110">
        <v>650000</v>
      </c>
      <c r="E1327" s="110">
        <v>650000</v>
      </c>
      <c r="F1327" s="110">
        <v>650000</v>
      </c>
      <c r="G1327" s="110">
        <v>650000</v>
      </c>
      <c r="I1327" s="110">
        <v>0</v>
      </c>
      <c r="J1327" s="110">
        <v>0</v>
      </c>
      <c r="K1327" s="110">
        <v>0</v>
      </c>
      <c r="L1327" s="110">
        <v>0</v>
      </c>
    </row>
    <row r="1328" spans="1:12" x14ac:dyDescent="0.2">
      <c r="A1328" t="s">
        <v>35</v>
      </c>
      <c r="B1328" t="s">
        <v>140</v>
      </c>
      <c r="C1328" t="s">
        <v>221</v>
      </c>
      <c r="D1328" s="110">
        <v>250000</v>
      </c>
      <c r="E1328" s="110">
        <v>250000</v>
      </c>
      <c r="F1328" s="110">
        <v>250000</v>
      </c>
      <c r="I1328" s="110">
        <v>0</v>
      </c>
      <c r="J1328" s="110">
        <v>0</v>
      </c>
      <c r="K1328" s="110">
        <v>0</v>
      </c>
    </row>
    <row r="1329" spans="1:12" x14ac:dyDescent="0.2">
      <c r="A1329" t="s">
        <v>35</v>
      </c>
      <c r="B1329" t="s">
        <v>140</v>
      </c>
      <c r="C1329" t="s">
        <v>222</v>
      </c>
      <c r="D1329" s="110">
        <v>700000</v>
      </c>
      <c r="E1329" s="110">
        <v>700000</v>
      </c>
      <c r="I1329" s="110">
        <v>0</v>
      </c>
      <c r="J1329" s="110">
        <v>0</v>
      </c>
    </row>
    <row r="1330" spans="1:12" x14ac:dyDescent="0.2">
      <c r="A1330" t="s">
        <v>35</v>
      </c>
      <c r="B1330" t="s">
        <v>140</v>
      </c>
      <c r="C1330" t="s">
        <v>223</v>
      </c>
      <c r="D1330" s="110">
        <v>350000</v>
      </c>
      <c r="I1330" s="110">
        <v>0</v>
      </c>
    </row>
    <row r="1331" spans="1:12" x14ac:dyDescent="0.2">
      <c r="A1331" t="s">
        <v>35</v>
      </c>
      <c r="B1331" t="s">
        <v>105</v>
      </c>
      <c r="C1331" t="s">
        <v>220</v>
      </c>
      <c r="D1331" s="110">
        <v>390661.25</v>
      </c>
      <c r="E1331" s="110">
        <v>385972.75</v>
      </c>
      <c r="F1331" s="110">
        <v>381815.55</v>
      </c>
      <c r="G1331" s="110">
        <v>381615.55</v>
      </c>
      <c r="I1331" s="110">
        <v>62170.29</v>
      </c>
      <c r="J1331" s="110">
        <v>94312.3</v>
      </c>
      <c r="K1331" s="110">
        <v>114854.37</v>
      </c>
      <c r="L1331" s="110">
        <v>128161.76</v>
      </c>
    </row>
    <row r="1332" spans="1:12" x14ac:dyDescent="0.2">
      <c r="A1332" t="s">
        <v>35</v>
      </c>
      <c r="B1332" t="s">
        <v>105</v>
      </c>
      <c r="C1332" t="s">
        <v>221</v>
      </c>
      <c r="D1332" s="110">
        <v>431932.85</v>
      </c>
      <c r="E1332" s="110">
        <v>416348.85</v>
      </c>
      <c r="F1332" s="110">
        <v>413156.85</v>
      </c>
      <c r="I1332" s="110">
        <v>82954.39</v>
      </c>
      <c r="J1332" s="110">
        <v>105633.87</v>
      </c>
      <c r="K1332" s="110">
        <v>128986.25</v>
      </c>
    </row>
    <row r="1333" spans="1:12" x14ac:dyDescent="0.2">
      <c r="A1333" t="s">
        <v>35</v>
      </c>
      <c r="B1333" t="s">
        <v>105</v>
      </c>
      <c r="C1333" t="s">
        <v>222</v>
      </c>
      <c r="D1333" s="110">
        <v>412854.5</v>
      </c>
      <c r="E1333" s="110">
        <v>405842.5</v>
      </c>
      <c r="I1333" s="110">
        <v>65846.09</v>
      </c>
      <c r="J1333" s="110">
        <v>97146.01</v>
      </c>
    </row>
    <row r="1334" spans="1:12" x14ac:dyDescent="0.2">
      <c r="A1334" t="s">
        <v>35</v>
      </c>
      <c r="B1334" t="s">
        <v>105</v>
      </c>
      <c r="C1334" t="s">
        <v>223</v>
      </c>
      <c r="D1334" s="110">
        <v>422237.25</v>
      </c>
      <c r="I1334" s="110">
        <v>60803.39</v>
      </c>
    </row>
    <row r="1335" spans="1:12" x14ac:dyDescent="0.2">
      <c r="A1335" t="s">
        <v>35</v>
      </c>
      <c r="B1335" t="s">
        <v>111</v>
      </c>
      <c r="C1335" t="s">
        <v>220</v>
      </c>
      <c r="D1335" s="110">
        <v>12436</v>
      </c>
      <c r="E1335" s="110">
        <v>12436</v>
      </c>
      <c r="F1335" s="110">
        <v>12436</v>
      </c>
      <c r="G1335" s="110">
        <v>12436</v>
      </c>
      <c r="I1335" s="110">
        <v>31.5</v>
      </c>
      <c r="J1335" s="110">
        <v>469.5</v>
      </c>
      <c r="K1335" s="110">
        <v>485.5</v>
      </c>
      <c r="L1335" s="110">
        <v>485.5</v>
      </c>
    </row>
    <row r="1336" spans="1:12" x14ac:dyDescent="0.2">
      <c r="A1336" t="s">
        <v>35</v>
      </c>
      <c r="B1336" t="s">
        <v>111</v>
      </c>
      <c r="C1336" t="s">
        <v>221</v>
      </c>
      <c r="D1336" s="110">
        <v>15371</v>
      </c>
      <c r="E1336" s="110">
        <v>15371</v>
      </c>
      <c r="F1336" s="110">
        <v>15371</v>
      </c>
      <c r="I1336" s="110">
        <v>470.5</v>
      </c>
      <c r="J1336" s="110">
        <v>2054.5</v>
      </c>
      <c r="K1336" s="110">
        <v>2790.5</v>
      </c>
    </row>
    <row r="1337" spans="1:12" x14ac:dyDescent="0.2">
      <c r="A1337" t="s">
        <v>35</v>
      </c>
      <c r="B1337" t="s">
        <v>111</v>
      </c>
      <c r="C1337" t="s">
        <v>222</v>
      </c>
      <c r="D1337" s="110">
        <v>19865.5</v>
      </c>
      <c r="E1337" s="110">
        <v>19865.5</v>
      </c>
      <c r="I1337" s="110">
        <v>102.5</v>
      </c>
      <c r="J1337" s="110">
        <v>681.5</v>
      </c>
    </row>
    <row r="1338" spans="1:12" x14ac:dyDescent="0.2">
      <c r="A1338" t="s">
        <v>35</v>
      </c>
      <c r="B1338" t="s">
        <v>111</v>
      </c>
      <c r="C1338" t="s">
        <v>223</v>
      </c>
      <c r="D1338" s="110">
        <v>7259.5</v>
      </c>
      <c r="I1338" s="110">
        <v>80.5</v>
      </c>
    </row>
    <row r="1339" spans="1:12" x14ac:dyDescent="0.2">
      <c r="A1339" t="s">
        <v>35</v>
      </c>
      <c r="B1339" t="s">
        <v>109</v>
      </c>
      <c r="C1339" t="s">
        <v>220</v>
      </c>
      <c r="D1339" s="110">
        <v>427719.13</v>
      </c>
      <c r="E1339" s="110">
        <v>426803.13</v>
      </c>
      <c r="F1339" s="110">
        <v>426781.13</v>
      </c>
      <c r="G1339" s="110">
        <v>426781.13</v>
      </c>
      <c r="I1339" s="110">
        <v>140415.18</v>
      </c>
      <c r="J1339" s="110">
        <v>198482.54</v>
      </c>
      <c r="K1339" s="110">
        <v>234368.69</v>
      </c>
      <c r="L1339" s="110">
        <v>253232.47</v>
      </c>
    </row>
    <row r="1340" spans="1:12" x14ac:dyDescent="0.2">
      <c r="A1340" t="s">
        <v>35</v>
      </c>
      <c r="B1340" t="s">
        <v>109</v>
      </c>
      <c r="C1340" t="s">
        <v>221</v>
      </c>
      <c r="D1340" s="110">
        <v>511930.25</v>
      </c>
      <c r="E1340" s="110">
        <v>510123.75</v>
      </c>
      <c r="F1340" s="110">
        <v>509616.75</v>
      </c>
      <c r="I1340" s="110">
        <v>189154.88</v>
      </c>
      <c r="J1340" s="110">
        <v>240564.64</v>
      </c>
      <c r="K1340" s="110">
        <v>278617.71000000002</v>
      </c>
    </row>
    <row r="1341" spans="1:12" x14ac:dyDescent="0.2">
      <c r="A1341" t="s">
        <v>35</v>
      </c>
      <c r="B1341" t="s">
        <v>109</v>
      </c>
      <c r="C1341" t="s">
        <v>222</v>
      </c>
      <c r="D1341" s="110">
        <v>467206.65</v>
      </c>
      <c r="E1341" s="110">
        <v>464479.15</v>
      </c>
      <c r="I1341" s="110">
        <v>170987.77</v>
      </c>
      <c r="J1341" s="110">
        <v>217900.75</v>
      </c>
    </row>
    <row r="1342" spans="1:12" x14ac:dyDescent="0.2">
      <c r="A1342" t="s">
        <v>35</v>
      </c>
      <c r="B1342" t="s">
        <v>109</v>
      </c>
      <c r="C1342" t="s">
        <v>223</v>
      </c>
      <c r="D1342" s="110">
        <v>551074</v>
      </c>
      <c r="I1342" s="110">
        <v>191238.52</v>
      </c>
    </row>
    <row r="1343" spans="1:12" x14ac:dyDescent="0.2">
      <c r="A1343" t="s">
        <v>35</v>
      </c>
      <c r="B1343" t="s">
        <v>106</v>
      </c>
      <c r="C1343" t="s">
        <v>220</v>
      </c>
      <c r="D1343" s="110">
        <v>443473.91</v>
      </c>
      <c r="E1343" s="110">
        <v>442992.91</v>
      </c>
      <c r="F1343" s="110">
        <v>442992.91</v>
      </c>
      <c r="G1343" s="110">
        <v>442992.91</v>
      </c>
      <c r="I1343" s="110">
        <v>438141.41</v>
      </c>
      <c r="J1343" s="110">
        <v>439829.91</v>
      </c>
      <c r="K1343" s="110">
        <v>439839.91</v>
      </c>
      <c r="L1343" s="110">
        <v>439839.91</v>
      </c>
    </row>
    <row r="1344" spans="1:12" x14ac:dyDescent="0.2">
      <c r="A1344" t="s">
        <v>35</v>
      </c>
      <c r="B1344" t="s">
        <v>106</v>
      </c>
      <c r="C1344" t="s">
        <v>221</v>
      </c>
      <c r="D1344" s="110">
        <v>473278.91</v>
      </c>
      <c r="E1344" s="110">
        <v>472987.91</v>
      </c>
      <c r="F1344" s="110">
        <v>472987.91</v>
      </c>
      <c r="I1344" s="110">
        <v>469820.05</v>
      </c>
      <c r="J1344" s="110">
        <v>471452.05</v>
      </c>
      <c r="K1344" s="110">
        <v>471669.55</v>
      </c>
    </row>
    <row r="1345" spans="1:12" x14ac:dyDescent="0.2">
      <c r="A1345" t="s">
        <v>35</v>
      </c>
      <c r="B1345" t="s">
        <v>106</v>
      </c>
      <c r="C1345" t="s">
        <v>222</v>
      </c>
      <c r="D1345" s="110">
        <v>479327.7</v>
      </c>
      <c r="E1345" s="110">
        <v>479327.7</v>
      </c>
      <c r="I1345" s="110">
        <v>475648.04</v>
      </c>
      <c r="J1345" s="110">
        <v>476043.54</v>
      </c>
    </row>
    <row r="1346" spans="1:12" x14ac:dyDescent="0.2">
      <c r="A1346" t="s">
        <v>35</v>
      </c>
      <c r="B1346" t="s">
        <v>106</v>
      </c>
      <c r="C1346" t="s">
        <v>223</v>
      </c>
      <c r="D1346" s="110">
        <v>473727.34</v>
      </c>
      <c r="I1346" s="110">
        <v>469840.84</v>
      </c>
    </row>
    <row r="1347" spans="1:12" x14ac:dyDescent="0.2">
      <c r="A1347" t="s">
        <v>35</v>
      </c>
      <c r="B1347" t="s">
        <v>107</v>
      </c>
      <c r="C1347" t="s">
        <v>220</v>
      </c>
      <c r="D1347" s="110">
        <v>403924.29</v>
      </c>
      <c r="E1347" s="110">
        <v>403493.79</v>
      </c>
      <c r="F1347" s="110">
        <v>403493.79</v>
      </c>
      <c r="G1347" s="110">
        <v>403493.79</v>
      </c>
      <c r="I1347" s="110">
        <v>402800.69</v>
      </c>
      <c r="J1347" s="110">
        <v>402860.69</v>
      </c>
      <c r="K1347" s="110">
        <v>402860.69</v>
      </c>
      <c r="L1347" s="110">
        <v>402918.34</v>
      </c>
    </row>
    <row r="1348" spans="1:12" x14ac:dyDescent="0.2">
      <c r="A1348" t="s">
        <v>35</v>
      </c>
      <c r="B1348" t="s">
        <v>107</v>
      </c>
      <c r="C1348" t="s">
        <v>221</v>
      </c>
      <c r="D1348" s="110">
        <v>391040.33</v>
      </c>
      <c r="E1348" s="110">
        <v>391040.33</v>
      </c>
      <c r="F1348" s="110">
        <v>391040.33</v>
      </c>
      <c r="I1348" s="110">
        <v>389775.13</v>
      </c>
      <c r="J1348" s="110">
        <v>389775.13</v>
      </c>
      <c r="K1348" s="110">
        <v>389775.13</v>
      </c>
    </row>
    <row r="1349" spans="1:12" x14ac:dyDescent="0.2">
      <c r="A1349" t="s">
        <v>35</v>
      </c>
      <c r="B1349" t="s">
        <v>107</v>
      </c>
      <c r="C1349" t="s">
        <v>222</v>
      </c>
      <c r="D1349" s="110">
        <v>446503.03</v>
      </c>
      <c r="E1349" s="110">
        <v>446453.03</v>
      </c>
      <c r="I1349" s="110">
        <v>446303.03</v>
      </c>
      <c r="J1349" s="110">
        <v>446303.03</v>
      </c>
    </row>
    <row r="1350" spans="1:12" x14ac:dyDescent="0.2">
      <c r="A1350" t="s">
        <v>35</v>
      </c>
      <c r="B1350" t="s">
        <v>107</v>
      </c>
      <c r="C1350" t="s">
        <v>223</v>
      </c>
      <c r="D1350" s="110">
        <v>462873.67</v>
      </c>
      <c r="I1350" s="110">
        <v>461747.67</v>
      </c>
    </row>
    <row r="1351" spans="1:12" x14ac:dyDescent="0.2">
      <c r="A1351" t="s">
        <v>35</v>
      </c>
      <c r="B1351" t="s">
        <v>108</v>
      </c>
      <c r="C1351" t="s">
        <v>220</v>
      </c>
      <c r="D1351" s="110">
        <v>108728.95</v>
      </c>
      <c r="E1351" s="110">
        <v>108728.95</v>
      </c>
      <c r="F1351" s="110">
        <v>108728.95</v>
      </c>
      <c r="G1351" s="110">
        <v>108038.95</v>
      </c>
      <c r="I1351" s="110">
        <v>108152.95</v>
      </c>
      <c r="J1351" s="110">
        <v>108152.95</v>
      </c>
      <c r="K1351" s="110">
        <v>108152.95</v>
      </c>
      <c r="L1351" s="110">
        <v>107807.95</v>
      </c>
    </row>
    <row r="1352" spans="1:12" x14ac:dyDescent="0.2">
      <c r="A1352" t="s">
        <v>35</v>
      </c>
      <c r="B1352" t="s">
        <v>108</v>
      </c>
      <c r="C1352" t="s">
        <v>221</v>
      </c>
      <c r="D1352" s="110">
        <v>128982.2</v>
      </c>
      <c r="E1352" s="110">
        <v>128234.2</v>
      </c>
      <c r="F1352" s="110">
        <v>127654.2</v>
      </c>
      <c r="I1352" s="110">
        <v>126151.2</v>
      </c>
      <c r="J1352" s="110">
        <v>125803.2</v>
      </c>
      <c r="K1352" s="110">
        <v>125803.2</v>
      </c>
    </row>
    <row r="1353" spans="1:12" x14ac:dyDescent="0.2">
      <c r="A1353" t="s">
        <v>35</v>
      </c>
      <c r="B1353" t="s">
        <v>108</v>
      </c>
      <c r="C1353" t="s">
        <v>222</v>
      </c>
      <c r="D1353" s="110">
        <v>133715.47</v>
      </c>
      <c r="E1353" s="110">
        <v>132849.47</v>
      </c>
      <c r="I1353" s="110">
        <v>131187.47</v>
      </c>
      <c r="J1353" s="110">
        <v>131187.47</v>
      </c>
    </row>
    <row r="1354" spans="1:12" x14ac:dyDescent="0.2">
      <c r="A1354" t="s">
        <v>35</v>
      </c>
      <c r="B1354" t="s">
        <v>108</v>
      </c>
      <c r="C1354" t="s">
        <v>223</v>
      </c>
      <c r="D1354" s="110">
        <v>138390</v>
      </c>
      <c r="I1354" s="110">
        <v>135828</v>
      </c>
    </row>
    <row r="1355" spans="1:12" x14ac:dyDescent="0.2">
      <c r="A1355" t="s">
        <v>35</v>
      </c>
      <c r="B1355" t="s">
        <v>70</v>
      </c>
      <c r="C1355" t="s">
        <v>220</v>
      </c>
      <c r="D1355" s="110">
        <v>166680.57999999999</v>
      </c>
      <c r="E1355" s="110">
        <v>164353.07999999999</v>
      </c>
      <c r="F1355" s="110">
        <v>164233.07999999999</v>
      </c>
      <c r="G1355" s="110">
        <v>163993.07999999999</v>
      </c>
      <c r="I1355" s="110">
        <v>147567.41</v>
      </c>
      <c r="J1355" s="110">
        <v>151617.76999999999</v>
      </c>
      <c r="K1355" s="110">
        <v>151872.76999999999</v>
      </c>
      <c r="L1355" s="110">
        <v>152210.76999999999</v>
      </c>
    </row>
    <row r="1356" spans="1:12" x14ac:dyDescent="0.2">
      <c r="A1356" t="s">
        <v>35</v>
      </c>
      <c r="B1356" t="s">
        <v>70</v>
      </c>
      <c r="C1356" t="s">
        <v>221</v>
      </c>
      <c r="D1356" s="110">
        <v>188172.19</v>
      </c>
      <c r="E1356" s="110">
        <v>186264.69</v>
      </c>
      <c r="F1356" s="110">
        <v>186264.69</v>
      </c>
      <c r="I1356" s="110">
        <v>165561.92000000001</v>
      </c>
      <c r="J1356" s="110">
        <v>170669.12</v>
      </c>
      <c r="K1356" s="110">
        <v>170669.12</v>
      </c>
    </row>
    <row r="1357" spans="1:12" x14ac:dyDescent="0.2">
      <c r="A1357" t="s">
        <v>35</v>
      </c>
      <c r="B1357" t="s">
        <v>70</v>
      </c>
      <c r="C1357" t="s">
        <v>222</v>
      </c>
      <c r="D1357" s="110">
        <v>187950.8</v>
      </c>
      <c r="E1357" s="110">
        <v>183685.8</v>
      </c>
      <c r="I1357" s="110">
        <v>167801.5</v>
      </c>
      <c r="J1357" s="110">
        <v>171727.8</v>
      </c>
    </row>
    <row r="1358" spans="1:12" x14ac:dyDescent="0.2">
      <c r="A1358" t="s">
        <v>35</v>
      </c>
      <c r="B1358" t="s">
        <v>70</v>
      </c>
      <c r="C1358" t="s">
        <v>223</v>
      </c>
      <c r="D1358" s="110">
        <v>177645.05</v>
      </c>
      <c r="I1358" s="110">
        <v>152932.15</v>
      </c>
    </row>
    <row r="1359" spans="1:12" x14ac:dyDescent="0.2">
      <c r="A1359" t="s">
        <v>35</v>
      </c>
      <c r="B1359" t="s">
        <v>110</v>
      </c>
      <c r="C1359" t="s">
        <v>220</v>
      </c>
      <c r="D1359" s="110">
        <v>1017875.75</v>
      </c>
      <c r="E1359" s="110">
        <v>1011194.74</v>
      </c>
      <c r="F1359" s="110">
        <v>1009544.35</v>
      </c>
      <c r="G1359" s="110">
        <v>1008718.35</v>
      </c>
      <c r="I1359" s="110">
        <v>473712.11</v>
      </c>
      <c r="J1359" s="110">
        <v>857369.63</v>
      </c>
      <c r="K1359" s="110">
        <v>909040</v>
      </c>
      <c r="L1359" s="110">
        <v>926136.15</v>
      </c>
    </row>
    <row r="1360" spans="1:12" x14ac:dyDescent="0.2">
      <c r="A1360" t="s">
        <v>35</v>
      </c>
      <c r="B1360" t="s">
        <v>110</v>
      </c>
      <c r="C1360" t="s">
        <v>221</v>
      </c>
      <c r="D1360" s="110">
        <v>1149595.53</v>
      </c>
      <c r="E1360" s="110">
        <v>1144040.24</v>
      </c>
      <c r="F1360" s="110">
        <v>1140855.24</v>
      </c>
      <c r="I1360" s="110">
        <v>611574.01</v>
      </c>
      <c r="J1360" s="110">
        <v>982375.87</v>
      </c>
      <c r="K1360" s="110">
        <v>1034892.98</v>
      </c>
    </row>
    <row r="1361" spans="1:12" x14ac:dyDescent="0.2">
      <c r="A1361" t="s">
        <v>35</v>
      </c>
      <c r="B1361" t="s">
        <v>110</v>
      </c>
      <c r="C1361" t="s">
        <v>222</v>
      </c>
      <c r="D1361" s="110">
        <v>1307328.3799999999</v>
      </c>
      <c r="E1361" s="110">
        <v>1296943.07</v>
      </c>
      <c r="I1361" s="110">
        <v>674179.55</v>
      </c>
      <c r="J1361" s="110">
        <v>1093267.27</v>
      </c>
    </row>
    <row r="1362" spans="1:12" x14ac:dyDescent="0.2">
      <c r="A1362" t="s">
        <v>35</v>
      </c>
      <c r="B1362" t="s">
        <v>110</v>
      </c>
      <c r="C1362" t="s">
        <v>223</v>
      </c>
      <c r="D1362" s="110">
        <v>1300430.5900000001</v>
      </c>
      <c r="I1362" s="110">
        <v>669138.78</v>
      </c>
    </row>
    <row r="1363" spans="1:12" x14ac:dyDescent="0.2">
      <c r="A1363" t="s">
        <v>36</v>
      </c>
      <c r="B1363" t="s">
        <v>104</v>
      </c>
      <c r="C1363" t="s">
        <v>220</v>
      </c>
      <c r="D1363" s="110">
        <v>1979179</v>
      </c>
      <c r="E1363" s="110">
        <v>1967422</v>
      </c>
      <c r="F1363" s="110">
        <v>1961158</v>
      </c>
      <c r="G1363" s="110">
        <v>1902808</v>
      </c>
      <c r="I1363" s="110">
        <v>29170</v>
      </c>
      <c r="J1363" s="110">
        <v>77246</v>
      </c>
      <c r="K1363" s="110">
        <v>111783</v>
      </c>
      <c r="L1363" s="110">
        <v>125000</v>
      </c>
    </row>
    <row r="1364" spans="1:12" x14ac:dyDescent="0.2">
      <c r="A1364" t="s">
        <v>36</v>
      </c>
      <c r="B1364" t="s">
        <v>104</v>
      </c>
      <c r="C1364" t="s">
        <v>221</v>
      </c>
      <c r="D1364" s="110">
        <v>1167144</v>
      </c>
      <c r="E1364" s="110">
        <v>1157074</v>
      </c>
      <c r="F1364" s="110">
        <v>1093382</v>
      </c>
      <c r="I1364" s="110">
        <v>39021</v>
      </c>
      <c r="J1364" s="110">
        <v>80071</v>
      </c>
      <c r="K1364" s="110">
        <v>103449</v>
      </c>
    </row>
    <row r="1365" spans="1:12" x14ac:dyDescent="0.2">
      <c r="A1365" t="s">
        <v>36</v>
      </c>
      <c r="B1365" t="s">
        <v>104</v>
      </c>
      <c r="C1365" t="s">
        <v>222</v>
      </c>
      <c r="D1365" s="110">
        <v>152844</v>
      </c>
      <c r="E1365" s="110">
        <v>1522658</v>
      </c>
      <c r="I1365" s="110">
        <v>48339</v>
      </c>
      <c r="J1365" s="110">
        <v>84495</v>
      </c>
    </row>
    <row r="1366" spans="1:12" x14ac:dyDescent="0.2">
      <c r="A1366" t="s">
        <v>36</v>
      </c>
      <c r="B1366" t="s">
        <v>104</v>
      </c>
      <c r="C1366" t="s">
        <v>223</v>
      </c>
      <c r="D1366" s="110">
        <v>2060536</v>
      </c>
      <c r="I1366" s="110">
        <v>38249</v>
      </c>
    </row>
    <row r="1367" spans="1:12" x14ac:dyDescent="0.2">
      <c r="A1367" t="s">
        <v>36</v>
      </c>
      <c r="B1367" t="s">
        <v>140</v>
      </c>
      <c r="C1367" t="s">
        <v>220</v>
      </c>
      <c r="D1367" s="110">
        <v>831990</v>
      </c>
      <c r="E1367" s="110">
        <v>830257</v>
      </c>
      <c r="F1367" s="110">
        <v>829374</v>
      </c>
      <c r="G1367" s="110">
        <v>820520</v>
      </c>
      <c r="I1367" s="110">
        <v>2474</v>
      </c>
      <c r="J1367" s="110">
        <v>9869</v>
      </c>
      <c r="K1367" s="110">
        <v>18219</v>
      </c>
      <c r="L1367" s="110">
        <v>20058</v>
      </c>
    </row>
    <row r="1368" spans="1:12" x14ac:dyDescent="0.2">
      <c r="A1368" t="s">
        <v>36</v>
      </c>
      <c r="B1368" t="s">
        <v>140</v>
      </c>
      <c r="C1368" t="s">
        <v>221</v>
      </c>
      <c r="D1368" s="110">
        <v>462626</v>
      </c>
      <c r="E1368" s="110">
        <v>450997</v>
      </c>
      <c r="F1368" s="110">
        <v>451268</v>
      </c>
      <c r="I1368" s="110">
        <v>4001</v>
      </c>
      <c r="J1368" s="110">
        <v>10530</v>
      </c>
      <c r="K1368" s="110">
        <v>13299</v>
      </c>
    </row>
    <row r="1369" spans="1:12" x14ac:dyDescent="0.2">
      <c r="A1369" t="s">
        <v>36</v>
      </c>
      <c r="B1369" t="s">
        <v>140</v>
      </c>
      <c r="C1369" t="s">
        <v>222</v>
      </c>
      <c r="D1369" s="110">
        <v>374504</v>
      </c>
      <c r="E1369" s="110">
        <v>363629</v>
      </c>
      <c r="I1369" s="110">
        <v>4812</v>
      </c>
      <c r="J1369" s="110">
        <v>11120</v>
      </c>
    </row>
    <row r="1370" spans="1:12" x14ac:dyDescent="0.2">
      <c r="A1370" t="s">
        <v>36</v>
      </c>
      <c r="B1370" t="s">
        <v>140</v>
      </c>
      <c r="C1370" t="s">
        <v>223</v>
      </c>
      <c r="D1370" s="110">
        <v>503856</v>
      </c>
      <c r="I1370" s="110">
        <v>4660</v>
      </c>
    </row>
    <row r="1371" spans="1:12" x14ac:dyDescent="0.2">
      <c r="A1371" t="s">
        <v>36</v>
      </c>
      <c r="B1371" t="s">
        <v>105</v>
      </c>
      <c r="C1371" t="s">
        <v>220</v>
      </c>
      <c r="D1371" s="110">
        <v>442469</v>
      </c>
      <c r="E1371" s="110">
        <v>423672</v>
      </c>
      <c r="F1371" s="110">
        <v>418822</v>
      </c>
      <c r="G1371" s="110">
        <v>417397</v>
      </c>
      <c r="I1371" s="110">
        <v>80567</v>
      </c>
      <c r="J1371" s="110">
        <v>149671</v>
      </c>
      <c r="K1371" s="110">
        <v>186300</v>
      </c>
      <c r="L1371" s="110">
        <v>202053</v>
      </c>
    </row>
    <row r="1372" spans="1:12" x14ac:dyDescent="0.2">
      <c r="A1372" t="s">
        <v>36</v>
      </c>
      <c r="B1372" t="s">
        <v>105</v>
      </c>
      <c r="C1372" t="s">
        <v>221</v>
      </c>
      <c r="D1372" s="110">
        <v>449915</v>
      </c>
      <c r="E1372" s="110">
        <v>431514</v>
      </c>
      <c r="F1372" s="110">
        <v>422539</v>
      </c>
      <c r="I1372" s="110">
        <v>99014</v>
      </c>
      <c r="J1372" s="110">
        <v>160312</v>
      </c>
      <c r="K1372" s="110">
        <v>192055</v>
      </c>
    </row>
    <row r="1373" spans="1:12" x14ac:dyDescent="0.2">
      <c r="A1373" t="s">
        <v>36</v>
      </c>
      <c r="B1373" t="s">
        <v>105</v>
      </c>
      <c r="C1373" t="s">
        <v>222</v>
      </c>
      <c r="D1373" s="110">
        <v>471149</v>
      </c>
      <c r="E1373" s="110">
        <v>438993</v>
      </c>
      <c r="I1373" s="110">
        <v>117648</v>
      </c>
      <c r="J1373" s="110">
        <v>182016</v>
      </c>
    </row>
    <row r="1374" spans="1:12" x14ac:dyDescent="0.2">
      <c r="A1374" t="s">
        <v>36</v>
      </c>
      <c r="B1374" t="s">
        <v>105</v>
      </c>
      <c r="C1374" t="s">
        <v>223</v>
      </c>
      <c r="D1374" s="110">
        <v>455600</v>
      </c>
      <c r="I1374" s="110">
        <v>93766</v>
      </c>
    </row>
    <row r="1375" spans="1:12" x14ac:dyDescent="0.2">
      <c r="A1375" t="s">
        <v>36</v>
      </c>
      <c r="B1375" t="s">
        <v>111</v>
      </c>
      <c r="C1375" t="s">
        <v>220</v>
      </c>
      <c r="D1375" s="110">
        <v>29605</v>
      </c>
      <c r="E1375" s="110">
        <v>29595</v>
      </c>
      <c r="F1375" s="110">
        <v>29258</v>
      </c>
      <c r="G1375" s="110">
        <v>28766</v>
      </c>
      <c r="I1375" s="110">
        <v>649</v>
      </c>
      <c r="J1375" s="110">
        <v>3097</v>
      </c>
      <c r="K1375" s="110">
        <v>4041</v>
      </c>
      <c r="L1375" s="110">
        <v>4180</v>
      </c>
    </row>
    <row r="1376" spans="1:12" x14ac:dyDescent="0.2">
      <c r="A1376" t="s">
        <v>36</v>
      </c>
      <c r="B1376" t="s">
        <v>111</v>
      </c>
      <c r="C1376" t="s">
        <v>221</v>
      </c>
      <c r="D1376" s="110">
        <v>22996</v>
      </c>
      <c r="E1376" s="110">
        <v>22996</v>
      </c>
      <c r="F1376" s="110">
        <v>22989</v>
      </c>
      <c r="I1376" s="110">
        <v>960</v>
      </c>
      <c r="J1376" s="110">
        <v>2147</v>
      </c>
      <c r="K1376" s="110">
        <v>2514</v>
      </c>
    </row>
    <row r="1377" spans="1:12" x14ac:dyDescent="0.2">
      <c r="A1377" t="s">
        <v>36</v>
      </c>
      <c r="B1377" t="s">
        <v>111</v>
      </c>
      <c r="C1377" t="s">
        <v>222</v>
      </c>
      <c r="D1377" s="110">
        <v>27622</v>
      </c>
      <c r="E1377" s="110">
        <v>27348</v>
      </c>
      <c r="I1377" s="110">
        <v>2112</v>
      </c>
      <c r="J1377" s="110">
        <v>3275</v>
      </c>
    </row>
    <row r="1378" spans="1:12" x14ac:dyDescent="0.2">
      <c r="A1378" t="s">
        <v>36</v>
      </c>
      <c r="B1378" t="s">
        <v>111</v>
      </c>
      <c r="C1378" t="s">
        <v>223</v>
      </c>
      <c r="D1378" s="110">
        <v>11914</v>
      </c>
      <c r="I1378" s="110">
        <v>1003</v>
      </c>
    </row>
    <row r="1379" spans="1:12" x14ac:dyDescent="0.2">
      <c r="A1379" t="s">
        <v>36</v>
      </c>
      <c r="B1379" t="s">
        <v>109</v>
      </c>
      <c r="C1379" t="s">
        <v>220</v>
      </c>
      <c r="D1379" s="110">
        <v>802423</v>
      </c>
      <c r="E1379" s="110">
        <v>799347</v>
      </c>
      <c r="F1379" s="110">
        <v>787291</v>
      </c>
      <c r="G1379" s="110">
        <v>779741</v>
      </c>
      <c r="I1379" s="110">
        <v>272159</v>
      </c>
      <c r="J1379" s="110">
        <v>397453</v>
      </c>
      <c r="K1379" s="110">
        <v>463353</v>
      </c>
      <c r="L1379" s="110">
        <v>513633</v>
      </c>
    </row>
    <row r="1380" spans="1:12" x14ac:dyDescent="0.2">
      <c r="A1380" t="s">
        <v>36</v>
      </c>
      <c r="B1380" t="s">
        <v>109</v>
      </c>
      <c r="C1380" t="s">
        <v>221</v>
      </c>
      <c r="D1380" s="110">
        <v>869695</v>
      </c>
      <c r="E1380" s="110">
        <v>862892</v>
      </c>
      <c r="F1380" s="110">
        <v>850857</v>
      </c>
      <c r="I1380" s="110">
        <v>295596</v>
      </c>
      <c r="J1380" s="110">
        <v>434550</v>
      </c>
      <c r="K1380" s="110">
        <v>520680</v>
      </c>
    </row>
    <row r="1381" spans="1:12" x14ac:dyDescent="0.2">
      <c r="A1381" t="s">
        <v>36</v>
      </c>
      <c r="B1381" t="s">
        <v>109</v>
      </c>
      <c r="C1381" t="s">
        <v>222</v>
      </c>
      <c r="D1381" s="110">
        <v>878838</v>
      </c>
      <c r="E1381" s="110">
        <v>868756</v>
      </c>
      <c r="I1381" s="110">
        <v>274765</v>
      </c>
      <c r="J1381" s="110">
        <v>400261</v>
      </c>
    </row>
    <row r="1382" spans="1:12" x14ac:dyDescent="0.2">
      <c r="A1382" t="s">
        <v>36</v>
      </c>
      <c r="B1382" t="s">
        <v>109</v>
      </c>
      <c r="C1382" t="s">
        <v>223</v>
      </c>
      <c r="D1382" s="110">
        <v>882308</v>
      </c>
      <c r="I1382" s="110">
        <v>283069</v>
      </c>
    </row>
    <row r="1383" spans="1:12" x14ac:dyDescent="0.2">
      <c r="A1383" t="s">
        <v>36</v>
      </c>
      <c r="B1383" t="s">
        <v>106</v>
      </c>
      <c r="C1383" t="s">
        <v>220</v>
      </c>
      <c r="D1383" s="110">
        <v>1042131</v>
      </c>
      <c r="E1383" s="110">
        <v>1039595</v>
      </c>
      <c r="F1383" s="110">
        <v>1038675</v>
      </c>
      <c r="G1383" s="110">
        <v>1038675</v>
      </c>
      <c r="I1383" s="110">
        <v>1029062</v>
      </c>
      <c r="J1383" s="110">
        <v>1030924</v>
      </c>
      <c r="K1383" s="110">
        <v>1030660</v>
      </c>
      <c r="L1383" s="110">
        <v>1030645</v>
      </c>
    </row>
    <row r="1384" spans="1:12" x14ac:dyDescent="0.2">
      <c r="A1384" t="s">
        <v>36</v>
      </c>
      <c r="B1384" t="s">
        <v>106</v>
      </c>
      <c r="C1384" t="s">
        <v>221</v>
      </c>
      <c r="D1384" s="110">
        <v>1198154</v>
      </c>
      <c r="E1384" s="110">
        <v>1196099</v>
      </c>
      <c r="F1384" s="110">
        <v>1194791</v>
      </c>
      <c r="I1384" s="110">
        <v>1189239</v>
      </c>
      <c r="J1384" s="110">
        <v>1187825</v>
      </c>
      <c r="K1384" s="110">
        <v>1187716</v>
      </c>
    </row>
    <row r="1385" spans="1:12" x14ac:dyDescent="0.2">
      <c r="A1385" t="s">
        <v>36</v>
      </c>
      <c r="B1385" t="s">
        <v>106</v>
      </c>
      <c r="C1385" t="s">
        <v>222</v>
      </c>
      <c r="D1385" s="110">
        <v>1440957</v>
      </c>
      <c r="E1385" s="110">
        <v>1438087</v>
      </c>
      <c r="I1385" s="110">
        <v>1426271</v>
      </c>
      <c r="J1385" s="110">
        <v>14280058</v>
      </c>
    </row>
    <row r="1386" spans="1:12" x14ac:dyDescent="0.2">
      <c r="A1386" t="s">
        <v>36</v>
      </c>
      <c r="B1386" t="s">
        <v>106</v>
      </c>
      <c r="C1386" t="s">
        <v>223</v>
      </c>
      <c r="D1386" s="110">
        <v>1603263</v>
      </c>
      <c r="I1386" s="110">
        <v>1583949</v>
      </c>
    </row>
    <row r="1387" spans="1:12" x14ac:dyDescent="0.2">
      <c r="A1387" t="s">
        <v>36</v>
      </c>
      <c r="B1387" t="s">
        <v>107</v>
      </c>
      <c r="C1387" t="s">
        <v>220</v>
      </c>
      <c r="D1387" s="110">
        <v>887458</v>
      </c>
      <c r="E1387" s="110">
        <v>886593</v>
      </c>
      <c r="F1387" s="110">
        <v>886593</v>
      </c>
      <c r="G1387" s="110">
        <v>886593</v>
      </c>
      <c r="I1387" s="110">
        <v>883037</v>
      </c>
      <c r="J1387" s="110">
        <v>883610</v>
      </c>
      <c r="K1387" s="110">
        <v>884060</v>
      </c>
      <c r="L1387" s="110">
        <v>884060</v>
      </c>
    </row>
    <row r="1388" spans="1:12" x14ac:dyDescent="0.2">
      <c r="A1388" t="s">
        <v>36</v>
      </c>
      <c r="B1388" t="s">
        <v>107</v>
      </c>
      <c r="C1388" t="s">
        <v>221</v>
      </c>
      <c r="D1388" s="110">
        <v>929836</v>
      </c>
      <c r="E1388" s="110">
        <v>929366</v>
      </c>
      <c r="F1388" s="110">
        <v>929056</v>
      </c>
      <c r="I1388" s="110">
        <v>926866</v>
      </c>
      <c r="J1388" s="110">
        <v>827124</v>
      </c>
      <c r="K1388" s="110">
        <v>927184</v>
      </c>
    </row>
    <row r="1389" spans="1:12" x14ac:dyDescent="0.2">
      <c r="A1389" t="s">
        <v>36</v>
      </c>
      <c r="B1389" t="s">
        <v>107</v>
      </c>
      <c r="C1389" t="s">
        <v>222</v>
      </c>
      <c r="D1389" s="110">
        <v>883242</v>
      </c>
      <c r="E1389" s="110">
        <v>882447</v>
      </c>
      <c r="I1389" s="110">
        <v>879462</v>
      </c>
      <c r="J1389" s="110">
        <v>880230</v>
      </c>
    </row>
    <row r="1390" spans="1:12" x14ac:dyDescent="0.2">
      <c r="A1390" t="s">
        <v>36</v>
      </c>
      <c r="B1390" t="s">
        <v>107</v>
      </c>
      <c r="C1390" t="s">
        <v>223</v>
      </c>
      <c r="D1390" s="110">
        <v>1020727</v>
      </c>
      <c r="I1390" s="110">
        <v>1011667</v>
      </c>
    </row>
    <row r="1391" spans="1:12" x14ac:dyDescent="0.2">
      <c r="A1391" t="s">
        <v>36</v>
      </c>
      <c r="B1391" t="s">
        <v>108</v>
      </c>
      <c r="C1391" t="s">
        <v>220</v>
      </c>
      <c r="D1391" s="110">
        <v>248184</v>
      </c>
      <c r="E1391" s="110">
        <v>247839</v>
      </c>
      <c r="F1391" s="110">
        <v>247669</v>
      </c>
      <c r="G1391" s="110">
        <v>247038</v>
      </c>
      <c r="I1391" s="110">
        <v>246638</v>
      </c>
      <c r="J1391" s="110">
        <v>246619</v>
      </c>
      <c r="K1391" s="110">
        <v>246990</v>
      </c>
      <c r="L1391" s="110">
        <v>246990</v>
      </c>
    </row>
    <row r="1392" spans="1:12" x14ac:dyDescent="0.2">
      <c r="A1392" t="s">
        <v>36</v>
      </c>
      <c r="B1392" t="s">
        <v>108</v>
      </c>
      <c r="C1392" t="s">
        <v>221</v>
      </c>
      <c r="D1392" s="110">
        <v>287997</v>
      </c>
      <c r="E1392" s="110">
        <v>285206</v>
      </c>
      <c r="F1392" s="110">
        <v>284952</v>
      </c>
      <c r="I1392" s="110">
        <v>283234</v>
      </c>
      <c r="J1392" s="110">
        <v>283740</v>
      </c>
      <c r="K1392" s="110">
        <v>284353</v>
      </c>
    </row>
    <row r="1393" spans="1:12" x14ac:dyDescent="0.2">
      <c r="A1393" t="s">
        <v>36</v>
      </c>
      <c r="B1393" t="s">
        <v>108</v>
      </c>
      <c r="C1393" t="s">
        <v>222</v>
      </c>
      <c r="D1393" s="110">
        <v>281059</v>
      </c>
      <c r="E1393" s="110">
        <v>278005</v>
      </c>
      <c r="I1393" s="110">
        <v>275945</v>
      </c>
      <c r="J1393" s="110">
        <v>277122</v>
      </c>
    </row>
    <row r="1394" spans="1:12" x14ac:dyDescent="0.2">
      <c r="A1394" t="s">
        <v>36</v>
      </c>
      <c r="B1394" t="s">
        <v>108</v>
      </c>
      <c r="C1394" t="s">
        <v>223</v>
      </c>
      <c r="D1394" s="110">
        <v>273304</v>
      </c>
      <c r="I1394" s="110">
        <v>271073</v>
      </c>
    </row>
    <row r="1395" spans="1:12" x14ac:dyDescent="0.2">
      <c r="A1395" t="s">
        <v>36</v>
      </c>
      <c r="B1395" t="s">
        <v>70</v>
      </c>
      <c r="C1395" t="s">
        <v>220</v>
      </c>
      <c r="D1395" s="110">
        <v>444918</v>
      </c>
      <c r="E1395" s="110">
        <v>434944</v>
      </c>
      <c r="F1395" s="110">
        <v>433824</v>
      </c>
      <c r="G1395" s="110">
        <v>433541</v>
      </c>
      <c r="I1395" s="110">
        <v>414648</v>
      </c>
      <c r="J1395" s="110">
        <v>417071</v>
      </c>
      <c r="K1395" s="110">
        <v>417115</v>
      </c>
      <c r="L1395" s="110">
        <v>417622</v>
      </c>
    </row>
    <row r="1396" spans="1:12" x14ac:dyDescent="0.2">
      <c r="A1396" t="s">
        <v>36</v>
      </c>
      <c r="B1396" t="s">
        <v>70</v>
      </c>
      <c r="C1396" t="s">
        <v>221</v>
      </c>
      <c r="D1396" s="110">
        <v>470275</v>
      </c>
      <c r="E1396" s="110">
        <v>462994</v>
      </c>
      <c r="F1396" s="110">
        <v>462592</v>
      </c>
      <c r="I1396" s="110">
        <v>447067</v>
      </c>
      <c r="J1396" s="110">
        <v>447545</v>
      </c>
      <c r="K1396" s="110">
        <v>447475</v>
      </c>
    </row>
    <row r="1397" spans="1:12" x14ac:dyDescent="0.2">
      <c r="A1397" t="s">
        <v>36</v>
      </c>
      <c r="B1397" t="s">
        <v>70</v>
      </c>
      <c r="C1397" t="s">
        <v>222</v>
      </c>
      <c r="D1397" s="110">
        <v>544689</v>
      </c>
      <c r="E1397" s="110">
        <v>532411</v>
      </c>
      <c r="I1397" s="110">
        <v>514324</v>
      </c>
      <c r="J1397" s="110">
        <v>516071</v>
      </c>
    </row>
    <row r="1398" spans="1:12" x14ac:dyDescent="0.2">
      <c r="A1398" t="s">
        <v>36</v>
      </c>
      <c r="B1398" t="s">
        <v>70</v>
      </c>
      <c r="C1398" t="s">
        <v>223</v>
      </c>
      <c r="D1398" s="110">
        <v>532114</v>
      </c>
      <c r="I1398" s="110">
        <v>504169</v>
      </c>
    </row>
    <row r="1399" spans="1:12" x14ac:dyDescent="0.2">
      <c r="A1399" t="s">
        <v>36</v>
      </c>
      <c r="B1399" t="s">
        <v>110</v>
      </c>
      <c r="C1399" t="s">
        <v>220</v>
      </c>
      <c r="D1399" s="110">
        <v>3992639</v>
      </c>
      <c r="E1399" s="110">
        <v>2742865</v>
      </c>
      <c r="F1399" s="110">
        <v>2656706</v>
      </c>
      <c r="G1399" s="110">
        <v>2644714</v>
      </c>
      <c r="I1399" s="110">
        <v>1503969</v>
      </c>
      <c r="J1399" s="110">
        <v>2165592</v>
      </c>
      <c r="K1399" s="110">
        <v>2267869</v>
      </c>
      <c r="L1399" s="110">
        <v>2313412</v>
      </c>
    </row>
    <row r="1400" spans="1:12" x14ac:dyDescent="0.2">
      <c r="A1400" t="s">
        <v>36</v>
      </c>
      <c r="B1400" t="s">
        <v>110</v>
      </c>
      <c r="C1400" t="s">
        <v>221</v>
      </c>
      <c r="D1400" s="110">
        <v>6289242</v>
      </c>
      <c r="E1400" s="110">
        <v>5215893</v>
      </c>
      <c r="F1400" s="110">
        <v>4949953</v>
      </c>
      <c r="I1400" s="110">
        <v>2337256</v>
      </c>
      <c r="J1400" s="110">
        <v>3207601</v>
      </c>
      <c r="K1400" s="110">
        <v>3393970</v>
      </c>
    </row>
    <row r="1401" spans="1:12" x14ac:dyDescent="0.2">
      <c r="A1401" t="s">
        <v>36</v>
      </c>
      <c r="B1401" t="s">
        <v>110</v>
      </c>
      <c r="C1401" t="s">
        <v>222</v>
      </c>
      <c r="D1401" s="110">
        <v>40460466</v>
      </c>
      <c r="E1401" s="110">
        <v>3005251</v>
      </c>
      <c r="I1401" s="110">
        <v>1702483</v>
      </c>
      <c r="J1401" s="110">
        <v>2323032</v>
      </c>
    </row>
    <row r="1402" spans="1:12" x14ac:dyDescent="0.2">
      <c r="A1402" t="s">
        <v>36</v>
      </c>
      <c r="B1402" t="s">
        <v>110</v>
      </c>
      <c r="C1402" t="s">
        <v>223</v>
      </c>
      <c r="D1402" s="110">
        <v>6484023</v>
      </c>
      <c r="I1402" s="110">
        <v>2136551</v>
      </c>
    </row>
    <row r="1403" spans="1:12" x14ac:dyDescent="0.2">
      <c r="A1403" t="s">
        <v>37</v>
      </c>
      <c r="B1403" t="s">
        <v>104</v>
      </c>
      <c r="C1403" t="s">
        <v>220</v>
      </c>
      <c r="D1403" s="110">
        <v>1063087.17</v>
      </c>
      <c r="E1403" s="110">
        <v>1058557.3899999999</v>
      </c>
      <c r="F1403" s="110">
        <v>1053553.1599999999</v>
      </c>
      <c r="G1403" s="110">
        <v>1050273.29</v>
      </c>
      <c r="I1403" s="110">
        <v>78983.08</v>
      </c>
      <c r="J1403" s="110">
        <v>111662.1</v>
      </c>
      <c r="K1403" s="110">
        <v>133902.35</v>
      </c>
      <c r="L1403" s="110">
        <v>151670.53</v>
      </c>
    </row>
    <row r="1404" spans="1:12" x14ac:dyDescent="0.2">
      <c r="A1404" t="s">
        <v>37</v>
      </c>
      <c r="B1404" t="s">
        <v>104</v>
      </c>
      <c r="C1404" t="s">
        <v>221</v>
      </c>
      <c r="D1404" s="110">
        <v>967182</v>
      </c>
      <c r="E1404" s="110">
        <v>1198219.19</v>
      </c>
      <c r="F1404" s="110">
        <v>1195783.25</v>
      </c>
      <c r="I1404" s="110">
        <v>76228.210000000006</v>
      </c>
      <c r="J1404" s="110">
        <v>106186.7</v>
      </c>
      <c r="K1404" s="110">
        <v>130200.49</v>
      </c>
    </row>
    <row r="1405" spans="1:12" x14ac:dyDescent="0.2">
      <c r="A1405" t="s">
        <v>37</v>
      </c>
      <c r="B1405" t="s">
        <v>104</v>
      </c>
      <c r="C1405" t="s">
        <v>222</v>
      </c>
      <c r="D1405" s="110">
        <v>1257719.69</v>
      </c>
      <c r="E1405" s="110">
        <v>1256568</v>
      </c>
      <c r="I1405" s="110">
        <v>79914.48</v>
      </c>
      <c r="J1405" s="110">
        <v>112489.85</v>
      </c>
    </row>
    <row r="1406" spans="1:12" x14ac:dyDescent="0.2">
      <c r="A1406" t="s">
        <v>37</v>
      </c>
      <c r="B1406" t="s">
        <v>104</v>
      </c>
      <c r="C1406" t="s">
        <v>223</v>
      </c>
      <c r="D1406" s="110">
        <v>1704082.57</v>
      </c>
      <c r="I1406" s="110">
        <v>68102.11</v>
      </c>
    </row>
    <row r="1407" spans="1:12" x14ac:dyDescent="0.2">
      <c r="A1407" t="s">
        <v>37</v>
      </c>
      <c r="B1407" t="s">
        <v>140</v>
      </c>
      <c r="C1407" t="s">
        <v>220</v>
      </c>
      <c r="D1407" s="110">
        <v>159461.42000000001</v>
      </c>
      <c r="E1407" s="110">
        <v>159461.42000000001</v>
      </c>
      <c r="F1407" s="110">
        <v>159461.42000000001</v>
      </c>
      <c r="G1407" s="110">
        <v>159461.42000000001</v>
      </c>
      <c r="I1407" s="110">
        <v>221</v>
      </c>
      <c r="J1407" s="110">
        <v>306</v>
      </c>
      <c r="K1407" s="110">
        <v>585</v>
      </c>
      <c r="L1407" s="110">
        <v>780.1</v>
      </c>
    </row>
    <row r="1408" spans="1:12" x14ac:dyDescent="0.2">
      <c r="A1408" t="s">
        <v>37</v>
      </c>
      <c r="B1408" t="s">
        <v>140</v>
      </c>
      <c r="C1408" t="s">
        <v>221</v>
      </c>
      <c r="D1408" s="110">
        <v>165345.51999999999</v>
      </c>
      <c r="E1408" s="110">
        <v>275568.02</v>
      </c>
      <c r="F1408" s="110">
        <v>275568.02</v>
      </c>
      <c r="I1408" s="110">
        <v>169.64</v>
      </c>
      <c r="J1408" s="110">
        <v>396.5</v>
      </c>
      <c r="K1408" s="110">
        <v>613.5</v>
      </c>
    </row>
    <row r="1409" spans="1:12" x14ac:dyDescent="0.2">
      <c r="A1409" t="s">
        <v>37</v>
      </c>
      <c r="B1409" t="s">
        <v>140</v>
      </c>
      <c r="C1409" t="s">
        <v>222</v>
      </c>
      <c r="D1409" s="110">
        <v>218974.15</v>
      </c>
      <c r="E1409" s="110">
        <v>219074.15</v>
      </c>
      <c r="I1409" s="110">
        <v>103</v>
      </c>
      <c r="J1409" s="110">
        <v>188</v>
      </c>
    </row>
    <row r="1410" spans="1:12" x14ac:dyDescent="0.2">
      <c r="A1410" t="s">
        <v>37</v>
      </c>
      <c r="B1410" t="s">
        <v>140</v>
      </c>
      <c r="C1410" t="s">
        <v>223</v>
      </c>
      <c r="D1410" s="110">
        <v>272259.83</v>
      </c>
      <c r="I1410" s="110">
        <v>278</v>
      </c>
    </row>
    <row r="1411" spans="1:12" x14ac:dyDescent="0.2">
      <c r="A1411" t="s">
        <v>37</v>
      </c>
      <c r="B1411" t="s">
        <v>105</v>
      </c>
      <c r="C1411" t="s">
        <v>220</v>
      </c>
      <c r="D1411" s="110">
        <v>223399.55</v>
      </c>
      <c r="E1411" s="110">
        <v>231616.34</v>
      </c>
      <c r="F1411" s="110">
        <v>231531.64</v>
      </c>
      <c r="G1411" s="110">
        <v>231472.64000000001</v>
      </c>
      <c r="I1411" s="110">
        <v>24992.51</v>
      </c>
      <c r="J1411" s="110">
        <v>43024.27</v>
      </c>
      <c r="K1411" s="110">
        <v>51627.6</v>
      </c>
      <c r="L1411" s="110">
        <v>57409.38</v>
      </c>
    </row>
    <row r="1412" spans="1:12" x14ac:dyDescent="0.2">
      <c r="A1412" t="s">
        <v>37</v>
      </c>
      <c r="B1412" t="s">
        <v>105</v>
      </c>
      <c r="C1412" t="s">
        <v>221</v>
      </c>
      <c r="D1412" s="110">
        <v>208545.89</v>
      </c>
      <c r="E1412" s="110">
        <v>222862.34</v>
      </c>
      <c r="F1412" s="110">
        <v>221107.46</v>
      </c>
      <c r="I1412" s="110">
        <v>26390.7</v>
      </c>
      <c r="J1412" s="110">
        <v>39813.65</v>
      </c>
      <c r="K1412" s="110">
        <v>47052.95</v>
      </c>
    </row>
    <row r="1413" spans="1:12" x14ac:dyDescent="0.2">
      <c r="A1413" t="s">
        <v>37</v>
      </c>
      <c r="B1413" t="s">
        <v>105</v>
      </c>
      <c r="C1413" t="s">
        <v>222</v>
      </c>
      <c r="D1413" s="110">
        <v>217439.72</v>
      </c>
      <c r="E1413" s="110">
        <v>217395.04</v>
      </c>
      <c r="I1413" s="110">
        <v>26244.43</v>
      </c>
      <c r="J1413" s="110">
        <v>37514.019999999997</v>
      </c>
    </row>
    <row r="1414" spans="1:12" x14ac:dyDescent="0.2">
      <c r="A1414" t="s">
        <v>37</v>
      </c>
      <c r="B1414" t="s">
        <v>105</v>
      </c>
      <c r="C1414" t="s">
        <v>223</v>
      </c>
      <c r="D1414" s="110">
        <v>235097.79</v>
      </c>
      <c r="I1414" s="110">
        <v>23012.58</v>
      </c>
    </row>
    <row r="1415" spans="1:12" x14ac:dyDescent="0.2">
      <c r="A1415" t="s">
        <v>37</v>
      </c>
      <c r="B1415" t="s">
        <v>111</v>
      </c>
      <c r="C1415" t="s">
        <v>220</v>
      </c>
      <c r="D1415" s="110">
        <v>15340.5</v>
      </c>
      <c r="E1415" s="110">
        <v>15190.5</v>
      </c>
      <c r="F1415" s="110">
        <v>15140.5</v>
      </c>
      <c r="G1415" s="110">
        <v>15140.5</v>
      </c>
      <c r="I1415" s="110">
        <v>187.5</v>
      </c>
      <c r="J1415" s="110">
        <v>1801.5</v>
      </c>
      <c r="K1415" s="110">
        <v>2592.5</v>
      </c>
      <c r="L1415" s="110">
        <v>2805.5</v>
      </c>
    </row>
    <row r="1416" spans="1:12" x14ac:dyDescent="0.2">
      <c r="A1416" t="s">
        <v>37</v>
      </c>
      <c r="B1416" t="s">
        <v>111</v>
      </c>
      <c r="C1416" t="s">
        <v>221</v>
      </c>
      <c r="D1416" s="110">
        <v>15532</v>
      </c>
      <c r="E1416" s="110">
        <v>15332</v>
      </c>
      <c r="F1416" s="110">
        <v>15332</v>
      </c>
      <c r="I1416" s="110">
        <v>422</v>
      </c>
      <c r="J1416" s="110">
        <v>1463.5</v>
      </c>
      <c r="K1416" s="110">
        <v>1839.5</v>
      </c>
    </row>
    <row r="1417" spans="1:12" x14ac:dyDescent="0.2">
      <c r="A1417" t="s">
        <v>37</v>
      </c>
      <c r="B1417" t="s">
        <v>111</v>
      </c>
      <c r="C1417" t="s">
        <v>222</v>
      </c>
      <c r="D1417" s="110">
        <v>19825.099999999999</v>
      </c>
      <c r="E1417" s="110">
        <v>19825.099999999999</v>
      </c>
      <c r="I1417" s="110">
        <v>2039.1</v>
      </c>
      <c r="J1417" s="110">
        <v>2719.1</v>
      </c>
    </row>
    <row r="1418" spans="1:12" x14ac:dyDescent="0.2">
      <c r="A1418" t="s">
        <v>37</v>
      </c>
      <c r="B1418" t="s">
        <v>111</v>
      </c>
      <c r="C1418" t="s">
        <v>223</v>
      </c>
      <c r="D1418" s="110">
        <v>12644.5</v>
      </c>
      <c r="I1418" s="110">
        <v>1033.5</v>
      </c>
    </row>
    <row r="1419" spans="1:12" x14ac:dyDescent="0.2">
      <c r="A1419" t="s">
        <v>37</v>
      </c>
      <c r="B1419" t="s">
        <v>109</v>
      </c>
      <c r="C1419" t="s">
        <v>220</v>
      </c>
      <c r="D1419" s="110">
        <v>155490.31</v>
      </c>
      <c r="E1419" s="110">
        <v>153848.04999999999</v>
      </c>
      <c r="F1419" s="110">
        <v>153424.76</v>
      </c>
      <c r="G1419" s="110">
        <v>152815.92000000001</v>
      </c>
      <c r="I1419" s="110">
        <v>42642.41</v>
      </c>
      <c r="J1419" s="110">
        <v>54458.77</v>
      </c>
      <c r="K1419" s="110">
        <v>59962.13</v>
      </c>
      <c r="L1419" s="110">
        <v>66311.38</v>
      </c>
    </row>
    <row r="1420" spans="1:12" x14ac:dyDescent="0.2">
      <c r="A1420" t="s">
        <v>37</v>
      </c>
      <c r="B1420" t="s">
        <v>109</v>
      </c>
      <c r="C1420" t="s">
        <v>221</v>
      </c>
      <c r="D1420" s="110">
        <v>175859.85</v>
      </c>
      <c r="E1420" s="110">
        <v>182357.01</v>
      </c>
      <c r="F1420" s="110">
        <v>182049.01</v>
      </c>
      <c r="I1420" s="110">
        <v>44388.24</v>
      </c>
      <c r="J1420" s="110">
        <v>55827.199999999997</v>
      </c>
      <c r="K1420" s="110">
        <v>62795.42</v>
      </c>
    </row>
    <row r="1421" spans="1:12" x14ac:dyDescent="0.2">
      <c r="A1421" t="s">
        <v>37</v>
      </c>
      <c r="B1421" t="s">
        <v>109</v>
      </c>
      <c r="C1421" t="s">
        <v>222</v>
      </c>
      <c r="D1421" s="110">
        <v>187303.34</v>
      </c>
      <c r="E1421" s="110">
        <v>186777.1</v>
      </c>
      <c r="I1421" s="110">
        <v>39103.9</v>
      </c>
      <c r="J1421" s="110">
        <v>49269.05</v>
      </c>
    </row>
    <row r="1422" spans="1:12" x14ac:dyDescent="0.2">
      <c r="A1422" t="s">
        <v>37</v>
      </c>
      <c r="B1422" t="s">
        <v>109</v>
      </c>
      <c r="C1422" t="s">
        <v>223</v>
      </c>
      <c r="D1422" s="110">
        <v>195309.63</v>
      </c>
      <c r="I1422" s="110">
        <v>35287.040000000001</v>
      </c>
    </row>
    <row r="1423" spans="1:12" x14ac:dyDescent="0.2">
      <c r="A1423" t="s">
        <v>37</v>
      </c>
      <c r="B1423" t="s">
        <v>106</v>
      </c>
      <c r="C1423" t="s">
        <v>220</v>
      </c>
      <c r="D1423" s="110">
        <v>321956.78000000003</v>
      </c>
      <c r="E1423" s="110">
        <v>312984.78000000003</v>
      </c>
      <c r="F1423" s="110">
        <v>312434.78000000003</v>
      </c>
      <c r="G1423" s="110">
        <v>312034.78000000003</v>
      </c>
      <c r="I1423" s="110">
        <v>261855.58</v>
      </c>
      <c r="J1423" s="110">
        <v>263331.26</v>
      </c>
      <c r="K1423" s="110">
        <v>265724.48</v>
      </c>
      <c r="L1423" s="110">
        <v>266869.51</v>
      </c>
    </row>
    <row r="1424" spans="1:12" x14ac:dyDescent="0.2">
      <c r="A1424" t="s">
        <v>37</v>
      </c>
      <c r="B1424" t="s">
        <v>106</v>
      </c>
      <c r="C1424" t="s">
        <v>221</v>
      </c>
      <c r="D1424" s="110">
        <v>438138.22</v>
      </c>
      <c r="E1424" s="110">
        <v>426868.22</v>
      </c>
      <c r="F1424" s="110">
        <v>423483.22</v>
      </c>
      <c r="I1424" s="110">
        <v>368056.55</v>
      </c>
      <c r="J1424" s="110">
        <v>379808.11</v>
      </c>
      <c r="K1424" s="110">
        <v>380517.54</v>
      </c>
    </row>
    <row r="1425" spans="1:12" x14ac:dyDescent="0.2">
      <c r="A1425" t="s">
        <v>37</v>
      </c>
      <c r="B1425" t="s">
        <v>106</v>
      </c>
      <c r="C1425" t="s">
        <v>222</v>
      </c>
      <c r="D1425" s="110">
        <v>436551.89</v>
      </c>
      <c r="E1425" s="110">
        <v>427649.99</v>
      </c>
      <c r="I1425" s="110">
        <v>372185.01</v>
      </c>
      <c r="J1425" s="110">
        <v>384936.19</v>
      </c>
    </row>
    <row r="1426" spans="1:12" x14ac:dyDescent="0.2">
      <c r="A1426" t="s">
        <v>37</v>
      </c>
      <c r="B1426" t="s">
        <v>106</v>
      </c>
      <c r="C1426" t="s">
        <v>223</v>
      </c>
      <c r="D1426" s="110">
        <v>433583.09</v>
      </c>
      <c r="I1426" s="110">
        <v>356442.63</v>
      </c>
    </row>
    <row r="1427" spans="1:12" x14ac:dyDescent="0.2">
      <c r="A1427" t="s">
        <v>37</v>
      </c>
      <c r="B1427" t="s">
        <v>107</v>
      </c>
      <c r="C1427" t="s">
        <v>220</v>
      </c>
      <c r="D1427" s="110">
        <v>308275.53000000003</v>
      </c>
      <c r="E1427" s="110">
        <v>307681.26</v>
      </c>
      <c r="F1427" s="110">
        <v>307631.26</v>
      </c>
      <c r="G1427" s="110">
        <v>307631.26</v>
      </c>
      <c r="I1427" s="110">
        <v>302621.26</v>
      </c>
      <c r="J1427" s="110">
        <v>304308.76</v>
      </c>
      <c r="K1427" s="110">
        <v>304320.76</v>
      </c>
      <c r="L1427" s="110">
        <v>304330.76</v>
      </c>
    </row>
    <row r="1428" spans="1:12" x14ac:dyDescent="0.2">
      <c r="A1428" t="s">
        <v>37</v>
      </c>
      <c r="B1428" t="s">
        <v>107</v>
      </c>
      <c r="C1428" t="s">
        <v>221</v>
      </c>
      <c r="D1428" s="110">
        <v>378202.57</v>
      </c>
      <c r="E1428" s="110">
        <v>377679.57</v>
      </c>
      <c r="F1428" s="110">
        <v>377679.57</v>
      </c>
      <c r="I1428" s="110">
        <v>366533.57</v>
      </c>
      <c r="J1428" s="110">
        <v>374770.07</v>
      </c>
      <c r="K1428" s="110">
        <v>374974.07</v>
      </c>
    </row>
    <row r="1429" spans="1:12" x14ac:dyDescent="0.2">
      <c r="A1429" t="s">
        <v>37</v>
      </c>
      <c r="B1429" t="s">
        <v>107</v>
      </c>
      <c r="C1429" t="s">
        <v>222</v>
      </c>
      <c r="D1429" s="110">
        <v>399063.83</v>
      </c>
      <c r="E1429" s="110">
        <v>394254.83</v>
      </c>
      <c r="I1429" s="110">
        <v>379824.01</v>
      </c>
      <c r="J1429" s="110">
        <v>388438.01</v>
      </c>
    </row>
    <row r="1430" spans="1:12" x14ac:dyDescent="0.2">
      <c r="A1430" t="s">
        <v>37</v>
      </c>
      <c r="B1430" t="s">
        <v>107</v>
      </c>
      <c r="C1430" t="s">
        <v>223</v>
      </c>
      <c r="D1430" s="110">
        <v>415957.9</v>
      </c>
      <c r="I1430" s="110">
        <v>407938</v>
      </c>
    </row>
    <row r="1431" spans="1:12" x14ac:dyDescent="0.2">
      <c r="A1431" t="s">
        <v>37</v>
      </c>
      <c r="B1431" t="s">
        <v>108</v>
      </c>
      <c r="C1431" t="s">
        <v>220</v>
      </c>
      <c r="D1431" s="110">
        <v>91338.57</v>
      </c>
      <c r="E1431" s="110">
        <v>89251.57</v>
      </c>
      <c r="F1431" s="110">
        <v>89251.57</v>
      </c>
      <c r="G1431" s="110">
        <v>89251.57</v>
      </c>
      <c r="I1431" s="110">
        <v>86768.57</v>
      </c>
      <c r="J1431" s="110">
        <v>87723.57</v>
      </c>
      <c r="K1431" s="110">
        <v>87723.57</v>
      </c>
      <c r="L1431" s="110">
        <v>87723.57</v>
      </c>
    </row>
    <row r="1432" spans="1:12" x14ac:dyDescent="0.2">
      <c r="A1432" t="s">
        <v>37</v>
      </c>
      <c r="B1432" t="s">
        <v>108</v>
      </c>
      <c r="C1432" t="s">
        <v>221</v>
      </c>
      <c r="D1432" s="110">
        <v>88247.4</v>
      </c>
      <c r="E1432" s="110">
        <v>88187.4</v>
      </c>
      <c r="F1432" s="110">
        <v>87387.4</v>
      </c>
      <c r="I1432" s="110">
        <v>82725.399999999994</v>
      </c>
      <c r="J1432" s="110">
        <v>83329.399999999994</v>
      </c>
      <c r="K1432" s="110">
        <v>83414.399999999994</v>
      </c>
    </row>
    <row r="1433" spans="1:12" x14ac:dyDescent="0.2">
      <c r="A1433" t="s">
        <v>37</v>
      </c>
      <c r="B1433" t="s">
        <v>108</v>
      </c>
      <c r="C1433" t="s">
        <v>222</v>
      </c>
      <c r="D1433" s="110">
        <v>89983.7</v>
      </c>
      <c r="E1433" s="110">
        <v>88783.7</v>
      </c>
      <c r="I1433" s="110">
        <v>82564.2</v>
      </c>
      <c r="J1433" s="110">
        <v>86483.199999999997</v>
      </c>
    </row>
    <row r="1434" spans="1:12" x14ac:dyDescent="0.2">
      <c r="A1434" t="s">
        <v>37</v>
      </c>
      <c r="B1434" t="s">
        <v>108</v>
      </c>
      <c r="C1434" t="s">
        <v>223</v>
      </c>
      <c r="D1434" s="110">
        <v>77885.3</v>
      </c>
      <c r="I1434" s="110">
        <v>72855.8</v>
      </c>
    </row>
    <row r="1435" spans="1:12" x14ac:dyDescent="0.2">
      <c r="A1435" t="s">
        <v>37</v>
      </c>
      <c r="B1435" t="s">
        <v>70</v>
      </c>
      <c r="C1435" t="s">
        <v>220</v>
      </c>
      <c r="D1435" s="110">
        <v>110043.55</v>
      </c>
      <c r="E1435" s="110">
        <v>106419.05</v>
      </c>
      <c r="F1435" s="110">
        <v>105896.55</v>
      </c>
      <c r="G1435" s="110">
        <v>105846.55</v>
      </c>
      <c r="I1435" s="110">
        <v>92749.85</v>
      </c>
      <c r="J1435" s="110">
        <v>94963.85</v>
      </c>
      <c r="K1435" s="110">
        <v>95076.6</v>
      </c>
      <c r="L1435" s="110">
        <v>95130.85</v>
      </c>
    </row>
    <row r="1436" spans="1:12" x14ac:dyDescent="0.2">
      <c r="A1436" t="s">
        <v>37</v>
      </c>
      <c r="B1436" t="s">
        <v>70</v>
      </c>
      <c r="C1436" t="s">
        <v>221</v>
      </c>
      <c r="D1436" s="110">
        <v>124041.75</v>
      </c>
      <c r="E1436" s="110">
        <v>119949.25</v>
      </c>
      <c r="F1436" s="110">
        <v>119101.75</v>
      </c>
      <c r="I1436" s="110">
        <v>103747.1</v>
      </c>
      <c r="J1436" s="110">
        <v>109010.1</v>
      </c>
      <c r="K1436" s="110">
        <v>109576.6</v>
      </c>
    </row>
    <row r="1437" spans="1:12" x14ac:dyDescent="0.2">
      <c r="A1437" t="s">
        <v>37</v>
      </c>
      <c r="B1437" t="s">
        <v>70</v>
      </c>
      <c r="C1437" t="s">
        <v>222</v>
      </c>
      <c r="D1437" s="110">
        <v>125406.97</v>
      </c>
      <c r="E1437" s="110">
        <v>121211.97</v>
      </c>
      <c r="I1437" s="110">
        <v>101715.97</v>
      </c>
      <c r="J1437" s="110">
        <v>106272.76</v>
      </c>
    </row>
    <row r="1438" spans="1:12" x14ac:dyDescent="0.2">
      <c r="A1438" t="s">
        <v>37</v>
      </c>
      <c r="B1438" t="s">
        <v>70</v>
      </c>
      <c r="C1438" t="s">
        <v>223</v>
      </c>
      <c r="D1438" s="110">
        <v>134816.79999999999</v>
      </c>
      <c r="I1438" s="110">
        <v>113738.45</v>
      </c>
    </row>
    <row r="1439" spans="1:12" x14ac:dyDescent="0.2">
      <c r="A1439" t="s">
        <v>37</v>
      </c>
      <c r="B1439" t="s">
        <v>110</v>
      </c>
      <c r="C1439" t="s">
        <v>220</v>
      </c>
      <c r="D1439" s="110">
        <v>724287.1</v>
      </c>
      <c r="E1439" s="110">
        <v>690691.65</v>
      </c>
      <c r="F1439" s="110">
        <v>685052.7</v>
      </c>
      <c r="G1439" s="110">
        <v>684341.7</v>
      </c>
      <c r="I1439" s="110">
        <v>330750.59999999998</v>
      </c>
      <c r="J1439" s="110">
        <v>552865.72</v>
      </c>
      <c r="K1439" s="110">
        <v>603267.5</v>
      </c>
      <c r="L1439" s="110">
        <v>613437.61</v>
      </c>
    </row>
    <row r="1440" spans="1:12" x14ac:dyDescent="0.2">
      <c r="A1440" t="s">
        <v>37</v>
      </c>
      <c r="B1440" t="s">
        <v>110</v>
      </c>
      <c r="C1440" t="s">
        <v>221</v>
      </c>
      <c r="D1440" s="110">
        <v>1082041.79</v>
      </c>
      <c r="E1440" s="110">
        <v>1026112.24</v>
      </c>
      <c r="F1440" s="110">
        <v>1018861.89</v>
      </c>
      <c r="I1440" s="110">
        <v>498173.15</v>
      </c>
      <c r="J1440" s="110">
        <v>807699.25</v>
      </c>
      <c r="K1440" s="110">
        <v>881708.83</v>
      </c>
    </row>
    <row r="1441" spans="1:12" x14ac:dyDescent="0.2">
      <c r="A1441" t="s">
        <v>37</v>
      </c>
      <c r="B1441" t="s">
        <v>110</v>
      </c>
      <c r="C1441" t="s">
        <v>222</v>
      </c>
      <c r="D1441" s="110">
        <v>1217665.1299999999</v>
      </c>
      <c r="E1441" s="110">
        <v>1161869.48</v>
      </c>
      <c r="I1441" s="110">
        <v>533763.78</v>
      </c>
      <c r="J1441" s="110">
        <v>872280.79</v>
      </c>
    </row>
    <row r="1442" spans="1:12" x14ac:dyDescent="0.2">
      <c r="A1442" t="s">
        <v>37</v>
      </c>
      <c r="B1442" t="s">
        <v>110</v>
      </c>
      <c r="C1442" t="s">
        <v>223</v>
      </c>
      <c r="D1442" s="110">
        <v>1277249.3999999999</v>
      </c>
      <c r="I1442" s="110">
        <v>553451.6</v>
      </c>
    </row>
    <row r="1443" spans="1:12" x14ac:dyDescent="0.2">
      <c r="A1443" t="s">
        <v>38</v>
      </c>
      <c r="B1443" t="s">
        <v>104</v>
      </c>
      <c r="C1443" t="s">
        <v>220</v>
      </c>
      <c r="D1443" s="110">
        <v>68497</v>
      </c>
      <c r="E1443" s="110">
        <v>68248</v>
      </c>
      <c r="F1443" s="110">
        <v>68248</v>
      </c>
      <c r="G1443" s="110">
        <v>68702</v>
      </c>
      <c r="I1443" s="110">
        <v>638.99</v>
      </c>
      <c r="J1443" s="110">
        <v>3041.11</v>
      </c>
      <c r="K1443" s="110">
        <v>4249.01</v>
      </c>
      <c r="L1443" s="110">
        <v>6229.64</v>
      </c>
    </row>
    <row r="1444" spans="1:12" x14ac:dyDescent="0.2">
      <c r="A1444" t="s">
        <v>38</v>
      </c>
      <c r="B1444" t="s">
        <v>104</v>
      </c>
      <c r="C1444" t="s">
        <v>221</v>
      </c>
      <c r="D1444" s="110">
        <v>68574</v>
      </c>
      <c r="E1444" s="110">
        <v>68074</v>
      </c>
      <c r="F1444" s="110">
        <v>67959</v>
      </c>
      <c r="I1444" s="110">
        <v>2243.2199999999998</v>
      </c>
      <c r="J1444" s="110">
        <v>5965.72</v>
      </c>
      <c r="K1444" s="110">
        <v>9346.7800000000007</v>
      </c>
    </row>
    <row r="1445" spans="1:12" x14ac:dyDescent="0.2">
      <c r="A1445" t="s">
        <v>38</v>
      </c>
      <c r="B1445" t="s">
        <v>104</v>
      </c>
      <c r="C1445" t="s">
        <v>222</v>
      </c>
      <c r="D1445" s="110">
        <v>115872</v>
      </c>
      <c r="E1445" s="110">
        <v>115172</v>
      </c>
      <c r="I1445" s="110">
        <v>1451.83</v>
      </c>
      <c r="J1445" s="110">
        <v>3616.39</v>
      </c>
    </row>
    <row r="1446" spans="1:12" x14ac:dyDescent="0.2">
      <c r="A1446" t="s">
        <v>38</v>
      </c>
      <c r="B1446" t="s">
        <v>104</v>
      </c>
      <c r="C1446" t="s">
        <v>223</v>
      </c>
      <c r="D1446" s="110">
        <v>139463.45000000001</v>
      </c>
      <c r="I1446" s="110">
        <v>1809.78</v>
      </c>
    </row>
    <row r="1447" spans="1:12" x14ac:dyDescent="0.2">
      <c r="A1447" t="s">
        <v>38</v>
      </c>
      <c r="B1447" t="s">
        <v>140</v>
      </c>
      <c r="C1447" t="s">
        <v>220</v>
      </c>
    </row>
    <row r="1448" spans="1:12" x14ac:dyDescent="0.2">
      <c r="A1448" t="s">
        <v>38</v>
      </c>
      <c r="B1448" t="s">
        <v>140</v>
      </c>
      <c r="C1448" t="s">
        <v>221</v>
      </c>
    </row>
    <row r="1449" spans="1:12" x14ac:dyDescent="0.2">
      <c r="A1449" t="s">
        <v>38</v>
      </c>
      <c r="B1449" t="s">
        <v>140</v>
      </c>
      <c r="C1449" t="s">
        <v>222</v>
      </c>
    </row>
    <row r="1450" spans="1:12" x14ac:dyDescent="0.2">
      <c r="A1450" t="s">
        <v>38</v>
      </c>
      <c r="B1450" t="s">
        <v>140</v>
      </c>
      <c r="C1450" t="s">
        <v>223</v>
      </c>
    </row>
    <row r="1451" spans="1:12" x14ac:dyDescent="0.2">
      <c r="A1451" t="s">
        <v>38</v>
      </c>
      <c r="B1451" t="s">
        <v>105</v>
      </c>
      <c r="C1451" t="s">
        <v>220</v>
      </c>
      <c r="D1451" s="110">
        <v>47095</v>
      </c>
      <c r="E1451" s="110">
        <v>45455</v>
      </c>
      <c r="F1451" s="110">
        <v>42667.5</v>
      </c>
      <c r="G1451" s="110">
        <v>42501.5</v>
      </c>
      <c r="I1451" s="110">
        <v>1673</v>
      </c>
      <c r="J1451" s="110">
        <v>6971</v>
      </c>
      <c r="K1451" s="110">
        <v>12244</v>
      </c>
      <c r="L1451" s="110">
        <v>17506.5</v>
      </c>
    </row>
    <row r="1452" spans="1:12" x14ac:dyDescent="0.2">
      <c r="A1452" t="s">
        <v>38</v>
      </c>
      <c r="B1452" t="s">
        <v>105</v>
      </c>
      <c r="C1452" t="s">
        <v>221</v>
      </c>
      <c r="D1452" s="110">
        <v>45189.05</v>
      </c>
      <c r="E1452" s="110">
        <v>43386.45</v>
      </c>
      <c r="F1452" s="110">
        <v>42224.45</v>
      </c>
      <c r="I1452" s="110">
        <v>4684.3</v>
      </c>
      <c r="J1452" s="110">
        <v>9461.0499999999993</v>
      </c>
      <c r="K1452" s="110">
        <v>19128.55</v>
      </c>
    </row>
    <row r="1453" spans="1:12" x14ac:dyDescent="0.2">
      <c r="A1453" t="s">
        <v>38</v>
      </c>
      <c r="B1453" t="s">
        <v>105</v>
      </c>
      <c r="C1453" t="s">
        <v>222</v>
      </c>
      <c r="D1453" s="110">
        <v>45522.25</v>
      </c>
      <c r="E1453" s="110">
        <v>44206.19</v>
      </c>
      <c r="I1453" s="110">
        <v>3469.5</v>
      </c>
      <c r="J1453" s="110">
        <v>11185.26</v>
      </c>
    </row>
    <row r="1454" spans="1:12" x14ac:dyDescent="0.2">
      <c r="A1454" t="s">
        <v>38</v>
      </c>
      <c r="B1454" t="s">
        <v>105</v>
      </c>
      <c r="C1454" t="s">
        <v>223</v>
      </c>
      <c r="D1454" s="110">
        <v>44509.75</v>
      </c>
      <c r="I1454" s="110">
        <v>6728.75</v>
      </c>
    </row>
    <row r="1455" spans="1:12" x14ac:dyDescent="0.2">
      <c r="A1455" t="s">
        <v>38</v>
      </c>
      <c r="B1455" t="s">
        <v>111</v>
      </c>
      <c r="C1455" t="s">
        <v>220</v>
      </c>
      <c r="D1455" s="110">
        <v>1261</v>
      </c>
      <c r="E1455" s="110">
        <v>1061</v>
      </c>
      <c r="F1455" s="110">
        <v>1061</v>
      </c>
      <c r="G1455" s="110">
        <v>1011</v>
      </c>
      <c r="I1455" s="110">
        <v>241</v>
      </c>
      <c r="J1455" s="110">
        <v>421</v>
      </c>
      <c r="K1455" s="110">
        <v>546</v>
      </c>
      <c r="L1455" s="110">
        <v>596</v>
      </c>
    </row>
    <row r="1456" spans="1:12" x14ac:dyDescent="0.2">
      <c r="A1456" t="s">
        <v>38</v>
      </c>
      <c r="B1456" t="s">
        <v>111</v>
      </c>
      <c r="C1456" t="s">
        <v>221</v>
      </c>
      <c r="D1456" s="110">
        <v>1944</v>
      </c>
      <c r="E1456" s="110">
        <v>1944</v>
      </c>
      <c r="F1456" s="110">
        <v>1944</v>
      </c>
      <c r="I1456" s="110">
        <v>996</v>
      </c>
      <c r="J1456" s="110">
        <v>1146</v>
      </c>
      <c r="K1456" s="110">
        <v>1418</v>
      </c>
    </row>
    <row r="1457" spans="1:12" x14ac:dyDescent="0.2">
      <c r="A1457" t="s">
        <v>38</v>
      </c>
      <c r="B1457" t="s">
        <v>111</v>
      </c>
      <c r="C1457" t="s">
        <v>222</v>
      </c>
      <c r="D1457" s="110">
        <v>2721</v>
      </c>
      <c r="E1457" s="110">
        <v>2721</v>
      </c>
      <c r="I1457" s="110">
        <v>1396</v>
      </c>
      <c r="J1457" s="110">
        <v>1896</v>
      </c>
    </row>
    <row r="1458" spans="1:12" x14ac:dyDescent="0.2">
      <c r="A1458" t="s">
        <v>38</v>
      </c>
      <c r="B1458" t="s">
        <v>111</v>
      </c>
      <c r="C1458" t="s">
        <v>223</v>
      </c>
      <c r="D1458" s="110">
        <v>2049</v>
      </c>
      <c r="I1458" s="110">
        <v>839</v>
      </c>
    </row>
    <row r="1459" spans="1:12" x14ac:dyDescent="0.2">
      <c r="A1459" t="s">
        <v>38</v>
      </c>
      <c r="B1459" t="s">
        <v>109</v>
      </c>
      <c r="C1459" t="s">
        <v>220</v>
      </c>
      <c r="D1459" s="110">
        <v>59629.75</v>
      </c>
      <c r="E1459" s="110">
        <v>57033</v>
      </c>
      <c r="F1459" s="110">
        <v>56317.5</v>
      </c>
      <c r="G1459" s="110">
        <v>55439.1</v>
      </c>
      <c r="I1459" s="110">
        <v>4992.5</v>
      </c>
      <c r="J1459" s="110">
        <v>11559.77</v>
      </c>
      <c r="K1459" s="110">
        <v>18537.5</v>
      </c>
      <c r="L1459" s="110">
        <v>29046.6</v>
      </c>
    </row>
    <row r="1460" spans="1:12" x14ac:dyDescent="0.2">
      <c r="A1460" t="s">
        <v>38</v>
      </c>
      <c r="B1460" t="s">
        <v>109</v>
      </c>
      <c r="C1460" t="s">
        <v>221</v>
      </c>
      <c r="D1460" s="110">
        <v>49577.75</v>
      </c>
      <c r="E1460" s="110">
        <v>48754.75</v>
      </c>
      <c r="F1460" s="110">
        <v>47588.45</v>
      </c>
      <c r="I1460" s="110">
        <v>4339.25</v>
      </c>
      <c r="J1460" s="110">
        <v>16012.5</v>
      </c>
      <c r="K1460" s="110">
        <v>22757.5</v>
      </c>
    </row>
    <row r="1461" spans="1:12" x14ac:dyDescent="0.2">
      <c r="A1461" t="s">
        <v>38</v>
      </c>
      <c r="B1461" t="s">
        <v>109</v>
      </c>
      <c r="C1461" t="s">
        <v>222</v>
      </c>
      <c r="D1461" s="110">
        <v>50718.5</v>
      </c>
      <c r="E1461" s="110">
        <v>49025.53</v>
      </c>
      <c r="I1461" s="110">
        <v>4131.75</v>
      </c>
      <c r="J1461" s="110">
        <v>10991.68</v>
      </c>
    </row>
    <row r="1462" spans="1:12" x14ac:dyDescent="0.2">
      <c r="A1462" t="s">
        <v>38</v>
      </c>
      <c r="B1462" t="s">
        <v>109</v>
      </c>
      <c r="C1462" t="s">
        <v>223</v>
      </c>
      <c r="D1462" s="110">
        <v>40335.75</v>
      </c>
      <c r="I1462" s="110">
        <v>3463.25</v>
      </c>
    </row>
    <row r="1463" spans="1:12" x14ac:dyDescent="0.2">
      <c r="A1463" t="s">
        <v>38</v>
      </c>
      <c r="B1463" t="s">
        <v>106</v>
      </c>
      <c r="C1463" t="s">
        <v>220</v>
      </c>
      <c r="D1463" s="110">
        <v>42360</v>
      </c>
      <c r="E1463" s="110">
        <v>42275</v>
      </c>
      <c r="F1463" s="110">
        <v>42275</v>
      </c>
      <c r="G1463" s="110">
        <v>42275</v>
      </c>
      <c r="I1463" s="110">
        <v>40594</v>
      </c>
      <c r="J1463" s="110">
        <v>40794</v>
      </c>
      <c r="K1463" s="110">
        <v>40794</v>
      </c>
      <c r="L1463" s="110">
        <v>40794</v>
      </c>
    </row>
    <row r="1464" spans="1:12" x14ac:dyDescent="0.2">
      <c r="A1464" t="s">
        <v>38</v>
      </c>
      <c r="B1464" t="s">
        <v>106</v>
      </c>
      <c r="C1464" t="s">
        <v>221</v>
      </c>
      <c r="D1464" s="110">
        <v>46608</v>
      </c>
      <c r="E1464" s="110">
        <v>46608</v>
      </c>
      <c r="F1464" s="110">
        <v>46658</v>
      </c>
      <c r="I1464" s="110">
        <v>37065</v>
      </c>
      <c r="J1464" s="110">
        <v>43638</v>
      </c>
      <c r="K1464" s="110">
        <v>43738</v>
      </c>
    </row>
    <row r="1465" spans="1:12" x14ac:dyDescent="0.2">
      <c r="A1465" t="s">
        <v>38</v>
      </c>
      <c r="B1465" t="s">
        <v>106</v>
      </c>
      <c r="C1465" t="s">
        <v>222</v>
      </c>
      <c r="D1465" s="110">
        <v>65962.91</v>
      </c>
      <c r="E1465" s="110">
        <v>66257.91</v>
      </c>
      <c r="I1465" s="110">
        <v>59647.91</v>
      </c>
      <c r="J1465" s="110">
        <v>65020.41</v>
      </c>
    </row>
    <row r="1466" spans="1:12" x14ac:dyDescent="0.2">
      <c r="A1466" t="s">
        <v>38</v>
      </c>
      <c r="B1466" t="s">
        <v>106</v>
      </c>
      <c r="C1466" t="s">
        <v>223</v>
      </c>
      <c r="D1466" s="110">
        <v>44145.13</v>
      </c>
      <c r="I1466" s="110">
        <v>36470.25</v>
      </c>
    </row>
    <row r="1467" spans="1:12" x14ac:dyDescent="0.2">
      <c r="A1467" t="s">
        <v>38</v>
      </c>
      <c r="B1467" t="s">
        <v>107</v>
      </c>
      <c r="C1467" t="s">
        <v>220</v>
      </c>
      <c r="D1467" s="110">
        <v>48564.1</v>
      </c>
      <c r="E1467" s="110">
        <v>48564.1</v>
      </c>
      <c r="F1467" s="110">
        <v>48564.1</v>
      </c>
      <c r="G1467" s="110">
        <v>48564.1</v>
      </c>
      <c r="I1467" s="110">
        <v>45419.1</v>
      </c>
      <c r="J1467" s="110">
        <v>46879.1</v>
      </c>
      <c r="K1467" s="110">
        <v>47039.1</v>
      </c>
      <c r="L1467" s="110">
        <v>47039.1</v>
      </c>
    </row>
    <row r="1468" spans="1:12" x14ac:dyDescent="0.2">
      <c r="A1468" t="s">
        <v>38</v>
      </c>
      <c r="B1468" t="s">
        <v>107</v>
      </c>
      <c r="C1468" t="s">
        <v>221</v>
      </c>
      <c r="D1468" s="110">
        <v>47296.51</v>
      </c>
      <c r="E1468" s="110">
        <v>46996.51</v>
      </c>
      <c r="F1468" s="110">
        <v>46996.51</v>
      </c>
      <c r="I1468" s="110">
        <v>38122.51</v>
      </c>
      <c r="J1468" s="110">
        <v>45672.51</v>
      </c>
      <c r="K1468" s="110">
        <v>45681.51</v>
      </c>
    </row>
    <row r="1469" spans="1:12" x14ac:dyDescent="0.2">
      <c r="A1469" t="s">
        <v>38</v>
      </c>
      <c r="B1469" t="s">
        <v>107</v>
      </c>
      <c r="C1469" t="s">
        <v>222</v>
      </c>
      <c r="D1469" s="110">
        <v>52445.74</v>
      </c>
      <c r="E1469" s="110">
        <v>51640.74</v>
      </c>
      <c r="I1469" s="110">
        <v>46955.74</v>
      </c>
      <c r="J1469" s="110">
        <v>50850.74</v>
      </c>
    </row>
    <row r="1470" spans="1:12" x14ac:dyDescent="0.2">
      <c r="A1470" t="s">
        <v>38</v>
      </c>
      <c r="B1470" t="s">
        <v>107</v>
      </c>
      <c r="C1470" t="s">
        <v>223</v>
      </c>
      <c r="D1470" s="110">
        <v>48218.36</v>
      </c>
      <c r="I1470" s="110">
        <v>39773.360000000001</v>
      </c>
    </row>
    <row r="1471" spans="1:12" x14ac:dyDescent="0.2">
      <c r="A1471" t="s">
        <v>38</v>
      </c>
      <c r="B1471" t="s">
        <v>108</v>
      </c>
      <c r="C1471" t="s">
        <v>220</v>
      </c>
      <c r="D1471" s="110">
        <v>17960.25</v>
      </c>
      <c r="E1471" s="110">
        <v>17785.25</v>
      </c>
      <c r="F1471" s="110">
        <v>18020.25</v>
      </c>
      <c r="G1471" s="110">
        <v>18020.25</v>
      </c>
      <c r="I1471" s="110">
        <v>17130.25</v>
      </c>
      <c r="J1471" s="110">
        <v>17130.25</v>
      </c>
      <c r="K1471" s="110">
        <v>17130.25</v>
      </c>
      <c r="L1471" s="110">
        <v>17130.25</v>
      </c>
    </row>
    <row r="1472" spans="1:12" x14ac:dyDescent="0.2">
      <c r="A1472" t="s">
        <v>38</v>
      </c>
      <c r="B1472" t="s">
        <v>108</v>
      </c>
      <c r="C1472" t="s">
        <v>221</v>
      </c>
      <c r="D1472" s="110">
        <v>14385</v>
      </c>
      <c r="E1472" s="110">
        <v>14385</v>
      </c>
      <c r="F1472" s="110">
        <v>14385</v>
      </c>
      <c r="I1472" s="110">
        <v>11484</v>
      </c>
      <c r="J1472" s="110">
        <v>13809</v>
      </c>
      <c r="K1472" s="110">
        <v>13809</v>
      </c>
    </row>
    <row r="1473" spans="1:12" x14ac:dyDescent="0.2">
      <c r="A1473" t="s">
        <v>38</v>
      </c>
      <c r="B1473" t="s">
        <v>108</v>
      </c>
      <c r="C1473" t="s">
        <v>222</v>
      </c>
      <c r="D1473" s="110">
        <v>21121.89</v>
      </c>
      <c r="E1473" s="110">
        <v>21121.89</v>
      </c>
      <c r="I1473" s="110">
        <v>18134.89</v>
      </c>
      <c r="J1473" s="110">
        <v>20024.89</v>
      </c>
    </row>
    <row r="1474" spans="1:12" x14ac:dyDescent="0.2">
      <c r="A1474" t="s">
        <v>38</v>
      </c>
      <c r="B1474" t="s">
        <v>108</v>
      </c>
      <c r="C1474" t="s">
        <v>223</v>
      </c>
      <c r="D1474" s="110">
        <v>14775</v>
      </c>
      <c r="I1474" s="110">
        <v>12306</v>
      </c>
    </row>
    <row r="1475" spans="1:12" x14ac:dyDescent="0.2">
      <c r="A1475" t="s">
        <v>38</v>
      </c>
      <c r="B1475" t="s">
        <v>70</v>
      </c>
      <c r="C1475" t="s">
        <v>220</v>
      </c>
      <c r="D1475" s="110">
        <v>37625.949999999997</v>
      </c>
      <c r="E1475" s="110">
        <v>36298.949999999997</v>
      </c>
      <c r="F1475" s="110">
        <v>35973.949999999997</v>
      </c>
      <c r="G1475" s="110">
        <v>35973.949999999997</v>
      </c>
      <c r="I1475" s="110">
        <v>19837.78</v>
      </c>
      <c r="J1475" s="110">
        <v>22763.09</v>
      </c>
      <c r="K1475" s="110">
        <v>23293.09</v>
      </c>
      <c r="L1475" s="110">
        <v>23543.09</v>
      </c>
    </row>
    <row r="1476" spans="1:12" x14ac:dyDescent="0.2">
      <c r="A1476" t="s">
        <v>38</v>
      </c>
      <c r="B1476" t="s">
        <v>70</v>
      </c>
      <c r="C1476" t="s">
        <v>221</v>
      </c>
      <c r="D1476" s="110">
        <v>35334.199999999997</v>
      </c>
      <c r="E1476" s="110">
        <v>35244.199999999997</v>
      </c>
      <c r="F1476" s="110">
        <v>34949.199999999997</v>
      </c>
      <c r="I1476" s="110">
        <v>19616.37</v>
      </c>
      <c r="J1476" s="110">
        <v>21394.73</v>
      </c>
      <c r="K1476" s="110">
        <v>22128.05</v>
      </c>
    </row>
    <row r="1477" spans="1:12" x14ac:dyDescent="0.2">
      <c r="A1477" t="s">
        <v>38</v>
      </c>
      <c r="B1477" t="s">
        <v>70</v>
      </c>
      <c r="C1477" t="s">
        <v>222</v>
      </c>
      <c r="D1477" s="110">
        <v>49304.2</v>
      </c>
      <c r="E1477" s="110">
        <v>49184.2</v>
      </c>
      <c r="I1477" s="110">
        <v>27499.71</v>
      </c>
      <c r="J1477" s="110">
        <v>31028.71</v>
      </c>
    </row>
    <row r="1478" spans="1:12" x14ac:dyDescent="0.2">
      <c r="A1478" t="s">
        <v>38</v>
      </c>
      <c r="B1478" t="s">
        <v>70</v>
      </c>
      <c r="C1478" t="s">
        <v>223</v>
      </c>
      <c r="D1478" s="110">
        <v>36234.65</v>
      </c>
      <c r="I1478" s="110">
        <v>20480.349999999999</v>
      </c>
    </row>
    <row r="1479" spans="1:12" x14ac:dyDescent="0.2">
      <c r="A1479" t="s">
        <v>38</v>
      </c>
      <c r="B1479" t="s">
        <v>110</v>
      </c>
      <c r="C1479" t="s">
        <v>220</v>
      </c>
      <c r="D1479" s="110">
        <v>196195.79</v>
      </c>
      <c r="E1479" s="110">
        <v>193688.04</v>
      </c>
      <c r="F1479" s="110">
        <v>193456.24</v>
      </c>
      <c r="G1479" s="110">
        <v>193456.24</v>
      </c>
      <c r="I1479" s="110">
        <v>79752.56</v>
      </c>
      <c r="J1479" s="110">
        <v>127538.55</v>
      </c>
      <c r="K1479" s="110">
        <v>132222.41</v>
      </c>
      <c r="L1479" s="110">
        <v>135010.60999999999</v>
      </c>
    </row>
    <row r="1480" spans="1:12" x14ac:dyDescent="0.2">
      <c r="A1480" t="s">
        <v>38</v>
      </c>
      <c r="B1480" t="s">
        <v>110</v>
      </c>
      <c r="C1480" t="s">
        <v>221</v>
      </c>
      <c r="D1480" s="110">
        <v>176969.4</v>
      </c>
      <c r="E1480" s="110">
        <v>175150.05</v>
      </c>
      <c r="F1480" s="110">
        <v>175147.8</v>
      </c>
      <c r="I1480" s="110">
        <v>84106.15</v>
      </c>
      <c r="J1480" s="110">
        <v>117965.65</v>
      </c>
      <c r="K1480" s="110">
        <v>124435</v>
      </c>
    </row>
    <row r="1481" spans="1:12" x14ac:dyDescent="0.2">
      <c r="A1481" t="s">
        <v>38</v>
      </c>
      <c r="B1481" t="s">
        <v>110</v>
      </c>
      <c r="C1481" t="s">
        <v>222</v>
      </c>
      <c r="D1481" s="110">
        <v>200896.75</v>
      </c>
      <c r="E1481" s="110">
        <v>199588.45</v>
      </c>
      <c r="I1481" s="110">
        <v>96251.09</v>
      </c>
      <c r="J1481" s="110">
        <v>131199.4</v>
      </c>
    </row>
    <row r="1482" spans="1:12" x14ac:dyDescent="0.2">
      <c r="A1482" t="s">
        <v>38</v>
      </c>
      <c r="B1482" t="s">
        <v>110</v>
      </c>
      <c r="C1482" t="s">
        <v>223</v>
      </c>
      <c r="D1482" s="110">
        <v>218007.05</v>
      </c>
      <c r="I1482" s="110">
        <v>103708.08</v>
      </c>
    </row>
    <row r="1483" spans="1:12" x14ac:dyDescent="0.2">
      <c r="A1483" t="s">
        <v>39</v>
      </c>
      <c r="B1483" t="s">
        <v>104</v>
      </c>
      <c r="C1483" t="s">
        <v>220</v>
      </c>
      <c r="D1483" s="110">
        <v>16476</v>
      </c>
      <c r="E1483" s="110">
        <v>16476</v>
      </c>
      <c r="F1483" s="110">
        <v>16476</v>
      </c>
      <c r="G1483" s="110">
        <v>16476</v>
      </c>
      <c r="I1483" s="110">
        <v>364</v>
      </c>
      <c r="J1483" s="110">
        <v>706.89</v>
      </c>
      <c r="K1483" s="110">
        <v>1498.34</v>
      </c>
      <c r="L1483" s="110">
        <v>1812.17</v>
      </c>
    </row>
    <row r="1484" spans="1:12" x14ac:dyDescent="0.2">
      <c r="A1484" t="s">
        <v>39</v>
      </c>
      <c r="B1484" t="s">
        <v>104</v>
      </c>
      <c r="C1484" t="s">
        <v>221</v>
      </c>
      <c r="D1484" s="110">
        <v>23311</v>
      </c>
      <c r="E1484" s="110">
        <v>23311</v>
      </c>
      <c r="F1484" s="110">
        <v>23311</v>
      </c>
      <c r="I1484" s="110">
        <v>139</v>
      </c>
      <c r="J1484" s="110">
        <v>404.13</v>
      </c>
      <c r="K1484" s="110">
        <v>454.13</v>
      </c>
    </row>
    <row r="1485" spans="1:12" x14ac:dyDescent="0.2">
      <c r="A1485" t="s">
        <v>39</v>
      </c>
      <c r="B1485" t="s">
        <v>104</v>
      </c>
      <c r="C1485" t="s">
        <v>222</v>
      </c>
      <c r="D1485" s="110">
        <v>25185.5</v>
      </c>
      <c r="E1485" s="110">
        <v>25185.5</v>
      </c>
      <c r="I1485" s="110">
        <v>114.5</v>
      </c>
      <c r="J1485" s="110">
        <v>264.5</v>
      </c>
    </row>
    <row r="1486" spans="1:12" x14ac:dyDescent="0.2">
      <c r="A1486" t="s">
        <v>39</v>
      </c>
      <c r="B1486" t="s">
        <v>104</v>
      </c>
      <c r="C1486" t="s">
        <v>223</v>
      </c>
      <c r="D1486" s="110">
        <v>35785</v>
      </c>
      <c r="I1486" s="110">
        <v>2132.94</v>
      </c>
    </row>
    <row r="1487" spans="1:12" x14ac:dyDescent="0.2">
      <c r="A1487" t="s">
        <v>39</v>
      </c>
      <c r="B1487" t="s">
        <v>140</v>
      </c>
      <c r="C1487" t="s">
        <v>220</v>
      </c>
      <c r="D1487" s="110">
        <v>0</v>
      </c>
      <c r="E1487" s="110">
        <v>0</v>
      </c>
      <c r="F1487" s="110">
        <v>0</v>
      </c>
      <c r="G1487" s="110">
        <v>0</v>
      </c>
      <c r="I1487" s="110">
        <v>0</v>
      </c>
      <c r="J1487" s="110">
        <v>0</v>
      </c>
      <c r="K1487" s="110">
        <v>0</v>
      </c>
      <c r="L1487" s="110">
        <v>0</v>
      </c>
    </row>
    <row r="1488" spans="1:12" x14ac:dyDescent="0.2">
      <c r="A1488" t="s">
        <v>39</v>
      </c>
      <c r="B1488" t="s">
        <v>140</v>
      </c>
      <c r="C1488" t="s">
        <v>221</v>
      </c>
      <c r="D1488" s="110">
        <v>0</v>
      </c>
      <c r="E1488" s="110">
        <v>0</v>
      </c>
      <c r="F1488" s="110">
        <v>0</v>
      </c>
      <c r="I1488" s="110">
        <v>0</v>
      </c>
      <c r="J1488" s="110">
        <v>0</v>
      </c>
      <c r="K1488" s="110">
        <v>0</v>
      </c>
    </row>
    <row r="1489" spans="1:12" x14ac:dyDescent="0.2">
      <c r="A1489" t="s">
        <v>39</v>
      </c>
      <c r="B1489" t="s">
        <v>140</v>
      </c>
      <c r="C1489" t="s">
        <v>222</v>
      </c>
      <c r="D1489" s="110">
        <v>0</v>
      </c>
      <c r="E1489" s="110">
        <v>0</v>
      </c>
      <c r="I1489" s="110">
        <v>0</v>
      </c>
      <c r="J1489" s="110">
        <v>0</v>
      </c>
    </row>
    <row r="1490" spans="1:12" x14ac:dyDescent="0.2">
      <c r="A1490" t="s">
        <v>39</v>
      </c>
      <c r="B1490" t="s">
        <v>140</v>
      </c>
      <c r="C1490" t="s">
        <v>223</v>
      </c>
      <c r="D1490" s="110">
        <v>0</v>
      </c>
      <c r="I1490" s="110">
        <v>0</v>
      </c>
    </row>
    <row r="1491" spans="1:12" x14ac:dyDescent="0.2">
      <c r="A1491" t="s">
        <v>39</v>
      </c>
      <c r="B1491" t="s">
        <v>105</v>
      </c>
      <c r="C1491" t="s">
        <v>220</v>
      </c>
      <c r="D1491" s="110">
        <v>3005</v>
      </c>
      <c r="E1491" s="110">
        <v>2405</v>
      </c>
      <c r="F1491" s="110">
        <v>2405</v>
      </c>
      <c r="G1491" s="110">
        <v>2405</v>
      </c>
      <c r="I1491" s="110">
        <v>1289</v>
      </c>
      <c r="J1491" s="110">
        <v>1564</v>
      </c>
      <c r="K1491" s="110">
        <v>1780</v>
      </c>
      <c r="L1491" s="110">
        <v>2155</v>
      </c>
    </row>
    <row r="1492" spans="1:12" x14ac:dyDescent="0.2">
      <c r="A1492" t="s">
        <v>39</v>
      </c>
      <c r="B1492" t="s">
        <v>105</v>
      </c>
      <c r="C1492" t="s">
        <v>221</v>
      </c>
      <c r="D1492" s="110">
        <v>3166.5</v>
      </c>
      <c r="E1492" s="110">
        <v>3166.5</v>
      </c>
      <c r="F1492" s="110">
        <v>3166.5</v>
      </c>
      <c r="I1492" s="110">
        <v>1844.5</v>
      </c>
      <c r="J1492" s="110">
        <v>1966.5</v>
      </c>
      <c r="K1492" s="110">
        <v>1966.5</v>
      </c>
    </row>
    <row r="1493" spans="1:12" x14ac:dyDescent="0.2">
      <c r="A1493" t="s">
        <v>39</v>
      </c>
      <c r="B1493" t="s">
        <v>105</v>
      </c>
      <c r="C1493" t="s">
        <v>222</v>
      </c>
      <c r="D1493" s="110">
        <v>7432.5</v>
      </c>
      <c r="E1493" s="110">
        <v>7059.5</v>
      </c>
      <c r="I1493" s="110">
        <v>1285.5</v>
      </c>
      <c r="J1493" s="110">
        <v>1941.5</v>
      </c>
    </row>
    <row r="1494" spans="1:12" x14ac:dyDescent="0.2">
      <c r="A1494" t="s">
        <v>39</v>
      </c>
      <c r="B1494" t="s">
        <v>105</v>
      </c>
      <c r="C1494" t="s">
        <v>223</v>
      </c>
      <c r="D1494" s="110">
        <v>6584.5</v>
      </c>
      <c r="I1494" s="110">
        <v>1667</v>
      </c>
    </row>
    <row r="1495" spans="1:12" x14ac:dyDescent="0.2">
      <c r="A1495" t="s">
        <v>39</v>
      </c>
      <c r="B1495" t="s">
        <v>111</v>
      </c>
      <c r="C1495" t="s">
        <v>220</v>
      </c>
      <c r="D1495" s="110">
        <v>342</v>
      </c>
      <c r="E1495" s="110">
        <v>342</v>
      </c>
      <c r="F1495" s="110">
        <v>342</v>
      </c>
      <c r="G1495" s="110">
        <v>342</v>
      </c>
      <c r="I1495" s="110">
        <v>192</v>
      </c>
      <c r="J1495" s="110">
        <v>192</v>
      </c>
      <c r="K1495" s="110">
        <v>192</v>
      </c>
      <c r="L1495" s="110">
        <v>192</v>
      </c>
    </row>
    <row r="1496" spans="1:12" x14ac:dyDescent="0.2">
      <c r="A1496" t="s">
        <v>39</v>
      </c>
      <c r="B1496" t="s">
        <v>111</v>
      </c>
      <c r="C1496" t="s">
        <v>221</v>
      </c>
      <c r="D1496" s="110">
        <v>103.5</v>
      </c>
      <c r="E1496" s="110">
        <v>103.5</v>
      </c>
      <c r="F1496" s="110">
        <v>103.5</v>
      </c>
      <c r="I1496" s="110">
        <v>3.5</v>
      </c>
      <c r="J1496" s="110">
        <v>3.5</v>
      </c>
      <c r="K1496" s="110">
        <v>3.5</v>
      </c>
    </row>
    <row r="1497" spans="1:12" x14ac:dyDescent="0.2">
      <c r="A1497" t="s">
        <v>39</v>
      </c>
      <c r="B1497" t="s">
        <v>111</v>
      </c>
      <c r="C1497" t="s">
        <v>222</v>
      </c>
      <c r="D1497" s="110">
        <v>268.5</v>
      </c>
      <c r="E1497" s="110">
        <v>268.5</v>
      </c>
      <c r="I1497" s="110">
        <v>3.5</v>
      </c>
      <c r="J1497" s="110">
        <v>3.5</v>
      </c>
    </row>
    <row r="1498" spans="1:12" x14ac:dyDescent="0.2">
      <c r="A1498" t="s">
        <v>39</v>
      </c>
      <c r="B1498" t="s">
        <v>111</v>
      </c>
      <c r="C1498" t="s">
        <v>223</v>
      </c>
      <c r="D1498" s="110">
        <v>418.5</v>
      </c>
      <c r="I1498" s="110">
        <v>3.5</v>
      </c>
    </row>
    <row r="1499" spans="1:12" x14ac:dyDescent="0.2">
      <c r="A1499" t="s">
        <v>39</v>
      </c>
      <c r="B1499" t="s">
        <v>109</v>
      </c>
      <c r="C1499" t="s">
        <v>220</v>
      </c>
      <c r="D1499" s="110">
        <v>5721</v>
      </c>
      <c r="E1499" s="110">
        <v>5721</v>
      </c>
      <c r="F1499" s="110">
        <v>5721</v>
      </c>
      <c r="G1499" s="110">
        <v>5721</v>
      </c>
      <c r="I1499" s="110">
        <v>875</v>
      </c>
      <c r="J1499" s="110">
        <v>3018</v>
      </c>
      <c r="K1499" s="110">
        <v>3118</v>
      </c>
      <c r="L1499" s="110">
        <v>4133</v>
      </c>
    </row>
    <row r="1500" spans="1:12" x14ac:dyDescent="0.2">
      <c r="A1500" t="s">
        <v>39</v>
      </c>
      <c r="B1500" t="s">
        <v>109</v>
      </c>
      <c r="C1500" t="s">
        <v>221</v>
      </c>
      <c r="D1500" s="110">
        <v>1770</v>
      </c>
      <c r="E1500" s="110">
        <v>1770</v>
      </c>
      <c r="F1500" s="110">
        <v>1770</v>
      </c>
      <c r="I1500" s="110">
        <v>455</v>
      </c>
      <c r="J1500" s="110">
        <v>555</v>
      </c>
      <c r="K1500" s="110">
        <v>810</v>
      </c>
    </row>
    <row r="1501" spans="1:12" x14ac:dyDescent="0.2">
      <c r="A1501" t="s">
        <v>39</v>
      </c>
      <c r="B1501" t="s">
        <v>109</v>
      </c>
      <c r="C1501" t="s">
        <v>222</v>
      </c>
      <c r="D1501" s="110">
        <v>1726</v>
      </c>
      <c r="E1501" s="110">
        <v>1726</v>
      </c>
      <c r="I1501" s="110">
        <v>420.5</v>
      </c>
      <c r="J1501" s="110">
        <v>870.5</v>
      </c>
    </row>
    <row r="1502" spans="1:12" x14ac:dyDescent="0.2">
      <c r="A1502" t="s">
        <v>39</v>
      </c>
      <c r="B1502" t="s">
        <v>109</v>
      </c>
      <c r="C1502" t="s">
        <v>223</v>
      </c>
      <c r="D1502" s="110">
        <v>5299.5</v>
      </c>
      <c r="I1502" s="110">
        <v>1325.5</v>
      </c>
    </row>
    <row r="1503" spans="1:12" x14ac:dyDescent="0.2">
      <c r="A1503" t="s">
        <v>39</v>
      </c>
      <c r="B1503" t="s">
        <v>106</v>
      </c>
      <c r="C1503" t="s">
        <v>220</v>
      </c>
      <c r="D1503" s="110">
        <v>4880</v>
      </c>
      <c r="E1503" s="110">
        <v>4880</v>
      </c>
      <c r="F1503" s="110">
        <v>4880</v>
      </c>
      <c r="G1503" s="110">
        <v>4880</v>
      </c>
      <c r="I1503" s="110">
        <v>4830</v>
      </c>
      <c r="J1503" s="110">
        <v>4830</v>
      </c>
      <c r="K1503" s="110">
        <v>4830</v>
      </c>
      <c r="L1503" s="110">
        <v>4830</v>
      </c>
    </row>
    <row r="1504" spans="1:12" x14ac:dyDescent="0.2">
      <c r="A1504" t="s">
        <v>39</v>
      </c>
      <c r="B1504" t="s">
        <v>106</v>
      </c>
      <c r="C1504" t="s">
        <v>221</v>
      </c>
      <c r="D1504" s="110">
        <v>6108</v>
      </c>
      <c r="E1504" s="110">
        <v>6108</v>
      </c>
      <c r="F1504" s="110">
        <v>6108</v>
      </c>
      <c r="I1504" s="110">
        <v>6108</v>
      </c>
      <c r="J1504" s="110">
        <v>6108</v>
      </c>
      <c r="K1504" s="110">
        <v>6108</v>
      </c>
    </row>
    <row r="1505" spans="1:12" x14ac:dyDescent="0.2">
      <c r="A1505" t="s">
        <v>39</v>
      </c>
      <c r="B1505" t="s">
        <v>106</v>
      </c>
      <c r="C1505" t="s">
        <v>222</v>
      </c>
      <c r="D1505" s="110">
        <v>7340</v>
      </c>
      <c r="E1505" s="110">
        <v>7340</v>
      </c>
      <c r="I1505" s="110">
        <v>6520</v>
      </c>
      <c r="J1505" s="110">
        <v>7340</v>
      </c>
    </row>
    <row r="1506" spans="1:12" x14ac:dyDescent="0.2">
      <c r="A1506" t="s">
        <v>39</v>
      </c>
      <c r="B1506" t="s">
        <v>106</v>
      </c>
      <c r="C1506" t="s">
        <v>223</v>
      </c>
      <c r="D1506" s="110">
        <v>6845</v>
      </c>
      <c r="I1506" s="110">
        <v>6845</v>
      </c>
    </row>
    <row r="1507" spans="1:12" x14ac:dyDescent="0.2">
      <c r="A1507" t="s">
        <v>39</v>
      </c>
      <c r="B1507" t="s">
        <v>107</v>
      </c>
      <c r="C1507" t="s">
        <v>220</v>
      </c>
      <c r="D1507" s="110">
        <v>5041.59</v>
      </c>
      <c r="E1507" s="110">
        <v>4846.59</v>
      </c>
      <c r="F1507" s="110">
        <v>4846.59</v>
      </c>
      <c r="G1507" s="110">
        <v>4846.59</v>
      </c>
      <c r="I1507" s="110">
        <v>4846.59</v>
      </c>
      <c r="J1507" s="110">
        <v>4846.59</v>
      </c>
      <c r="K1507" s="110">
        <v>4846.59</v>
      </c>
      <c r="L1507" s="110">
        <v>4846.59</v>
      </c>
    </row>
    <row r="1508" spans="1:12" x14ac:dyDescent="0.2">
      <c r="A1508" t="s">
        <v>39</v>
      </c>
      <c r="B1508" t="s">
        <v>107</v>
      </c>
      <c r="C1508" t="s">
        <v>221</v>
      </c>
      <c r="D1508" s="110">
        <v>4826</v>
      </c>
      <c r="E1508" s="110">
        <v>4321</v>
      </c>
      <c r="F1508" s="110">
        <v>4321</v>
      </c>
      <c r="I1508" s="110">
        <v>4321</v>
      </c>
      <c r="J1508" s="110">
        <v>4321</v>
      </c>
      <c r="K1508" s="110">
        <v>4321</v>
      </c>
    </row>
    <row r="1509" spans="1:12" x14ac:dyDescent="0.2">
      <c r="A1509" t="s">
        <v>39</v>
      </c>
      <c r="B1509" t="s">
        <v>107</v>
      </c>
      <c r="C1509" t="s">
        <v>222</v>
      </c>
      <c r="D1509" s="110">
        <v>6641</v>
      </c>
      <c r="E1509" s="110">
        <v>6456</v>
      </c>
      <c r="I1509" s="110">
        <v>6456</v>
      </c>
      <c r="J1509" s="110">
        <v>6456</v>
      </c>
    </row>
    <row r="1510" spans="1:12" x14ac:dyDescent="0.2">
      <c r="A1510" t="s">
        <v>39</v>
      </c>
      <c r="B1510" t="s">
        <v>107</v>
      </c>
      <c r="C1510" t="s">
        <v>223</v>
      </c>
      <c r="D1510" s="110">
        <v>7115</v>
      </c>
      <c r="I1510" s="110">
        <v>6775</v>
      </c>
    </row>
    <row r="1511" spans="1:12" x14ac:dyDescent="0.2">
      <c r="A1511" t="s">
        <v>39</v>
      </c>
      <c r="B1511" t="s">
        <v>108</v>
      </c>
      <c r="C1511" t="s">
        <v>220</v>
      </c>
      <c r="D1511" s="110">
        <v>1303</v>
      </c>
      <c r="E1511" s="110">
        <v>1303</v>
      </c>
      <c r="F1511" s="110">
        <v>1303</v>
      </c>
      <c r="G1511" s="110">
        <v>1303</v>
      </c>
      <c r="I1511" s="110">
        <v>1303</v>
      </c>
      <c r="J1511" s="110">
        <v>1303</v>
      </c>
      <c r="K1511" s="110">
        <v>1303</v>
      </c>
      <c r="L1511" s="110">
        <v>1303</v>
      </c>
    </row>
    <row r="1512" spans="1:12" x14ac:dyDescent="0.2">
      <c r="A1512" t="s">
        <v>39</v>
      </c>
      <c r="B1512" t="s">
        <v>108</v>
      </c>
      <c r="C1512" t="s">
        <v>221</v>
      </c>
      <c r="D1512" s="110">
        <v>2747</v>
      </c>
      <c r="E1512" s="110">
        <v>2747</v>
      </c>
      <c r="F1512" s="110">
        <v>2747</v>
      </c>
      <c r="I1512" s="110">
        <v>2747</v>
      </c>
      <c r="J1512" s="110">
        <v>2747</v>
      </c>
      <c r="K1512" s="110">
        <v>2747</v>
      </c>
    </row>
    <row r="1513" spans="1:12" x14ac:dyDescent="0.2">
      <c r="A1513" t="s">
        <v>39</v>
      </c>
      <c r="B1513" t="s">
        <v>108</v>
      </c>
      <c r="C1513" t="s">
        <v>222</v>
      </c>
      <c r="D1513" s="110">
        <v>1899</v>
      </c>
      <c r="E1513" s="110">
        <v>1899</v>
      </c>
      <c r="I1513" s="110">
        <v>1899</v>
      </c>
      <c r="J1513" s="110">
        <v>1899</v>
      </c>
    </row>
    <row r="1514" spans="1:12" x14ac:dyDescent="0.2">
      <c r="A1514" t="s">
        <v>39</v>
      </c>
      <c r="B1514" t="s">
        <v>108</v>
      </c>
      <c r="C1514" t="s">
        <v>223</v>
      </c>
      <c r="D1514" s="110">
        <v>786</v>
      </c>
      <c r="I1514" s="110">
        <v>786</v>
      </c>
    </row>
    <row r="1515" spans="1:12" x14ac:dyDescent="0.2">
      <c r="A1515" t="s">
        <v>39</v>
      </c>
      <c r="B1515" t="s">
        <v>70</v>
      </c>
      <c r="C1515" t="s">
        <v>220</v>
      </c>
      <c r="D1515" s="110">
        <v>3910.5</v>
      </c>
      <c r="E1515" s="110">
        <v>3910.5</v>
      </c>
      <c r="F1515" s="110">
        <v>3910.5</v>
      </c>
      <c r="G1515" s="110">
        <v>3910.5</v>
      </c>
      <c r="I1515" s="110">
        <v>3360.5</v>
      </c>
      <c r="J1515" s="110">
        <v>3360.5</v>
      </c>
      <c r="K1515" s="110">
        <v>3410.5</v>
      </c>
      <c r="L1515" s="110">
        <v>3410.5</v>
      </c>
    </row>
    <row r="1516" spans="1:12" x14ac:dyDescent="0.2">
      <c r="A1516" t="s">
        <v>39</v>
      </c>
      <c r="B1516" t="s">
        <v>70</v>
      </c>
      <c r="C1516" t="s">
        <v>221</v>
      </c>
      <c r="D1516" s="110">
        <v>1918</v>
      </c>
      <c r="E1516" s="110">
        <v>1918</v>
      </c>
      <c r="F1516" s="110">
        <v>1918</v>
      </c>
      <c r="I1516" s="110">
        <v>1918</v>
      </c>
      <c r="J1516" s="110">
        <v>1918</v>
      </c>
      <c r="K1516" s="110">
        <v>1918</v>
      </c>
    </row>
    <row r="1517" spans="1:12" x14ac:dyDescent="0.2">
      <c r="A1517" t="s">
        <v>39</v>
      </c>
      <c r="B1517" t="s">
        <v>70</v>
      </c>
      <c r="C1517" t="s">
        <v>222</v>
      </c>
      <c r="D1517" s="110">
        <v>5969.5</v>
      </c>
      <c r="E1517" s="110">
        <v>5667.5</v>
      </c>
      <c r="I1517" s="110">
        <v>5139.5</v>
      </c>
      <c r="J1517" s="110">
        <v>5139.5</v>
      </c>
    </row>
    <row r="1518" spans="1:12" x14ac:dyDescent="0.2">
      <c r="A1518" t="s">
        <v>39</v>
      </c>
      <c r="B1518" t="s">
        <v>70</v>
      </c>
      <c r="C1518" t="s">
        <v>223</v>
      </c>
      <c r="D1518" s="110">
        <v>4631.5</v>
      </c>
      <c r="I1518" s="110">
        <v>4231.5</v>
      </c>
    </row>
    <row r="1519" spans="1:12" x14ac:dyDescent="0.2">
      <c r="A1519" t="s">
        <v>39</v>
      </c>
      <c r="B1519" t="s">
        <v>110</v>
      </c>
      <c r="C1519" t="s">
        <v>220</v>
      </c>
      <c r="D1519" s="110">
        <v>24961</v>
      </c>
      <c r="E1519" s="110">
        <v>20892.349999999999</v>
      </c>
      <c r="F1519" s="110">
        <v>20734.349999999999</v>
      </c>
      <c r="G1519" s="110">
        <v>20734.349999999999</v>
      </c>
      <c r="I1519" s="110">
        <v>7903</v>
      </c>
      <c r="J1519" s="110">
        <v>15265.6</v>
      </c>
      <c r="K1519" s="110">
        <v>17540.099999999999</v>
      </c>
      <c r="L1519" s="110">
        <v>18561.099999999999</v>
      </c>
    </row>
    <row r="1520" spans="1:12" x14ac:dyDescent="0.2">
      <c r="A1520" t="s">
        <v>39</v>
      </c>
      <c r="B1520" t="s">
        <v>110</v>
      </c>
      <c r="C1520" t="s">
        <v>221</v>
      </c>
      <c r="D1520" s="110">
        <v>57499</v>
      </c>
      <c r="E1520" s="110">
        <v>53659</v>
      </c>
      <c r="F1520" s="110">
        <v>53458</v>
      </c>
      <c r="I1520" s="110">
        <v>30185.9</v>
      </c>
      <c r="J1520" s="110">
        <v>45098.5</v>
      </c>
      <c r="K1520" s="110">
        <v>47116</v>
      </c>
    </row>
    <row r="1521" spans="1:12" x14ac:dyDescent="0.2">
      <c r="A1521" t="s">
        <v>39</v>
      </c>
      <c r="B1521" t="s">
        <v>110</v>
      </c>
      <c r="C1521" t="s">
        <v>222</v>
      </c>
      <c r="D1521" s="110">
        <v>73607.600000000006</v>
      </c>
      <c r="E1521" s="110">
        <v>71938.100000000006</v>
      </c>
      <c r="I1521" s="110">
        <v>36237.35</v>
      </c>
      <c r="J1521" s="110">
        <v>58022.6</v>
      </c>
    </row>
    <row r="1522" spans="1:12" x14ac:dyDescent="0.2">
      <c r="A1522" t="s">
        <v>39</v>
      </c>
      <c r="B1522" t="s">
        <v>110</v>
      </c>
      <c r="C1522" t="s">
        <v>223</v>
      </c>
      <c r="D1522" s="110">
        <v>49208.9</v>
      </c>
      <c r="I1522" s="110">
        <v>20722.400000000001</v>
      </c>
    </row>
    <row r="1523" spans="1:12" x14ac:dyDescent="0.2">
      <c r="A1523" t="s">
        <v>40</v>
      </c>
      <c r="B1523" t="s">
        <v>104</v>
      </c>
      <c r="C1523" t="s">
        <v>220</v>
      </c>
      <c r="D1523" s="110">
        <v>91827.05</v>
      </c>
      <c r="E1523" s="110">
        <v>91830.05</v>
      </c>
      <c r="F1523" s="110">
        <v>91445.05</v>
      </c>
      <c r="G1523" s="110">
        <v>91545.05</v>
      </c>
      <c r="I1523" s="110">
        <v>1831.16</v>
      </c>
      <c r="J1523" s="110">
        <v>3386.13</v>
      </c>
      <c r="K1523" s="110">
        <v>5288.06</v>
      </c>
      <c r="L1523" s="110">
        <v>6376.26</v>
      </c>
    </row>
    <row r="1524" spans="1:12" x14ac:dyDescent="0.2">
      <c r="A1524" t="s">
        <v>40</v>
      </c>
      <c r="B1524" t="s">
        <v>104</v>
      </c>
      <c r="C1524" t="s">
        <v>221</v>
      </c>
      <c r="D1524" s="110">
        <v>137180.5</v>
      </c>
      <c r="E1524" s="110">
        <v>138313.5</v>
      </c>
      <c r="F1524" s="110">
        <v>137928.5</v>
      </c>
      <c r="I1524" s="110">
        <v>2109.62</v>
      </c>
      <c r="J1524" s="110">
        <v>5658.44</v>
      </c>
      <c r="K1524" s="110">
        <v>6772.52</v>
      </c>
    </row>
    <row r="1525" spans="1:12" x14ac:dyDescent="0.2">
      <c r="A1525" t="s">
        <v>40</v>
      </c>
      <c r="B1525" t="s">
        <v>104</v>
      </c>
      <c r="C1525" t="s">
        <v>222</v>
      </c>
      <c r="D1525" s="110">
        <v>72137.5</v>
      </c>
      <c r="E1525" s="110">
        <v>72207.5</v>
      </c>
      <c r="I1525" s="110">
        <v>4989.26</v>
      </c>
      <c r="J1525" s="110">
        <v>6381.2</v>
      </c>
    </row>
    <row r="1526" spans="1:12" x14ac:dyDescent="0.2">
      <c r="A1526" t="s">
        <v>40</v>
      </c>
      <c r="B1526" t="s">
        <v>104</v>
      </c>
      <c r="C1526" t="s">
        <v>223</v>
      </c>
      <c r="D1526" s="110">
        <v>59335.95</v>
      </c>
      <c r="I1526" s="110">
        <v>1929.53</v>
      </c>
    </row>
    <row r="1527" spans="1:12" x14ac:dyDescent="0.2">
      <c r="A1527" t="s">
        <v>40</v>
      </c>
      <c r="B1527" t="s">
        <v>140</v>
      </c>
      <c r="C1527" t="s">
        <v>220</v>
      </c>
      <c r="D1527" s="110">
        <v>0</v>
      </c>
      <c r="E1527" s="110">
        <v>0</v>
      </c>
      <c r="F1527" s="110">
        <v>0</v>
      </c>
      <c r="G1527" s="110">
        <v>0</v>
      </c>
      <c r="I1527" s="110">
        <v>0</v>
      </c>
      <c r="J1527" s="110">
        <v>0</v>
      </c>
      <c r="K1527" s="110">
        <v>0</v>
      </c>
      <c r="L1527" s="110">
        <v>0</v>
      </c>
    </row>
    <row r="1528" spans="1:12" x14ac:dyDescent="0.2">
      <c r="A1528" t="s">
        <v>40</v>
      </c>
      <c r="B1528" t="s">
        <v>140</v>
      </c>
      <c r="C1528" t="s">
        <v>221</v>
      </c>
      <c r="D1528" s="110">
        <v>0</v>
      </c>
      <c r="E1528" s="110">
        <v>0</v>
      </c>
      <c r="F1528" s="110">
        <v>0</v>
      </c>
      <c r="I1528" s="110">
        <v>0</v>
      </c>
      <c r="J1528" s="110">
        <v>0</v>
      </c>
      <c r="K1528" s="110">
        <v>0</v>
      </c>
    </row>
    <row r="1529" spans="1:12" x14ac:dyDescent="0.2">
      <c r="A1529" t="s">
        <v>40</v>
      </c>
      <c r="B1529" t="s">
        <v>140</v>
      </c>
      <c r="C1529" t="s">
        <v>222</v>
      </c>
      <c r="D1529" s="110">
        <v>0</v>
      </c>
      <c r="E1529" s="110">
        <v>0</v>
      </c>
      <c r="I1529" s="110">
        <v>0</v>
      </c>
      <c r="J1529" s="110">
        <v>0</v>
      </c>
    </row>
    <row r="1530" spans="1:12" x14ac:dyDescent="0.2">
      <c r="A1530" t="s">
        <v>40</v>
      </c>
      <c r="B1530" t="s">
        <v>140</v>
      </c>
      <c r="C1530" t="s">
        <v>223</v>
      </c>
      <c r="D1530" s="110">
        <v>0</v>
      </c>
      <c r="I1530" s="110">
        <v>0</v>
      </c>
    </row>
    <row r="1531" spans="1:12" x14ac:dyDescent="0.2">
      <c r="A1531" t="s">
        <v>40</v>
      </c>
      <c r="B1531" t="s">
        <v>105</v>
      </c>
      <c r="C1531" t="s">
        <v>220</v>
      </c>
      <c r="D1531" s="110">
        <v>10117.5</v>
      </c>
      <c r="E1531" s="110">
        <v>10117.5</v>
      </c>
      <c r="F1531" s="110">
        <v>10117.5</v>
      </c>
      <c r="G1531" s="110">
        <v>10117.5</v>
      </c>
      <c r="I1531" s="110">
        <v>1312.5</v>
      </c>
      <c r="J1531" s="110">
        <v>2652</v>
      </c>
      <c r="K1531" s="110">
        <v>4652</v>
      </c>
      <c r="L1531" s="110">
        <v>5382.5</v>
      </c>
    </row>
    <row r="1532" spans="1:12" x14ac:dyDescent="0.2">
      <c r="A1532" t="s">
        <v>40</v>
      </c>
      <c r="B1532" t="s">
        <v>105</v>
      </c>
      <c r="C1532" t="s">
        <v>221</v>
      </c>
      <c r="D1532" s="110">
        <v>9836.1</v>
      </c>
      <c r="E1532" s="110">
        <v>9836.1</v>
      </c>
      <c r="F1532" s="110">
        <v>9836.1</v>
      </c>
      <c r="I1532" s="110">
        <v>1234.5</v>
      </c>
      <c r="J1532" s="110">
        <v>3448.1</v>
      </c>
      <c r="K1532" s="110">
        <v>4097.6000000000004</v>
      </c>
    </row>
    <row r="1533" spans="1:12" x14ac:dyDescent="0.2">
      <c r="A1533" t="s">
        <v>40</v>
      </c>
      <c r="B1533" t="s">
        <v>105</v>
      </c>
      <c r="C1533" t="s">
        <v>222</v>
      </c>
      <c r="D1533" s="110">
        <v>10989.8</v>
      </c>
      <c r="E1533" s="110">
        <v>10966.8</v>
      </c>
      <c r="I1533" s="110">
        <v>2593.6</v>
      </c>
      <c r="J1533" s="110">
        <v>3590.6</v>
      </c>
    </row>
    <row r="1534" spans="1:12" x14ac:dyDescent="0.2">
      <c r="A1534" t="s">
        <v>40</v>
      </c>
      <c r="B1534" t="s">
        <v>105</v>
      </c>
      <c r="C1534" t="s">
        <v>223</v>
      </c>
      <c r="D1534" s="110">
        <v>12737.5</v>
      </c>
      <c r="I1534" s="110">
        <v>2240</v>
      </c>
    </row>
    <row r="1535" spans="1:12" x14ac:dyDescent="0.2">
      <c r="A1535" t="s">
        <v>40</v>
      </c>
      <c r="B1535" t="s">
        <v>111</v>
      </c>
      <c r="C1535" t="s">
        <v>220</v>
      </c>
      <c r="D1535" s="110">
        <v>450</v>
      </c>
      <c r="E1535" s="110">
        <v>250</v>
      </c>
      <c r="F1535" s="110">
        <v>150</v>
      </c>
      <c r="G1535" s="110">
        <v>150</v>
      </c>
      <c r="I1535" s="110">
        <v>0</v>
      </c>
      <c r="J1535" s="110">
        <v>0</v>
      </c>
      <c r="K1535" s="110">
        <v>0</v>
      </c>
      <c r="L1535" s="110">
        <v>0</v>
      </c>
    </row>
    <row r="1536" spans="1:12" x14ac:dyDescent="0.2">
      <c r="A1536" t="s">
        <v>40</v>
      </c>
      <c r="B1536" t="s">
        <v>111</v>
      </c>
      <c r="C1536" t="s">
        <v>221</v>
      </c>
      <c r="D1536" s="110">
        <v>1050</v>
      </c>
      <c r="E1536" s="110">
        <v>1050</v>
      </c>
      <c r="F1536" s="110">
        <v>1050</v>
      </c>
      <c r="I1536" s="110">
        <v>0</v>
      </c>
      <c r="J1536" s="110">
        <v>150</v>
      </c>
      <c r="K1536" s="110">
        <v>150</v>
      </c>
    </row>
    <row r="1537" spans="1:12" x14ac:dyDescent="0.2">
      <c r="A1537" t="s">
        <v>40</v>
      </c>
      <c r="B1537" t="s">
        <v>111</v>
      </c>
      <c r="C1537" t="s">
        <v>222</v>
      </c>
      <c r="D1537" s="110">
        <v>1150</v>
      </c>
      <c r="E1537" s="110">
        <v>1150</v>
      </c>
      <c r="I1537" s="110">
        <v>0</v>
      </c>
      <c r="J1537" s="110">
        <v>0</v>
      </c>
    </row>
    <row r="1538" spans="1:12" x14ac:dyDescent="0.2">
      <c r="A1538" t="s">
        <v>40</v>
      </c>
      <c r="B1538" t="s">
        <v>111</v>
      </c>
      <c r="C1538" t="s">
        <v>223</v>
      </c>
      <c r="D1538" s="110">
        <v>1136</v>
      </c>
      <c r="I1538" s="110">
        <v>0</v>
      </c>
    </row>
    <row r="1539" spans="1:12" x14ac:dyDescent="0.2">
      <c r="A1539" t="s">
        <v>40</v>
      </c>
      <c r="B1539" t="s">
        <v>109</v>
      </c>
      <c r="C1539" t="s">
        <v>220</v>
      </c>
      <c r="D1539" s="110">
        <v>17594</v>
      </c>
      <c r="E1539" s="110">
        <v>17594</v>
      </c>
      <c r="F1539" s="110">
        <v>17594</v>
      </c>
      <c r="G1539" s="110">
        <v>17594</v>
      </c>
      <c r="I1539" s="110">
        <v>4478.3</v>
      </c>
      <c r="J1539" s="110">
        <v>8065.2</v>
      </c>
      <c r="K1539" s="110">
        <v>13711.2</v>
      </c>
      <c r="L1539" s="110">
        <v>13871.2</v>
      </c>
    </row>
    <row r="1540" spans="1:12" x14ac:dyDescent="0.2">
      <c r="A1540" t="s">
        <v>40</v>
      </c>
      <c r="B1540" t="s">
        <v>109</v>
      </c>
      <c r="C1540" t="s">
        <v>221</v>
      </c>
      <c r="D1540" s="110">
        <v>17176.2</v>
      </c>
      <c r="E1540" s="110">
        <v>17176.2</v>
      </c>
      <c r="F1540" s="110">
        <v>17176.2</v>
      </c>
      <c r="I1540" s="110">
        <v>6535.9</v>
      </c>
      <c r="J1540" s="110">
        <v>12027.4</v>
      </c>
      <c r="K1540" s="110">
        <v>12671.05</v>
      </c>
    </row>
    <row r="1541" spans="1:12" x14ac:dyDescent="0.2">
      <c r="A1541" t="s">
        <v>40</v>
      </c>
      <c r="B1541" t="s">
        <v>109</v>
      </c>
      <c r="C1541" t="s">
        <v>222</v>
      </c>
      <c r="D1541" s="110">
        <v>38393.9</v>
      </c>
      <c r="E1541" s="110">
        <v>38268.9</v>
      </c>
      <c r="I1541" s="110">
        <v>15241.5</v>
      </c>
      <c r="J1541" s="110">
        <v>20980.799999999999</v>
      </c>
    </row>
    <row r="1542" spans="1:12" x14ac:dyDescent="0.2">
      <c r="A1542" t="s">
        <v>40</v>
      </c>
      <c r="B1542" t="s">
        <v>109</v>
      </c>
      <c r="C1542" t="s">
        <v>223</v>
      </c>
      <c r="D1542" s="110">
        <v>32469.1</v>
      </c>
      <c r="I1542" s="110">
        <v>10293.6</v>
      </c>
    </row>
    <row r="1543" spans="1:12" x14ac:dyDescent="0.2">
      <c r="A1543" t="s">
        <v>40</v>
      </c>
      <c r="B1543" t="s">
        <v>106</v>
      </c>
      <c r="C1543" t="s">
        <v>220</v>
      </c>
      <c r="D1543" s="110">
        <v>9140</v>
      </c>
      <c r="E1543" s="110">
        <v>9140</v>
      </c>
      <c r="F1543" s="110">
        <v>9140</v>
      </c>
      <c r="G1543" s="110">
        <v>9140</v>
      </c>
      <c r="I1543" s="110">
        <v>7520</v>
      </c>
      <c r="J1543" s="110">
        <v>7930</v>
      </c>
      <c r="K1543" s="110">
        <v>7930</v>
      </c>
      <c r="L1543" s="110">
        <v>7930</v>
      </c>
    </row>
    <row r="1544" spans="1:12" x14ac:dyDescent="0.2">
      <c r="A1544" t="s">
        <v>40</v>
      </c>
      <c r="B1544" t="s">
        <v>106</v>
      </c>
      <c r="C1544" t="s">
        <v>221</v>
      </c>
      <c r="D1544" s="110">
        <v>230870</v>
      </c>
      <c r="E1544" s="110">
        <v>230870</v>
      </c>
      <c r="F1544" s="110">
        <v>230870</v>
      </c>
      <c r="I1544" s="110">
        <v>229240</v>
      </c>
      <c r="J1544" s="110">
        <v>229240</v>
      </c>
      <c r="K1544" s="110">
        <v>229240</v>
      </c>
    </row>
    <row r="1545" spans="1:12" x14ac:dyDescent="0.2">
      <c r="A1545" t="s">
        <v>40</v>
      </c>
      <c r="B1545" t="s">
        <v>106</v>
      </c>
      <c r="C1545" t="s">
        <v>222</v>
      </c>
      <c r="D1545" s="110">
        <v>14584.5</v>
      </c>
      <c r="E1545" s="110">
        <v>14584.5</v>
      </c>
      <c r="I1545" s="110">
        <v>12584.5</v>
      </c>
      <c r="J1545" s="110">
        <v>12584.5</v>
      </c>
    </row>
    <row r="1546" spans="1:12" x14ac:dyDescent="0.2">
      <c r="A1546" t="s">
        <v>40</v>
      </c>
      <c r="B1546" t="s">
        <v>106</v>
      </c>
      <c r="C1546" t="s">
        <v>223</v>
      </c>
      <c r="D1546" s="110">
        <v>10961</v>
      </c>
      <c r="I1546" s="110">
        <v>10161</v>
      </c>
    </row>
    <row r="1547" spans="1:12" x14ac:dyDescent="0.2">
      <c r="A1547" t="s">
        <v>40</v>
      </c>
      <c r="B1547" t="s">
        <v>107</v>
      </c>
      <c r="C1547" t="s">
        <v>220</v>
      </c>
      <c r="D1547" s="110">
        <v>22250</v>
      </c>
      <c r="E1547" s="110">
        <v>22250</v>
      </c>
      <c r="F1547" s="110">
        <v>22250</v>
      </c>
      <c r="G1547" s="110">
        <v>22250</v>
      </c>
      <c r="I1547" s="110">
        <v>22250</v>
      </c>
      <c r="J1547" s="110">
        <v>22250</v>
      </c>
      <c r="K1547" s="110">
        <v>22250</v>
      </c>
      <c r="L1547" s="110">
        <v>22250</v>
      </c>
    </row>
    <row r="1548" spans="1:12" x14ac:dyDescent="0.2">
      <c r="A1548" t="s">
        <v>40</v>
      </c>
      <c r="B1548" t="s">
        <v>107</v>
      </c>
      <c r="C1548" t="s">
        <v>221</v>
      </c>
      <c r="D1548" s="110">
        <v>40933.57</v>
      </c>
      <c r="E1548" s="110">
        <v>40933.57</v>
      </c>
      <c r="F1548" s="110">
        <v>40933.57</v>
      </c>
      <c r="I1548" s="110">
        <v>40623.57</v>
      </c>
      <c r="J1548" s="110">
        <v>40623.57</v>
      </c>
      <c r="K1548" s="110">
        <v>40623.57</v>
      </c>
    </row>
    <row r="1549" spans="1:12" x14ac:dyDescent="0.2">
      <c r="A1549" t="s">
        <v>40</v>
      </c>
      <c r="B1549" t="s">
        <v>107</v>
      </c>
      <c r="C1549" t="s">
        <v>222</v>
      </c>
      <c r="D1549" s="110">
        <v>23981.5</v>
      </c>
      <c r="E1549" s="110">
        <v>23981.5</v>
      </c>
      <c r="I1549" s="110">
        <v>23786.5</v>
      </c>
      <c r="J1549" s="110">
        <v>23981.5</v>
      </c>
    </row>
    <row r="1550" spans="1:12" x14ac:dyDescent="0.2">
      <c r="A1550" t="s">
        <v>40</v>
      </c>
      <c r="B1550" t="s">
        <v>107</v>
      </c>
      <c r="C1550" t="s">
        <v>223</v>
      </c>
      <c r="D1550" s="110">
        <v>28455</v>
      </c>
      <c r="I1550" s="110">
        <v>27775</v>
      </c>
    </row>
    <row r="1551" spans="1:12" x14ac:dyDescent="0.2">
      <c r="A1551" t="s">
        <v>40</v>
      </c>
      <c r="B1551" t="s">
        <v>108</v>
      </c>
      <c r="C1551" t="s">
        <v>220</v>
      </c>
      <c r="D1551" s="110">
        <v>6463</v>
      </c>
      <c r="E1551" s="110">
        <v>6463</v>
      </c>
      <c r="F1551" s="110">
        <v>6463</v>
      </c>
      <c r="G1551" s="110">
        <v>6463</v>
      </c>
      <c r="I1551" s="110">
        <v>6063</v>
      </c>
      <c r="J1551" s="110">
        <v>6063</v>
      </c>
      <c r="K1551" s="110">
        <v>6063</v>
      </c>
      <c r="L1551" s="110">
        <v>6063</v>
      </c>
    </row>
    <row r="1552" spans="1:12" x14ac:dyDescent="0.2">
      <c r="A1552" t="s">
        <v>40</v>
      </c>
      <c r="B1552" t="s">
        <v>108</v>
      </c>
      <c r="C1552" t="s">
        <v>221</v>
      </c>
      <c r="D1552" s="110">
        <v>4096</v>
      </c>
      <c r="E1552" s="110">
        <v>4096</v>
      </c>
      <c r="F1552" s="110">
        <v>4096</v>
      </c>
      <c r="I1552" s="110">
        <v>3696</v>
      </c>
      <c r="J1552" s="110">
        <v>3696</v>
      </c>
      <c r="K1552" s="110">
        <v>3696</v>
      </c>
    </row>
    <row r="1553" spans="1:12" x14ac:dyDescent="0.2">
      <c r="A1553" t="s">
        <v>40</v>
      </c>
      <c r="B1553" t="s">
        <v>108</v>
      </c>
      <c r="C1553" t="s">
        <v>222</v>
      </c>
      <c r="D1553" s="110">
        <v>5949</v>
      </c>
      <c r="E1553" s="110">
        <v>5949</v>
      </c>
      <c r="I1553" s="110">
        <v>5949</v>
      </c>
      <c r="J1553" s="110">
        <v>5949</v>
      </c>
    </row>
    <row r="1554" spans="1:12" x14ac:dyDescent="0.2">
      <c r="A1554" t="s">
        <v>40</v>
      </c>
      <c r="B1554" t="s">
        <v>108</v>
      </c>
      <c r="C1554" t="s">
        <v>223</v>
      </c>
      <c r="D1554" s="110">
        <v>5802</v>
      </c>
      <c r="I1554" s="110">
        <v>5802</v>
      </c>
    </row>
    <row r="1555" spans="1:12" x14ac:dyDescent="0.2">
      <c r="A1555" t="s">
        <v>40</v>
      </c>
      <c r="B1555" t="s">
        <v>70</v>
      </c>
      <c r="C1555" t="s">
        <v>220</v>
      </c>
      <c r="D1555" s="110">
        <v>6030</v>
      </c>
      <c r="E1555" s="110">
        <v>6030</v>
      </c>
      <c r="F1555" s="110">
        <v>6030</v>
      </c>
      <c r="G1555" s="110">
        <v>6030</v>
      </c>
      <c r="I1555" s="110">
        <v>5622</v>
      </c>
      <c r="J1555" s="110">
        <v>5622</v>
      </c>
      <c r="K1555" s="110">
        <v>5622</v>
      </c>
      <c r="L1555" s="110">
        <v>5622</v>
      </c>
    </row>
    <row r="1556" spans="1:12" x14ac:dyDescent="0.2">
      <c r="A1556" t="s">
        <v>40</v>
      </c>
      <c r="B1556" t="s">
        <v>70</v>
      </c>
      <c r="C1556" t="s">
        <v>221</v>
      </c>
      <c r="D1556" s="110">
        <v>8385</v>
      </c>
      <c r="E1556" s="110">
        <v>8385</v>
      </c>
      <c r="F1556" s="110">
        <v>8385</v>
      </c>
      <c r="I1556" s="110">
        <v>6753</v>
      </c>
      <c r="J1556" s="110">
        <v>6753</v>
      </c>
      <c r="K1556" s="110">
        <v>6753</v>
      </c>
    </row>
    <row r="1557" spans="1:12" x14ac:dyDescent="0.2">
      <c r="A1557" t="s">
        <v>40</v>
      </c>
      <c r="B1557" t="s">
        <v>70</v>
      </c>
      <c r="C1557" t="s">
        <v>222</v>
      </c>
      <c r="D1557" s="110">
        <v>7169</v>
      </c>
      <c r="E1557" s="110">
        <v>7169</v>
      </c>
      <c r="I1557" s="110">
        <v>6869</v>
      </c>
      <c r="J1557" s="110">
        <v>6869</v>
      </c>
    </row>
    <row r="1558" spans="1:12" x14ac:dyDescent="0.2">
      <c r="A1558" t="s">
        <v>40</v>
      </c>
      <c r="B1558" t="s">
        <v>70</v>
      </c>
      <c r="C1558" t="s">
        <v>223</v>
      </c>
      <c r="D1558" s="110">
        <v>10972</v>
      </c>
      <c r="I1558" s="110">
        <v>9045</v>
      </c>
    </row>
    <row r="1559" spans="1:12" x14ac:dyDescent="0.2">
      <c r="A1559" t="s">
        <v>40</v>
      </c>
      <c r="B1559" t="s">
        <v>110</v>
      </c>
      <c r="C1559" t="s">
        <v>220</v>
      </c>
      <c r="D1559" s="110">
        <v>354496.5</v>
      </c>
      <c r="E1559" s="110">
        <v>345733</v>
      </c>
      <c r="F1559" s="110">
        <v>344456.5</v>
      </c>
      <c r="G1559" s="110">
        <v>340437.5</v>
      </c>
      <c r="I1559" s="110">
        <v>130263</v>
      </c>
      <c r="J1559" s="110">
        <v>242880.25</v>
      </c>
      <c r="K1559" s="110">
        <v>261618.25</v>
      </c>
      <c r="L1559" s="110">
        <v>276343.92</v>
      </c>
    </row>
    <row r="1560" spans="1:12" x14ac:dyDescent="0.2">
      <c r="A1560" t="s">
        <v>40</v>
      </c>
      <c r="B1560" t="s">
        <v>110</v>
      </c>
      <c r="C1560" t="s">
        <v>221</v>
      </c>
      <c r="D1560" s="110">
        <v>437345.83</v>
      </c>
      <c r="E1560" s="110">
        <v>427954.08</v>
      </c>
      <c r="F1560" s="110">
        <v>425110.08</v>
      </c>
      <c r="I1560" s="110">
        <v>197786.84</v>
      </c>
      <c r="J1560" s="110">
        <v>308149.99</v>
      </c>
      <c r="K1560" s="110">
        <v>328745.74</v>
      </c>
    </row>
    <row r="1561" spans="1:12" x14ac:dyDescent="0.2">
      <c r="A1561" t="s">
        <v>40</v>
      </c>
      <c r="B1561" t="s">
        <v>110</v>
      </c>
      <c r="C1561" t="s">
        <v>222</v>
      </c>
      <c r="D1561" s="110">
        <v>476618.9</v>
      </c>
      <c r="E1561" s="110">
        <v>471360.2</v>
      </c>
      <c r="I1561" s="110">
        <v>198919.15</v>
      </c>
      <c r="J1561" s="110">
        <v>318203.2</v>
      </c>
    </row>
    <row r="1562" spans="1:12" x14ac:dyDescent="0.2">
      <c r="A1562" t="s">
        <v>40</v>
      </c>
      <c r="B1562" t="s">
        <v>110</v>
      </c>
      <c r="C1562" t="s">
        <v>223</v>
      </c>
      <c r="D1562" s="110">
        <v>481191.7</v>
      </c>
      <c r="I1562" s="110">
        <v>220669.45</v>
      </c>
    </row>
    <row r="1563" spans="1:12" x14ac:dyDescent="0.2">
      <c r="A1563" t="s">
        <v>219</v>
      </c>
      <c r="B1563" t="s">
        <v>104</v>
      </c>
      <c r="C1563" t="s">
        <v>220</v>
      </c>
      <c r="D1563" s="110">
        <v>981640.55</v>
      </c>
      <c r="E1563" s="110">
        <v>981262.69</v>
      </c>
      <c r="F1563" s="110">
        <v>774141.61</v>
      </c>
      <c r="G1563" s="110">
        <v>772128.11</v>
      </c>
      <c r="I1563" s="110">
        <v>27027.91</v>
      </c>
      <c r="J1563" s="110">
        <v>45555.4</v>
      </c>
      <c r="K1563" s="110">
        <v>52651.91</v>
      </c>
      <c r="L1563" s="110">
        <v>66001.27</v>
      </c>
    </row>
    <row r="1564" spans="1:12" x14ac:dyDescent="0.2">
      <c r="A1564" t="s">
        <v>219</v>
      </c>
      <c r="B1564" t="s">
        <v>104</v>
      </c>
      <c r="C1564" t="s">
        <v>221</v>
      </c>
      <c r="D1564" s="110">
        <v>979150.33</v>
      </c>
      <c r="E1564" s="110">
        <v>801565.49</v>
      </c>
      <c r="F1564" s="110">
        <v>800437.49</v>
      </c>
      <c r="I1564" s="110">
        <v>28532.23</v>
      </c>
      <c r="J1564" s="110">
        <v>45403.95</v>
      </c>
      <c r="K1564" s="110">
        <v>59351.519999999997</v>
      </c>
    </row>
    <row r="1565" spans="1:12" x14ac:dyDescent="0.2">
      <c r="A1565" t="s">
        <v>219</v>
      </c>
      <c r="B1565" t="s">
        <v>104</v>
      </c>
      <c r="C1565" t="s">
        <v>222</v>
      </c>
      <c r="D1565" s="110">
        <v>1302365.56</v>
      </c>
      <c r="E1565" s="110">
        <v>1297583.29</v>
      </c>
      <c r="I1565" s="110">
        <v>23359.62</v>
      </c>
      <c r="J1565" s="110">
        <v>41829.050000000003</v>
      </c>
    </row>
    <row r="1566" spans="1:12" x14ac:dyDescent="0.2">
      <c r="A1566" t="s">
        <v>219</v>
      </c>
      <c r="B1566" t="s">
        <v>104</v>
      </c>
      <c r="C1566" t="s">
        <v>223</v>
      </c>
      <c r="D1566" s="110">
        <v>4259659.1500000004</v>
      </c>
      <c r="I1566" s="110">
        <v>25563.34</v>
      </c>
    </row>
    <row r="1567" spans="1:12" x14ac:dyDescent="0.2">
      <c r="A1567" t="s">
        <v>219</v>
      </c>
      <c r="B1567" t="s">
        <v>140</v>
      </c>
      <c r="C1567" t="s">
        <v>220</v>
      </c>
      <c r="D1567" s="110">
        <v>316254</v>
      </c>
      <c r="E1567" s="110">
        <v>316254</v>
      </c>
      <c r="F1567" s="110">
        <v>316254</v>
      </c>
      <c r="G1567" s="110">
        <v>316254</v>
      </c>
      <c r="I1567" s="110">
        <v>0</v>
      </c>
      <c r="J1567" s="110">
        <v>0</v>
      </c>
      <c r="K1567" s="110">
        <v>0</v>
      </c>
      <c r="L1567" s="110">
        <v>0</v>
      </c>
    </row>
    <row r="1568" spans="1:12" x14ac:dyDescent="0.2">
      <c r="A1568" t="s">
        <v>219</v>
      </c>
      <c r="B1568" t="s">
        <v>140</v>
      </c>
      <c r="C1568" t="s">
        <v>221</v>
      </c>
      <c r="D1568" s="110">
        <v>157918</v>
      </c>
      <c r="E1568" s="110">
        <v>105000</v>
      </c>
      <c r="F1568" s="110">
        <v>105000</v>
      </c>
      <c r="I1568" s="110">
        <v>0</v>
      </c>
      <c r="J1568" s="110">
        <v>0</v>
      </c>
      <c r="K1568" s="110">
        <v>132.41</v>
      </c>
    </row>
    <row r="1569" spans="1:12" x14ac:dyDescent="0.2">
      <c r="A1569" t="s">
        <v>219</v>
      </c>
      <c r="B1569" t="s">
        <v>140</v>
      </c>
      <c r="C1569" t="s">
        <v>222</v>
      </c>
      <c r="D1569" s="110">
        <v>840836</v>
      </c>
      <c r="E1569" s="110">
        <v>840836</v>
      </c>
      <c r="I1569" s="110">
        <v>0</v>
      </c>
      <c r="J1569" s="110">
        <v>91.92</v>
      </c>
    </row>
    <row r="1570" spans="1:12" x14ac:dyDescent="0.2">
      <c r="A1570" t="s">
        <v>219</v>
      </c>
      <c r="B1570" t="s">
        <v>140</v>
      </c>
      <c r="C1570" t="s">
        <v>223</v>
      </c>
      <c r="D1570" s="110">
        <v>3781254</v>
      </c>
      <c r="I1570" s="110">
        <v>0</v>
      </c>
    </row>
    <row r="1571" spans="1:12" x14ac:dyDescent="0.2">
      <c r="A1571" t="s">
        <v>219</v>
      </c>
      <c r="B1571" t="s">
        <v>105</v>
      </c>
      <c r="C1571" t="s">
        <v>220</v>
      </c>
      <c r="D1571" s="110">
        <v>335646.5</v>
      </c>
      <c r="E1571" s="110">
        <v>330572.5</v>
      </c>
      <c r="F1571" s="110">
        <v>262378.5</v>
      </c>
      <c r="G1571" s="110">
        <v>261806</v>
      </c>
      <c r="I1571" s="110">
        <v>57431.02</v>
      </c>
      <c r="J1571" s="110">
        <v>88194.75</v>
      </c>
      <c r="K1571" s="110">
        <v>80502.5</v>
      </c>
      <c r="L1571" s="110">
        <v>86279.5</v>
      </c>
    </row>
    <row r="1572" spans="1:12" x14ac:dyDescent="0.2">
      <c r="A1572" t="s">
        <v>219</v>
      </c>
      <c r="B1572" t="s">
        <v>105</v>
      </c>
      <c r="C1572" t="s">
        <v>221</v>
      </c>
      <c r="D1572" s="110">
        <v>360534.34</v>
      </c>
      <c r="E1572" s="110">
        <v>278140.59000000003</v>
      </c>
      <c r="F1572" s="110">
        <v>276510.59000000003</v>
      </c>
      <c r="I1572" s="110">
        <v>66422.81</v>
      </c>
      <c r="J1572" s="110">
        <v>83094.710000000006</v>
      </c>
      <c r="K1572" s="110">
        <v>94905.71</v>
      </c>
    </row>
    <row r="1573" spans="1:12" x14ac:dyDescent="0.2">
      <c r="A1573" t="s">
        <v>219</v>
      </c>
      <c r="B1573" t="s">
        <v>105</v>
      </c>
      <c r="C1573" t="s">
        <v>222</v>
      </c>
      <c r="D1573" s="110">
        <v>324725.39</v>
      </c>
      <c r="E1573" s="110">
        <v>320006.14</v>
      </c>
      <c r="I1573" s="110">
        <v>59308.69</v>
      </c>
      <c r="J1573" s="110">
        <v>98265.44</v>
      </c>
    </row>
    <row r="1574" spans="1:12" x14ac:dyDescent="0.2">
      <c r="A1574" t="s">
        <v>219</v>
      </c>
      <c r="B1574" t="s">
        <v>105</v>
      </c>
      <c r="C1574" t="s">
        <v>223</v>
      </c>
      <c r="D1574" s="110">
        <v>307835.46000000002</v>
      </c>
      <c r="I1574" s="110">
        <v>48842.71</v>
      </c>
    </row>
    <row r="1575" spans="1:12" x14ac:dyDescent="0.2">
      <c r="A1575" t="s">
        <v>219</v>
      </c>
      <c r="B1575" t="s">
        <v>111</v>
      </c>
      <c r="C1575" t="s">
        <v>220</v>
      </c>
      <c r="D1575" s="110">
        <v>14012</v>
      </c>
      <c r="E1575" s="110">
        <v>13912</v>
      </c>
      <c r="F1575" s="110">
        <v>6962</v>
      </c>
      <c r="G1575" s="110">
        <v>6962</v>
      </c>
      <c r="I1575" s="110">
        <v>1652</v>
      </c>
      <c r="J1575" s="110">
        <v>3188</v>
      </c>
      <c r="K1575" s="110">
        <v>2838</v>
      </c>
      <c r="L1575" s="110">
        <v>2938</v>
      </c>
    </row>
    <row r="1576" spans="1:12" x14ac:dyDescent="0.2">
      <c r="A1576" t="s">
        <v>219</v>
      </c>
      <c r="B1576" t="s">
        <v>111</v>
      </c>
      <c r="C1576" t="s">
        <v>221</v>
      </c>
      <c r="D1576" s="110">
        <v>9699</v>
      </c>
      <c r="E1576" s="110">
        <v>4599</v>
      </c>
      <c r="F1576" s="110">
        <v>4599</v>
      </c>
      <c r="I1576" s="110">
        <v>1604</v>
      </c>
      <c r="J1576" s="110">
        <v>1504</v>
      </c>
      <c r="K1576" s="110">
        <v>1954</v>
      </c>
    </row>
    <row r="1577" spans="1:12" x14ac:dyDescent="0.2">
      <c r="A1577" t="s">
        <v>219</v>
      </c>
      <c r="B1577" t="s">
        <v>111</v>
      </c>
      <c r="C1577" t="s">
        <v>222</v>
      </c>
      <c r="D1577" s="110">
        <v>5725</v>
      </c>
      <c r="E1577" s="110">
        <v>5575</v>
      </c>
      <c r="I1577" s="110">
        <v>458</v>
      </c>
      <c r="J1577" s="110">
        <v>876</v>
      </c>
    </row>
    <row r="1578" spans="1:12" x14ac:dyDescent="0.2">
      <c r="A1578" t="s">
        <v>219</v>
      </c>
      <c r="B1578" t="s">
        <v>111</v>
      </c>
      <c r="C1578" t="s">
        <v>223</v>
      </c>
      <c r="D1578" s="110">
        <v>4719</v>
      </c>
      <c r="I1578" s="110">
        <v>405</v>
      </c>
    </row>
    <row r="1579" spans="1:12" x14ac:dyDescent="0.2">
      <c r="A1579" t="s">
        <v>219</v>
      </c>
      <c r="B1579" t="s">
        <v>109</v>
      </c>
      <c r="C1579" t="s">
        <v>220</v>
      </c>
      <c r="D1579" s="110">
        <v>524035.92</v>
      </c>
      <c r="E1579" s="110">
        <v>512712.17</v>
      </c>
      <c r="F1579" s="110">
        <v>440855.92</v>
      </c>
      <c r="G1579" s="110">
        <v>434956.67</v>
      </c>
      <c r="I1579" s="110">
        <v>177343.25</v>
      </c>
      <c r="J1579" s="110">
        <v>238557.52</v>
      </c>
      <c r="K1579" s="110">
        <v>229674.27</v>
      </c>
      <c r="L1579" s="110">
        <v>249237.96</v>
      </c>
    </row>
    <row r="1580" spans="1:12" x14ac:dyDescent="0.2">
      <c r="A1580" t="s">
        <v>219</v>
      </c>
      <c r="B1580" t="s">
        <v>109</v>
      </c>
      <c r="C1580" t="s">
        <v>221</v>
      </c>
      <c r="D1580" s="110">
        <v>545855.13</v>
      </c>
      <c r="E1580" s="110">
        <v>474355.38</v>
      </c>
      <c r="F1580" s="110">
        <v>471174.38</v>
      </c>
      <c r="I1580" s="110">
        <v>177354.68</v>
      </c>
      <c r="J1580" s="110">
        <v>218893.68</v>
      </c>
      <c r="K1580" s="110">
        <v>245659.2</v>
      </c>
    </row>
    <row r="1581" spans="1:12" x14ac:dyDescent="0.2">
      <c r="A1581" t="s">
        <v>219</v>
      </c>
      <c r="B1581" t="s">
        <v>109</v>
      </c>
      <c r="C1581" t="s">
        <v>222</v>
      </c>
      <c r="D1581" s="110">
        <v>439374.26</v>
      </c>
      <c r="E1581" s="110">
        <v>428249.01</v>
      </c>
      <c r="I1581" s="110">
        <v>154518.75</v>
      </c>
      <c r="J1581" s="110">
        <v>207862.55</v>
      </c>
    </row>
    <row r="1582" spans="1:12" x14ac:dyDescent="0.2">
      <c r="A1582" t="s">
        <v>219</v>
      </c>
      <c r="B1582" t="s">
        <v>109</v>
      </c>
      <c r="C1582" t="s">
        <v>223</v>
      </c>
      <c r="D1582" s="110">
        <v>437130.92</v>
      </c>
      <c r="I1582" s="110">
        <v>114062.8</v>
      </c>
    </row>
    <row r="1583" spans="1:12" x14ac:dyDescent="0.2">
      <c r="A1583" t="s">
        <v>219</v>
      </c>
      <c r="B1583" t="s">
        <v>106</v>
      </c>
      <c r="C1583" t="s">
        <v>220</v>
      </c>
      <c r="D1583" s="110">
        <v>396069.57</v>
      </c>
      <c r="E1583" s="110">
        <v>395854.57</v>
      </c>
      <c r="F1583" s="110">
        <v>394044.57</v>
      </c>
      <c r="G1583" s="110">
        <v>394134.57</v>
      </c>
      <c r="I1583" s="110">
        <v>385505.07</v>
      </c>
      <c r="J1583" s="110">
        <v>388819.57</v>
      </c>
      <c r="K1583" s="110">
        <v>387984.57</v>
      </c>
      <c r="L1583" s="110">
        <v>388074.57</v>
      </c>
    </row>
    <row r="1584" spans="1:12" x14ac:dyDescent="0.2">
      <c r="A1584" t="s">
        <v>219</v>
      </c>
      <c r="B1584" t="s">
        <v>106</v>
      </c>
      <c r="C1584" t="s">
        <v>221</v>
      </c>
      <c r="D1584" s="110">
        <v>464448.08</v>
      </c>
      <c r="E1584" s="110">
        <v>464815.08</v>
      </c>
      <c r="F1584" s="110">
        <v>461170.08</v>
      </c>
      <c r="I1584" s="110">
        <v>451508.08</v>
      </c>
      <c r="J1584" s="110">
        <v>458325.08</v>
      </c>
      <c r="K1584" s="110">
        <v>454680.08</v>
      </c>
    </row>
    <row r="1585" spans="1:12" x14ac:dyDescent="0.2">
      <c r="A1585" t="s">
        <v>219</v>
      </c>
      <c r="B1585" t="s">
        <v>106</v>
      </c>
      <c r="C1585" t="s">
        <v>222</v>
      </c>
      <c r="D1585" s="110">
        <v>461326.01</v>
      </c>
      <c r="E1585" s="110">
        <v>458906.01</v>
      </c>
      <c r="I1585" s="110">
        <v>447240.01</v>
      </c>
      <c r="J1585" s="110">
        <v>455699.01</v>
      </c>
    </row>
    <row r="1586" spans="1:12" x14ac:dyDescent="0.2">
      <c r="A1586" t="s">
        <v>219</v>
      </c>
      <c r="B1586" t="s">
        <v>106</v>
      </c>
      <c r="C1586" t="s">
        <v>223</v>
      </c>
      <c r="D1586" s="110">
        <v>426231.69</v>
      </c>
      <c r="I1586" s="110">
        <v>415706.69</v>
      </c>
    </row>
    <row r="1587" spans="1:12" x14ac:dyDescent="0.2">
      <c r="A1587" t="s">
        <v>219</v>
      </c>
      <c r="B1587" t="s">
        <v>107</v>
      </c>
      <c r="C1587" t="s">
        <v>220</v>
      </c>
      <c r="D1587" s="110">
        <v>393443.57</v>
      </c>
      <c r="E1587" s="110">
        <v>394448.57</v>
      </c>
      <c r="F1587" s="110">
        <v>394273.57</v>
      </c>
      <c r="G1587" s="110">
        <v>394263.57</v>
      </c>
      <c r="I1587" s="110">
        <v>384750.07</v>
      </c>
      <c r="J1587" s="110">
        <v>386657.07</v>
      </c>
      <c r="K1587" s="110">
        <v>386957.07</v>
      </c>
      <c r="L1587" s="110">
        <v>386957.07</v>
      </c>
    </row>
    <row r="1588" spans="1:12" x14ac:dyDescent="0.2">
      <c r="A1588" t="s">
        <v>219</v>
      </c>
      <c r="B1588" t="s">
        <v>107</v>
      </c>
      <c r="C1588" t="s">
        <v>221</v>
      </c>
      <c r="D1588" s="110">
        <v>402777.18</v>
      </c>
      <c r="E1588" s="110">
        <v>403142.18</v>
      </c>
      <c r="F1588" s="110">
        <v>403142.18</v>
      </c>
      <c r="I1588" s="110">
        <v>378109.93</v>
      </c>
      <c r="J1588" s="110">
        <v>397424.93</v>
      </c>
      <c r="K1588" s="110">
        <v>397424.93</v>
      </c>
    </row>
    <row r="1589" spans="1:12" x14ac:dyDescent="0.2">
      <c r="A1589" t="s">
        <v>219</v>
      </c>
      <c r="B1589" t="s">
        <v>107</v>
      </c>
      <c r="C1589" t="s">
        <v>222</v>
      </c>
      <c r="D1589" s="110">
        <v>442154.55</v>
      </c>
      <c r="E1589" s="110">
        <v>442236.55</v>
      </c>
      <c r="I1589" s="110">
        <v>430069.05</v>
      </c>
      <c r="J1589" s="110">
        <v>435116.05</v>
      </c>
    </row>
    <row r="1590" spans="1:12" x14ac:dyDescent="0.2">
      <c r="A1590" t="s">
        <v>219</v>
      </c>
      <c r="B1590" t="s">
        <v>107</v>
      </c>
      <c r="C1590" t="s">
        <v>223</v>
      </c>
      <c r="D1590" s="110">
        <v>452446.21</v>
      </c>
      <c r="I1590" s="110">
        <v>443144.8</v>
      </c>
    </row>
    <row r="1591" spans="1:12" x14ac:dyDescent="0.2">
      <c r="A1591" t="s">
        <v>219</v>
      </c>
      <c r="B1591" t="s">
        <v>108</v>
      </c>
      <c r="C1591" t="s">
        <v>220</v>
      </c>
      <c r="D1591" s="110">
        <v>135700.57999999999</v>
      </c>
      <c r="E1591" s="110">
        <v>135279.57999999999</v>
      </c>
      <c r="F1591" s="110">
        <v>135279.57999999999</v>
      </c>
      <c r="G1591" s="110">
        <v>135279.57999999999</v>
      </c>
      <c r="I1591" s="110">
        <v>128410.08</v>
      </c>
      <c r="J1591" s="110">
        <v>129695.58</v>
      </c>
      <c r="K1591" s="110">
        <v>129695.58</v>
      </c>
      <c r="L1591" s="110">
        <v>129695.58</v>
      </c>
    </row>
    <row r="1592" spans="1:12" x14ac:dyDescent="0.2">
      <c r="A1592" t="s">
        <v>219</v>
      </c>
      <c r="B1592" t="s">
        <v>108</v>
      </c>
      <c r="C1592" t="s">
        <v>221</v>
      </c>
      <c r="D1592" s="110">
        <v>150754.1</v>
      </c>
      <c r="E1592" s="110">
        <v>151277.1</v>
      </c>
      <c r="F1592" s="110">
        <v>151277.1</v>
      </c>
      <c r="I1592" s="110">
        <v>144683.1</v>
      </c>
      <c r="J1592" s="110">
        <v>145592.1</v>
      </c>
      <c r="K1592" s="110">
        <v>145592.1</v>
      </c>
    </row>
    <row r="1593" spans="1:12" x14ac:dyDescent="0.2">
      <c r="A1593" t="s">
        <v>219</v>
      </c>
      <c r="B1593" t="s">
        <v>108</v>
      </c>
      <c r="C1593" t="s">
        <v>222</v>
      </c>
      <c r="D1593" s="110">
        <v>146366.23000000001</v>
      </c>
      <c r="E1593" s="110">
        <v>146082.23000000001</v>
      </c>
      <c r="I1593" s="110">
        <v>139957.23000000001</v>
      </c>
      <c r="J1593" s="110">
        <v>139438.73000000001</v>
      </c>
    </row>
    <row r="1594" spans="1:12" x14ac:dyDescent="0.2">
      <c r="A1594" t="s">
        <v>219</v>
      </c>
      <c r="B1594" t="s">
        <v>108</v>
      </c>
      <c r="C1594" t="s">
        <v>223</v>
      </c>
      <c r="D1594" s="110">
        <v>127147</v>
      </c>
      <c r="I1594" s="110">
        <v>119423</v>
      </c>
    </row>
    <row r="1595" spans="1:12" x14ac:dyDescent="0.2">
      <c r="A1595" t="s">
        <v>219</v>
      </c>
      <c r="B1595" t="s">
        <v>70</v>
      </c>
      <c r="C1595" t="s">
        <v>220</v>
      </c>
      <c r="D1595" s="110">
        <v>138340</v>
      </c>
      <c r="E1595" s="110">
        <v>138440</v>
      </c>
      <c r="F1595" s="110">
        <v>139020</v>
      </c>
      <c r="G1595" s="110">
        <v>139135</v>
      </c>
      <c r="I1595" s="110">
        <v>130964</v>
      </c>
      <c r="J1595" s="110">
        <v>132856.5</v>
      </c>
      <c r="K1595" s="110">
        <v>133844</v>
      </c>
      <c r="L1595" s="110">
        <v>134139</v>
      </c>
    </row>
    <row r="1596" spans="1:12" x14ac:dyDescent="0.2">
      <c r="A1596" t="s">
        <v>219</v>
      </c>
      <c r="B1596" t="s">
        <v>70</v>
      </c>
      <c r="C1596" t="s">
        <v>221</v>
      </c>
      <c r="D1596" s="110">
        <v>151013.62</v>
      </c>
      <c r="E1596" s="110">
        <v>153213.62</v>
      </c>
      <c r="F1596" s="110">
        <v>153213.62</v>
      </c>
      <c r="I1596" s="110">
        <v>139137.12</v>
      </c>
      <c r="J1596" s="110">
        <v>145790.12</v>
      </c>
      <c r="K1596" s="110">
        <v>146085.12</v>
      </c>
    </row>
    <row r="1597" spans="1:12" x14ac:dyDescent="0.2">
      <c r="A1597" t="s">
        <v>219</v>
      </c>
      <c r="B1597" t="s">
        <v>70</v>
      </c>
      <c r="C1597" t="s">
        <v>222</v>
      </c>
      <c r="D1597" s="110">
        <v>166293.25</v>
      </c>
      <c r="E1597" s="110">
        <v>168738.25</v>
      </c>
      <c r="I1597" s="110">
        <v>154663.75</v>
      </c>
      <c r="J1597" s="110">
        <v>161093.75</v>
      </c>
    </row>
    <row r="1598" spans="1:12" x14ac:dyDescent="0.2">
      <c r="A1598" t="s">
        <v>219</v>
      </c>
      <c r="B1598" t="s">
        <v>70</v>
      </c>
      <c r="C1598" t="s">
        <v>223</v>
      </c>
      <c r="D1598" s="110">
        <v>153077.5</v>
      </c>
      <c r="I1598" s="110">
        <v>142249</v>
      </c>
    </row>
    <row r="1599" spans="1:12" x14ac:dyDescent="0.2">
      <c r="A1599" t="s">
        <v>219</v>
      </c>
      <c r="B1599" t="s">
        <v>110</v>
      </c>
      <c r="C1599" t="s">
        <v>220</v>
      </c>
      <c r="D1599" s="110">
        <v>1011900.4</v>
      </c>
      <c r="E1599" s="110">
        <v>1087725.1000000001</v>
      </c>
      <c r="F1599" s="110">
        <v>1084231.2</v>
      </c>
      <c r="G1599" s="110">
        <v>1084153.3</v>
      </c>
      <c r="I1599" s="110">
        <v>544984.65</v>
      </c>
      <c r="J1599" s="110">
        <v>856650.83</v>
      </c>
      <c r="K1599" s="110">
        <v>939148.45</v>
      </c>
      <c r="L1599" s="110">
        <v>957073.84</v>
      </c>
    </row>
    <row r="1600" spans="1:12" x14ac:dyDescent="0.2">
      <c r="A1600" t="s">
        <v>219</v>
      </c>
      <c r="B1600" t="s">
        <v>110</v>
      </c>
      <c r="C1600" t="s">
        <v>221</v>
      </c>
      <c r="D1600" s="110">
        <v>1072618.2</v>
      </c>
      <c r="E1600" s="110">
        <v>1167950.8500000001</v>
      </c>
      <c r="F1600" s="110">
        <v>1170483.75</v>
      </c>
      <c r="I1600" s="110">
        <v>601502.55000000005</v>
      </c>
      <c r="J1600" s="110">
        <v>915339.35</v>
      </c>
      <c r="K1600" s="110">
        <v>1000855.99</v>
      </c>
    </row>
    <row r="1601" spans="1:12" x14ac:dyDescent="0.2">
      <c r="A1601" t="s">
        <v>219</v>
      </c>
      <c r="B1601" t="s">
        <v>110</v>
      </c>
      <c r="C1601" t="s">
        <v>222</v>
      </c>
      <c r="D1601" s="110">
        <v>1142251.7</v>
      </c>
      <c r="E1601" s="110">
        <v>1304359.55</v>
      </c>
      <c r="I1601" s="110">
        <v>656287.94999999995</v>
      </c>
      <c r="J1601" s="110">
        <v>1006526.59</v>
      </c>
    </row>
    <row r="1602" spans="1:12" x14ac:dyDescent="0.2">
      <c r="A1602" t="s">
        <v>219</v>
      </c>
      <c r="B1602" t="s">
        <v>110</v>
      </c>
      <c r="C1602" t="s">
        <v>223</v>
      </c>
      <c r="D1602" s="110">
        <v>1074803.6000000001</v>
      </c>
      <c r="I1602" s="110">
        <v>549442.4</v>
      </c>
    </row>
    <row r="1603" spans="1:12" x14ac:dyDescent="0.2">
      <c r="A1603" t="s">
        <v>42</v>
      </c>
      <c r="B1603" t="s">
        <v>104</v>
      </c>
      <c r="C1603" t="s">
        <v>220</v>
      </c>
      <c r="D1603" s="110">
        <v>2090666.32</v>
      </c>
      <c r="E1603" s="110">
        <v>2082888.32</v>
      </c>
      <c r="F1603" s="110">
        <v>2081527.32</v>
      </c>
      <c r="G1603" s="110">
        <v>2079199.52</v>
      </c>
      <c r="I1603" s="110">
        <v>35263.47</v>
      </c>
      <c r="J1603" s="110">
        <v>60673.14</v>
      </c>
      <c r="K1603" s="110">
        <v>83232.86</v>
      </c>
      <c r="L1603" s="110">
        <v>94643.41</v>
      </c>
    </row>
    <row r="1604" spans="1:12" x14ac:dyDescent="0.2">
      <c r="A1604" t="s">
        <v>42</v>
      </c>
      <c r="B1604" t="s">
        <v>104</v>
      </c>
      <c r="C1604" t="s">
        <v>221</v>
      </c>
      <c r="D1604" s="110">
        <v>1572262.85</v>
      </c>
      <c r="E1604" s="110">
        <v>1569291.75</v>
      </c>
      <c r="F1604" s="110">
        <v>1564983.95</v>
      </c>
      <c r="I1604" s="110">
        <v>45441.06</v>
      </c>
      <c r="J1604" s="110">
        <v>77112.3</v>
      </c>
      <c r="K1604" s="110">
        <v>104436.26</v>
      </c>
    </row>
    <row r="1605" spans="1:12" x14ac:dyDescent="0.2">
      <c r="A1605" t="s">
        <v>42</v>
      </c>
      <c r="B1605" t="s">
        <v>104</v>
      </c>
      <c r="C1605" t="s">
        <v>222</v>
      </c>
      <c r="D1605" s="110">
        <v>1373081.48</v>
      </c>
      <c r="E1605" s="110">
        <v>1368202.48</v>
      </c>
      <c r="I1605" s="110">
        <v>47853.63</v>
      </c>
      <c r="J1605" s="110">
        <v>73382.09</v>
      </c>
    </row>
    <row r="1606" spans="1:12" x14ac:dyDescent="0.2">
      <c r="A1606" t="s">
        <v>42</v>
      </c>
      <c r="B1606" t="s">
        <v>104</v>
      </c>
      <c r="C1606" t="s">
        <v>223</v>
      </c>
      <c r="D1606" s="110">
        <v>1459534.5</v>
      </c>
      <c r="I1606" s="110">
        <v>39945.29</v>
      </c>
    </row>
    <row r="1607" spans="1:12" x14ac:dyDescent="0.2">
      <c r="A1607" t="s">
        <v>42</v>
      </c>
      <c r="B1607" t="s">
        <v>140</v>
      </c>
      <c r="C1607" t="s">
        <v>220</v>
      </c>
      <c r="D1607" s="110">
        <v>1335828</v>
      </c>
      <c r="E1607" s="110">
        <v>1335928</v>
      </c>
      <c r="F1607" s="110">
        <v>1335928</v>
      </c>
      <c r="G1607" s="110">
        <v>1336178</v>
      </c>
      <c r="I1607" s="110">
        <v>199</v>
      </c>
      <c r="J1607" s="110">
        <v>199</v>
      </c>
      <c r="K1607" s="110">
        <v>199</v>
      </c>
      <c r="L1607" s="110">
        <v>299</v>
      </c>
    </row>
    <row r="1608" spans="1:12" x14ac:dyDescent="0.2">
      <c r="A1608" t="s">
        <v>42</v>
      </c>
      <c r="B1608" t="s">
        <v>140</v>
      </c>
      <c r="C1608" t="s">
        <v>221</v>
      </c>
      <c r="D1608" s="110">
        <v>603655</v>
      </c>
      <c r="E1608" s="110">
        <v>603655</v>
      </c>
      <c r="F1608" s="110">
        <v>601305</v>
      </c>
      <c r="I1608" s="110">
        <v>10114</v>
      </c>
      <c r="J1608" s="110">
        <v>10114</v>
      </c>
      <c r="K1608" s="110">
        <v>10114</v>
      </c>
    </row>
    <row r="1609" spans="1:12" x14ac:dyDescent="0.2">
      <c r="A1609" t="s">
        <v>42</v>
      </c>
      <c r="B1609" t="s">
        <v>140</v>
      </c>
      <c r="C1609" t="s">
        <v>222</v>
      </c>
      <c r="D1609" s="110">
        <v>322902</v>
      </c>
      <c r="E1609" s="110">
        <v>322902</v>
      </c>
      <c r="I1609" s="110">
        <v>21</v>
      </c>
      <c r="J1609" s="110">
        <v>21</v>
      </c>
    </row>
    <row r="1610" spans="1:12" x14ac:dyDescent="0.2">
      <c r="A1610" t="s">
        <v>42</v>
      </c>
      <c r="B1610" t="s">
        <v>140</v>
      </c>
      <c r="C1610" t="s">
        <v>223</v>
      </c>
      <c r="D1610" s="110">
        <v>600076</v>
      </c>
      <c r="I1610" s="110">
        <v>98</v>
      </c>
    </row>
    <row r="1611" spans="1:12" x14ac:dyDescent="0.2">
      <c r="A1611" t="s">
        <v>42</v>
      </c>
      <c r="B1611" t="s">
        <v>105</v>
      </c>
      <c r="C1611" t="s">
        <v>220</v>
      </c>
      <c r="D1611" s="110">
        <v>443249.19</v>
      </c>
      <c r="E1611" s="110">
        <v>433279.79</v>
      </c>
      <c r="F1611" s="110">
        <v>432741.39</v>
      </c>
      <c r="G1611" s="110">
        <v>430080.39</v>
      </c>
      <c r="I1611" s="110">
        <v>44094.14</v>
      </c>
      <c r="J1611" s="110">
        <v>85706.31</v>
      </c>
      <c r="K1611" s="110">
        <v>109917.48</v>
      </c>
      <c r="L1611" s="110">
        <v>120036.07</v>
      </c>
    </row>
    <row r="1612" spans="1:12" x14ac:dyDescent="0.2">
      <c r="A1612" t="s">
        <v>42</v>
      </c>
      <c r="B1612" t="s">
        <v>105</v>
      </c>
      <c r="C1612" t="s">
        <v>221</v>
      </c>
      <c r="D1612" s="110">
        <v>471993.12</v>
      </c>
      <c r="E1612" s="110">
        <v>462535.72</v>
      </c>
      <c r="F1612" s="110">
        <v>461883.92</v>
      </c>
      <c r="I1612" s="110">
        <v>61933.87</v>
      </c>
      <c r="J1612" s="110">
        <v>97634.57</v>
      </c>
      <c r="K1612" s="110">
        <v>116600.21</v>
      </c>
    </row>
    <row r="1613" spans="1:12" x14ac:dyDescent="0.2">
      <c r="A1613" t="s">
        <v>42</v>
      </c>
      <c r="B1613" t="s">
        <v>105</v>
      </c>
      <c r="C1613" t="s">
        <v>222</v>
      </c>
      <c r="D1613" s="110">
        <v>464289.02</v>
      </c>
      <c r="E1613" s="110">
        <v>447010.72</v>
      </c>
      <c r="I1613" s="110">
        <v>47650.32</v>
      </c>
      <c r="J1613" s="110">
        <v>80922.33</v>
      </c>
    </row>
    <row r="1614" spans="1:12" x14ac:dyDescent="0.2">
      <c r="A1614" t="s">
        <v>42</v>
      </c>
      <c r="B1614" t="s">
        <v>105</v>
      </c>
      <c r="C1614" t="s">
        <v>223</v>
      </c>
      <c r="D1614" s="110">
        <v>393645.95</v>
      </c>
      <c r="I1614" s="110">
        <v>36533.300000000003</v>
      </c>
    </row>
    <row r="1615" spans="1:12" x14ac:dyDescent="0.2">
      <c r="A1615" t="s">
        <v>42</v>
      </c>
      <c r="B1615" t="s">
        <v>111</v>
      </c>
      <c r="C1615" t="s">
        <v>220</v>
      </c>
      <c r="D1615" s="110">
        <v>41635.5</v>
      </c>
      <c r="E1615" s="110">
        <v>41878.5</v>
      </c>
      <c r="F1615" s="110">
        <v>41878.5</v>
      </c>
      <c r="G1615" s="110">
        <v>41878.5</v>
      </c>
      <c r="I1615" s="110">
        <v>603</v>
      </c>
      <c r="J1615" s="110">
        <v>4072.33</v>
      </c>
      <c r="K1615" s="110">
        <v>7475.33</v>
      </c>
      <c r="L1615" s="110">
        <v>9651.48</v>
      </c>
    </row>
    <row r="1616" spans="1:12" x14ac:dyDescent="0.2">
      <c r="A1616" t="s">
        <v>42</v>
      </c>
      <c r="B1616" t="s">
        <v>111</v>
      </c>
      <c r="C1616" t="s">
        <v>221</v>
      </c>
      <c r="D1616" s="110">
        <v>47781.5</v>
      </c>
      <c r="E1616" s="110">
        <v>47781.5</v>
      </c>
      <c r="F1616" s="110">
        <v>47781.5</v>
      </c>
      <c r="I1616" s="110">
        <v>4440.5</v>
      </c>
      <c r="J1616" s="110">
        <v>8270.5</v>
      </c>
      <c r="K1616" s="110">
        <v>10617.5</v>
      </c>
    </row>
    <row r="1617" spans="1:12" x14ac:dyDescent="0.2">
      <c r="A1617" t="s">
        <v>42</v>
      </c>
      <c r="B1617" t="s">
        <v>111</v>
      </c>
      <c r="C1617" t="s">
        <v>222</v>
      </c>
      <c r="D1617" s="110">
        <v>43647</v>
      </c>
      <c r="E1617" s="110">
        <v>43965</v>
      </c>
      <c r="I1617" s="110">
        <v>1095.1199999999999</v>
      </c>
      <c r="J1617" s="110">
        <v>4640.6499999999996</v>
      </c>
    </row>
    <row r="1618" spans="1:12" x14ac:dyDescent="0.2">
      <c r="A1618" t="s">
        <v>42</v>
      </c>
      <c r="B1618" t="s">
        <v>111</v>
      </c>
      <c r="C1618" t="s">
        <v>223</v>
      </c>
      <c r="D1618" s="110">
        <v>53205.5</v>
      </c>
      <c r="I1618" s="110">
        <v>3563.16</v>
      </c>
    </row>
    <row r="1619" spans="1:12" x14ac:dyDescent="0.2">
      <c r="A1619" t="s">
        <v>42</v>
      </c>
      <c r="B1619" t="s">
        <v>109</v>
      </c>
      <c r="C1619" t="s">
        <v>220</v>
      </c>
      <c r="D1619" s="110">
        <v>419664.52</v>
      </c>
      <c r="E1619" s="110">
        <v>421154.52</v>
      </c>
      <c r="F1619" s="110">
        <v>419087.72</v>
      </c>
      <c r="G1619" s="110">
        <v>416636.82</v>
      </c>
      <c r="I1619" s="110">
        <v>100657.58</v>
      </c>
      <c r="J1619" s="110">
        <v>197170.56</v>
      </c>
      <c r="K1619" s="110">
        <v>225324.82</v>
      </c>
      <c r="L1619" s="110">
        <v>240964</v>
      </c>
    </row>
    <row r="1620" spans="1:12" x14ac:dyDescent="0.2">
      <c r="A1620" t="s">
        <v>42</v>
      </c>
      <c r="B1620" t="s">
        <v>109</v>
      </c>
      <c r="C1620" t="s">
        <v>221</v>
      </c>
      <c r="D1620" s="110">
        <v>378456.57</v>
      </c>
      <c r="E1620" s="110">
        <v>378400.14</v>
      </c>
      <c r="F1620" s="110">
        <v>378236.14</v>
      </c>
      <c r="I1620" s="110">
        <v>106775.34</v>
      </c>
      <c r="J1620" s="110">
        <v>195850.33</v>
      </c>
      <c r="K1620" s="110">
        <v>220450.3</v>
      </c>
    </row>
    <row r="1621" spans="1:12" x14ac:dyDescent="0.2">
      <c r="A1621" t="s">
        <v>42</v>
      </c>
      <c r="B1621" t="s">
        <v>109</v>
      </c>
      <c r="C1621" t="s">
        <v>222</v>
      </c>
      <c r="D1621" s="110">
        <v>381614.42</v>
      </c>
      <c r="E1621" s="110">
        <v>380805.42</v>
      </c>
      <c r="I1621" s="110">
        <v>90350.45</v>
      </c>
      <c r="J1621" s="110">
        <v>161542.42000000001</v>
      </c>
    </row>
    <row r="1622" spans="1:12" x14ac:dyDescent="0.2">
      <c r="A1622" t="s">
        <v>42</v>
      </c>
      <c r="B1622" t="s">
        <v>109</v>
      </c>
      <c r="C1622" t="s">
        <v>223</v>
      </c>
      <c r="D1622" s="110">
        <v>340759.03</v>
      </c>
      <c r="I1622" s="110">
        <v>78272.33</v>
      </c>
    </row>
    <row r="1623" spans="1:12" x14ac:dyDescent="0.2">
      <c r="A1623" t="s">
        <v>42</v>
      </c>
      <c r="B1623" t="s">
        <v>106</v>
      </c>
      <c r="C1623" t="s">
        <v>220</v>
      </c>
      <c r="D1623" s="110">
        <v>442363.11</v>
      </c>
      <c r="E1623" s="110">
        <v>441368.11</v>
      </c>
      <c r="F1623" s="110">
        <v>441368.11</v>
      </c>
      <c r="G1623" s="110">
        <v>441368.11</v>
      </c>
      <c r="I1623" s="110">
        <v>437241.59</v>
      </c>
      <c r="J1623" s="110">
        <v>440498.61</v>
      </c>
      <c r="K1623" s="110">
        <v>440498.61</v>
      </c>
      <c r="L1623" s="110">
        <v>440548.61</v>
      </c>
    </row>
    <row r="1624" spans="1:12" x14ac:dyDescent="0.2">
      <c r="A1624" t="s">
        <v>42</v>
      </c>
      <c r="B1624" t="s">
        <v>106</v>
      </c>
      <c r="C1624" t="s">
        <v>221</v>
      </c>
      <c r="D1624" s="110">
        <v>532646.55000000005</v>
      </c>
      <c r="E1624" s="110">
        <v>532646.55000000005</v>
      </c>
      <c r="F1624" s="110">
        <v>533151.55000000005</v>
      </c>
      <c r="I1624" s="110">
        <v>523583.55</v>
      </c>
      <c r="J1624" s="110">
        <v>531201.55000000005</v>
      </c>
      <c r="K1624" s="110">
        <v>531706.55000000005</v>
      </c>
    </row>
    <row r="1625" spans="1:12" x14ac:dyDescent="0.2">
      <c r="A1625" t="s">
        <v>42</v>
      </c>
      <c r="B1625" t="s">
        <v>106</v>
      </c>
      <c r="C1625" t="s">
        <v>222</v>
      </c>
      <c r="D1625" s="110">
        <v>557786.07999999996</v>
      </c>
      <c r="E1625" s="110">
        <v>554356.07999999996</v>
      </c>
      <c r="I1625" s="110">
        <v>536280.57999999996</v>
      </c>
      <c r="J1625" s="110">
        <v>550270.57999999996</v>
      </c>
    </row>
    <row r="1626" spans="1:12" x14ac:dyDescent="0.2">
      <c r="A1626" t="s">
        <v>42</v>
      </c>
      <c r="B1626" t="s">
        <v>106</v>
      </c>
      <c r="C1626" t="s">
        <v>223</v>
      </c>
      <c r="D1626" s="110">
        <v>505321.13</v>
      </c>
      <c r="I1626" s="110">
        <v>497284.41</v>
      </c>
    </row>
    <row r="1627" spans="1:12" x14ac:dyDescent="0.2">
      <c r="A1627" t="s">
        <v>42</v>
      </c>
      <c r="B1627" t="s">
        <v>107</v>
      </c>
      <c r="C1627" t="s">
        <v>220</v>
      </c>
      <c r="D1627" s="110">
        <v>449553.31</v>
      </c>
      <c r="E1627" s="110">
        <v>449236.31</v>
      </c>
      <c r="F1627" s="110">
        <v>449236.31</v>
      </c>
      <c r="G1627" s="110">
        <v>449236.31</v>
      </c>
      <c r="I1627" s="110">
        <v>448872.56</v>
      </c>
      <c r="J1627" s="110">
        <v>449182.56</v>
      </c>
      <c r="K1627" s="110">
        <v>449182.56</v>
      </c>
      <c r="L1627" s="110">
        <v>449182.56</v>
      </c>
    </row>
    <row r="1628" spans="1:12" x14ac:dyDescent="0.2">
      <c r="A1628" t="s">
        <v>42</v>
      </c>
      <c r="B1628" t="s">
        <v>107</v>
      </c>
      <c r="C1628" t="s">
        <v>221</v>
      </c>
      <c r="D1628" s="110">
        <v>469858.99</v>
      </c>
      <c r="E1628" s="110">
        <v>469717.47</v>
      </c>
      <c r="F1628" s="110">
        <v>469717.47</v>
      </c>
      <c r="I1628" s="110">
        <v>464684.47</v>
      </c>
      <c r="J1628" s="110">
        <v>469239.47</v>
      </c>
      <c r="K1628" s="110">
        <v>469241.47</v>
      </c>
    </row>
    <row r="1629" spans="1:12" x14ac:dyDescent="0.2">
      <c r="A1629" t="s">
        <v>42</v>
      </c>
      <c r="B1629" t="s">
        <v>107</v>
      </c>
      <c r="C1629" t="s">
        <v>222</v>
      </c>
      <c r="D1629" s="110">
        <v>509199.54</v>
      </c>
      <c r="E1629" s="110">
        <v>509324.54</v>
      </c>
      <c r="I1629" s="110">
        <v>505085.54</v>
      </c>
      <c r="J1629" s="110">
        <v>508984.54</v>
      </c>
    </row>
    <row r="1630" spans="1:12" x14ac:dyDescent="0.2">
      <c r="A1630" t="s">
        <v>42</v>
      </c>
      <c r="B1630" t="s">
        <v>107</v>
      </c>
      <c r="C1630" t="s">
        <v>223</v>
      </c>
      <c r="D1630" s="110">
        <v>490883.39</v>
      </c>
      <c r="I1630" s="110">
        <v>488355.39</v>
      </c>
    </row>
    <row r="1631" spans="1:12" x14ac:dyDescent="0.2">
      <c r="A1631" t="s">
        <v>42</v>
      </c>
      <c r="B1631" t="s">
        <v>108</v>
      </c>
      <c r="C1631" t="s">
        <v>220</v>
      </c>
      <c r="D1631" s="110">
        <v>156033.26999999999</v>
      </c>
      <c r="E1631" s="110">
        <v>156410.95000000001</v>
      </c>
      <c r="F1631" s="110">
        <v>155513.26999999999</v>
      </c>
      <c r="G1631" s="110">
        <v>155513.26999999999</v>
      </c>
      <c r="I1631" s="110">
        <v>152332.26999999999</v>
      </c>
      <c r="J1631" s="110">
        <v>154121.95000000001</v>
      </c>
      <c r="K1631" s="110">
        <v>152648.26999999999</v>
      </c>
      <c r="L1631" s="110">
        <v>152648.26999999999</v>
      </c>
    </row>
    <row r="1632" spans="1:12" x14ac:dyDescent="0.2">
      <c r="A1632" t="s">
        <v>42</v>
      </c>
      <c r="B1632" t="s">
        <v>108</v>
      </c>
      <c r="C1632" t="s">
        <v>221</v>
      </c>
      <c r="D1632" s="110">
        <v>157473.9</v>
      </c>
      <c r="E1632" s="110">
        <v>169474.8</v>
      </c>
      <c r="F1632" s="110">
        <v>169474.8</v>
      </c>
      <c r="I1632" s="110">
        <v>153011.9</v>
      </c>
      <c r="J1632" s="110">
        <v>165139.79999999999</v>
      </c>
      <c r="K1632" s="110">
        <v>165139.79999999999</v>
      </c>
    </row>
    <row r="1633" spans="1:12" x14ac:dyDescent="0.2">
      <c r="A1633" t="s">
        <v>42</v>
      </c>
      <c r="B1633" t="s">
        <v>108</v>
      </c>
      <c r="C1633" t="s">
        <v>222</v>
      </c>
      <c r="D1633" s="110">
        <v>162971.93</v>
      </c>
      <c r="E1633" s="110">
        <v>163316.93</v>
      </c>
      <c r="I1633" s="110">
        <v>158620.93</v>
      </c>
      <c r="J1633" s="110">
        <v>161358.93</v>
      </c>
    </row>
    <row r="1634" spans="1:12" x14ac:dyDescent="0.2">
      <c r="A1634" t="s">
        <v>42</v>
      </c>
      <c r="B1634" t="s">
        <v>108</v>
      </c>
      <c r="C1634" t="s">
        <v>223</v>
      </c>
      <c r="D1634" s="110">
        <v>153662.39999999999</v>
      </c>
      <c r="I1634" s="110">
        <v>148816.9</v>
      </c>
    </row>
    <row r="1635" spans="1:12" x14ac:dyDescent="0.2">
      <c r="A1635" t="s">
        <v>42</v>
      </c>
      <c r="B1635" t="s">
        <v>70</v>
      </c>
      <c r="C1635" t="s">
        <v>220</v>
      </c>
      <c r="D1635" s="110">
        <v>179498.7</v>
      </c>
      <c r="E1635" s="110">
        <v>177370.7</v>
      </c>
      <c r="F1635" s="110">
        <v>177670.7</v>
      </c>
      <c r="G1635" s="110">
        <v>177370.7</v>
      </c>
      <c r="I1635" s="110">
        <v>155074.70000000001</v>
      </c>
      <c r="J1635" s="110">
        <v>163999.70000000001</v>
      </c>
      <c r="K1635" s="110">
        <v>165317.70000000001</v>
      </c>
      <c r="L1635" s="110">
        <v>165317.70000000001</v>
      </c>
    </row>
    <row r="1636" spans="1:12" x14ac:dyDescent="0.2">
      <c r="A1636" t="s">
        <v>42</v>
      </c>
      <c r="B1636" t="s">
        <v>70</v>
      </c>
      <c r="C1636" t="s">
        <v>221</v>
      </c>
      <c r="D1636" s="110">
        <v>186763.75</v>
      </c>
      <c r="E1636" s="110">
        <v>185997.75</v>
      </c>
      <c r="F1636" s="110">
        <v>184989.75</v>
      </c>
      <c r="I1636" s="110">
        <v>168304.35</v>
      </c>
      <c r="J1636" s="110">
        <v>174104.35</v>
      </c>
      <c r="K1636" s="110">
        <v>174649.35</v>
      </c>
    </row>
    <row r="1637" spans="1:12" x14ac:dyDescent="0.2">
      <c r="A1637" t="s">
        <v>42</v>
      </c>
      <c r="B1637" t="s">
        <v>70</v>
      </c>
      <c r="C1637" t="s">
        <v>222</v>
      </c>
      <c r="D1637" s="110">
        <v>197983.25</v>
      </c>
      <c r="E1637" s="110">
        <v>195033.5</v>
      </c>
      <c r="I1637" s="110">
        <v>176742.05</v>
      </c>
      <c r="J1637" s="110">
        <v>183372.79999999999</v>
      </c>
    </row>
    <row r="1638" spans="1:12" x14ac:dyDescent="0.2">
      <c r="A1638" t="s">
        <v>42</v>
      </c>
      <c r="B1638" t="s">
        <v>70</v>
      </c>
      <c r="C1638" t="s">
        <v>223</v>
      </c>
      <c r="D1638" s="110">
        <v>198573.4</v>
      </c>
      <c r="I1638" s="110">
        <v>175201.1</v>
      </c>
    </row>
    <row r="1639" spans="1:12" x14ac:dyDescent="0.2">
      <c r="A1639" t="s">
        <v>42</v>
      </c>
      <c r="B1639" t="s">
        <v>110</v>
      </c>
      <c r="C1639" t="s">
        <v>220</v>
      </c>
      <c r="D1639" s="110">
        <v>732083</v>
      </c>
      <c r="E1639" s="110">
        <v>707412.55</v>
      </c>
      <c r="F1639" s="110">
        <v>708149.85</v>
      </c>
      <c r="G1639" s="110">
        <v>708376.85</v>
      </c>
      <c r="I1639" s="110">
        <v>388492.79</v>
      </c>
      <c r="J1639" s="110">
        <v>599081.86</v>
      </c>
      <c r="K1639" s="110">
        <v>630838.13</v>
      </c>
      <c r="L1639" s="110">
        <v>644736.42000000004</v>
      </c>
    </row>
    <row r="1640" spans="1:12" x14ac:dyDescent="0.2">
      <c r="A1640" t="s">
        <v>42</v>
      </c>
      <c r="B1640" t="s">
        <v>110</v>
      </c>
      <c r="C1640" t="s">
        <v>221</v>
      </c>
      <c r="D1640" s="110">
        <v>732024.16</v>
      </c>
      <c r="E1640" s="110">
        <v>721672.16</v>
      </c>
      <c r="F1640" s="110">
        <v>769210.71</v>
      </c>
      <c r="I1640" s="110">
        <v>436575.71</v>
      </c>
      <c r="J1640" s="110">
        <v>627319.84</v>
      </c>
      <c r="K1640" s="110">
        <v>691514.95</v>
      </c>
    </row>
    <row r="1641" spans="1:12" x14ac:dyDescent="0.2">
      <c r="A1641" t="s">
        <v>42</v>
      </c>
      <c r="B1641" t="s">
        <v>110</v>
      </c>
      <c r="C1641" t="s">
        <v>222</v>
      </c>
      <c r="D1641" s="110">
        <v>662708.9</v>
      </c>
      <c r="E1641" s="110">
        <v>686400.75</v>
      </c>
      <c r="I1641" s="110">
        <v>367770.21</v>
      </c>
      <c r="J1641" s="110">
        <v>576147.93999999994</v>
      </c>
    </row>
    <row r="1642" spans="1:12" x14ac:dyDescent="0.2">
      <c r="A1642" t="s">
        <v>42</v>
      </c>
      <c r="B1642" t="s">
        <v>110</v>
      </c>
      <c r="C1642" t="s">
        <v>223</v>
      </c>
      <c r="D1642" s="110">
        <v>760723.9</v>
      </c>
      <c r="I1642" s="110">
        <v>404521.46</v>
      </c>
    </row>
    <row r="1643" spans="1:12" x14ac:dyDescent="0.2">
      <c r="A1643" t="s">
        <v>43</v>
      </c>
      <c r="B1643" t="s">
        <v>104</v>
      </c>
      <c r="C1643" t="s">
        <v>220</v>
      </c>
      <c r="D1643" s="110">
        <v>356820.71</v>
      </c>
      <c r="E1643" s="110">
        <v>352822.71</v>
      </c>
      <c r="F1643" s="110">
        <v>351357.71</v>
      </c>
      <c r="G1643" s="110">
        <v>350568.71</v>
      </c>
      <c r="I1643" s="110">
        <v>13830.07</v>
      </c>
      <c r="J1643" s="110">
        <v>31997.24</v>
      </c>
      <c r="K1643" s="110">
        <v>44182.93</v>
      </c>
      <c r="L1643" s="110">
        <v>54144.42</v>
      </c>
    </row>
    <row r="1644" spans="1:12" x14ac:dyDescent="0.2">
      <c r="A1644" t="s">
        <v>43</v>
      </c>
      <c r="B1644" t="s">
        <v>104</v>
      </c>
      <c r="C1644" t="s">
        <v>221</v>
      </c>
      <c r="D1644" s="110">
        <v>611772.75</v>
      </c>
      <c r="E1644" s="110">
        <v>611340.75</v>
      </c>
      <c r="F1644" s="110">
        <v>608671.07999999996</v>
      </c>
      <c r="I1644" s="110">
        <v>19503.68</v>
      </c>
      <c r="J1644" s="110">
        <v>45800.05</v>
      </c>
      <c r="K1644" s="110">
        <v>64574.57</v>
      </c>
    </row>
    <row r="1645" spans="1:12" x14ac:dyDescent="0.2">
      <c r="A1645" t="s">
        <v>43</v>
      </c>
      <c r="B1645" t="s">
        <v>104</v>
      </c>
      <c r="C1645" t="s">
        <v>222</v>
      </c>
      <c r="D1645" s="110">
        <v>552403.87</v>
      </c>
      <c r="E1645" s="110">
        <v>549228.87</v>
      </c>
      <c r="I1645" s="110">
        <v>19770.080000000002</v>
      </c>
      <c r="J1645" s="110">
        <v>35325.769999999997</v>
      </c>
    </row>
    <row r="1646" spans="1:12" x14ac:dyDescent="0.2">
      <c r="A1646" t="s">
        <v>43</v>
      </c>
      <c r="B1646" t="s">
        <v>104</v>
      </c>
      <c r="C1646" t="s">
        <v>223</v>
      </c>
      <c r="D1646" s="110">
        <v>560072.03</v>
      </c>
      <c r="I1646" s="110">
        <v>11005.6</v>
      </c>
    </row>
    <row r="1647" spans="1:12" x14ac:dyDescent="0.2">
      <c r="A1647" t="s">
        <v>43</v>
      </c>
      <c r="B1647" t="s">
        <v>140</v>
      </c>
      <c r="C1647" t="s">
        <v>220</v>
      </c>
      <c r="D1647" s="110">
        <v>106442</v>
      </c>
      <c r="E1647" s="110">
        <v>106442</v>
      </c>
      <c r="F1647" s="110">
        <v>106442</v>
      </c>
      <c r="G1647" s="110">
        <v>106442</v>
      </c>
      <c r="I1647" s="110">
        <v>112</v>
      </c>
      <c r="J1647" s="110">
        <v>112</v>
      </c>
      <c r="K1647" s="110">
        <v>112</v>
      </c>
      <c r="L1647" s="110">
        <v>112</v>
      </c>
    </row>
    <row r="1648" spans="1:12" x14ac:dyDescent="0.2">
      <c r="A1648" t="s">
        <v>43</v>
      </c>
      <c r="B1648" t="s">
        <v>140</v>
      </c>
      <c r="C1648" t="s">
        <v>221</v>
      </c>
      <c r="D1648" s="110">
        <v>106390</v>
      </c>
      <c r="E1648" s="110">
        <v>106390</v>
      </c>
      <c r="F1648" s="110">
        <v>106390</v>
      </c>
      <c r="I1648" s="110">
        <v>25</v>
      </c>
      <c r="J1648" s="110">
        <v>25</v>
      </c>
      <c r="K1648" s="110">
        <v>130</v>
      </c>
    </row>
    <row r="1649" spans="1:12" x14ac:dyDescent="0.2">
      <c r="A1649" t="s">
        <v>43</v>
      </c>
      <c r="B1649" t="s">
        <v>140</v>
      </c>
      <c r="C1649" t="s">
        <v>222</v>
      </c>
      <c r="D1649" s="110">
        <v>269895</v>
      </c>
      <c r="E1649" s="110">
        <v>269895</v>
      </c>
      <c r="I1649" s="110">
        <v>65</v>
      </c>
      <c r="J1649" s="110">
        <v>680</v>
      </c>
    </row>
    <row r="1650" spans="1:12" x14ac:dyDescent="0.2">
      <c r="A1650" t="s">
        <v>43</v>
      </c>
      <c r="B1650" t="s">
        <v>140</v>
      </c>
      <c r="C1650" t="s">
        <v>223</v>
      </c>
      <c r="D1650" s="110">
        <v>324850</v>
      </c>
      <c r="I1650" s="110">
        <v>57</v>
      </c>
    </row>
    <row r="1651" spans="1:12" x14ac:dyDescent="0.2">
      <c r="A1651" t="s">
        <v>43</v>
      </c>
      <c r="B1651" t="s">
        <v>105</v>
      </c>
      <c r="C1651" t="s">
        <v>220</v>
      </c>
      <c r="D1651" s="110">
        <v>210079.54</v>
      </c>
      <c r="E1651" s="110">
        <v>206453.04</v>
      </c>
      <c r="F1651" s="110">
        <v>203917.04</v>
      </c>
      <c r="G1651" s="110">
        <v>201493.54</v>
      </c>
      <c r="I1651" s="110">
        <v>53578</v>
      </c>
      <c r="J1651" s="110">
        <v>86139.61</v>
      </c>
      <c r="K1651" s="110">
        <v>97906.61</v>
      </c>
      <c r="L1651" s="110">
        <v>105026.96</v>
      </c>
    </row>
    <row r="1652" spans="1:12" x14ac:dyDescent="0.2">
      <c r="A1652" t="s">
        <v>43</v>
      </c>
      <c r="B1652" t="s">
        <v>105</v>
      </c>
      <c r="C1652" t="s">
        <v>221</v>
      </c>
      <c r="D1652" s="110">
        <v>247651</v>
      </c>
      <c r="E1652" s="110">
        <v>242483</v>
      </c>
      <c r="F1652" s="110">
        <v>241205</v>
      </c>
      <c r="I1652" s="110">
        <v>72322.83</v>
      </c>
      <c r="J1652" s="110">
        <v>101448.11</v>
      </c>
      <c r="K1652" s="110">
        <v>118926.02</v>
      </c>
    </row>
    <row r="1653" spans="1:12" x14ac:dyDescent="0.2">
      <c r="A1653" t="s">
        <v>43</v>
      </c>
      <c r="B1653" t="s">
        <v>105</v>
      </c>
      <c r="C1653" t="s">
        <v>222</v>
      </c>
      <c r="D1653" s="110">
        <v>225605</v>
      </c>
      <c r="E1653" s="110">
        <v>225034</v>
      </c>
      <c r="I1653" s="110">
        <v>65287.5</v>
      </c>
      <c r="J1653" s="110">
        <v>89103</v>
      </c>
    </row>
    <row r="1654" spans="1:12" x14ac:dyDescent="0.2">
      <c r="A1654" t="s">
        <v>43</v>
      </c>
      <c r="B1654" t="s">
        <v>105</v>
      </c>
      <c r="C1654" t="s">
        <v>223</v>
      </c>
      <c r="D1654" s="110">
        <v>193410.74</v>
      </c>
      <c r="I1654" s="110">
        <v>62157.5</v>
      </c>
    </row>
    <row r="1655" spans="1:12" x14ac:dyDescent="0.2">
      <c r="A1655" t="s">
        <v>43</v>
      </c>
      <c r="B1655" t="s">
        <v>111</v>
      </c>
      <c r="C1655" t="s">
        <v>220</v>
      </c>
      <c r="D1655" s="110">
        <v>12973</v>
      </c>
      <c r="E1655" s="110">
        <v>12638</v>
      </c>
      <c r="F1655" s="110">
        <v>12638</v>
      </c>
      <c r="G1655" s="110">
        <v>12638</v>
      </c>
      <c r="I1655" s="110">
        <v>648</v>
      </c>
      <c r="J1655" s="110">
        <v>1323</v>
      </c>
      <c r="K1655" s="110">
        <v>2223</v>
      </c>
      <c r="L1655" s="110">
        <v>2373</v>
      </c>
    </row>
    <row r="1656" spans="1:12" x14ac:dyDescent="0.2">
      <c r="A1656" t="s">
        <v>43</v>
      </c>
      <c r="B1656" t="s">
        <v>111</v>
      </c>
      <c r="C1656" t="s">
        <v>221</v>
      </c>
      <c r="D1656" s="110">
        <v>15105</v>
      </c>
      <c r="E1656" s="110">
        <v>15105</v>
      </c>
      <c r="F1656" s="110">
        <v>15105</v>
      </c>
      <c r="I1656" s="110">
        <v>940</v>
      </c>
      <c r="J1656" s="110">
        <v>1790</v>
      </c>
      <c r="K1656" s="110">
        <v>2140</v>
      </c>
    </row>
    <row r="1657" spans="1:12" x14ac:dyDescent="0.2">
      <c r="A1657" t="s">
        <v>43</v>
      </c>
      <c r="B1657" t="s">
        <v>111</v>
      </c>
      <c r="C1657" t="s">
        <v>222</v>
      </c>
      <c r="D1657" s="110">
        <v>12830</v>
      </c>
      <c r="E1657" s="110">
        <v>12830</v>
      </c>
      <c r="I1657" s="110">
        <v>600</v>
      </c>
      <c r="J1657" s="110">
        <v>890</v>
      </c>
    </row>
    <row r="1658" spans="1:12" x14ac:dyDescent="0.2">
      <c r="A1658" t="s">
        <v>43</v>
      </c>
      <c r="B1658" t="s">
        <v>111</v>
      </c>
      <c r="C1658" t="s">
        <v>223</v>
      </c>
      <c r="D1658" s="110">
        <v>10843</v>
      </c>
      <c r="I1658" s="110">
        <v>168</v>
      </c>
    </row>
    <row r="1659" spans="1:12" x14ac:dyDescent="0.2">
      <c r="A1659" t="s">
        <v>43</v>
      </c>
      <c r="B1659" t="s">
        <v>109</v>
      </c>
      <c r="C1659" t="s">
        <v>220</v>
      </c>
      <c r="D1659" s="110">
        <v>270531.34999999998</v>
      </c>
      <c r="E1659" s="110">
        <v>269324.84999999998</v>
      </c>
      <c r="F1659" s="110">
        <v>266947.84999999998</v>
      </c>
      <c r="G1659" s="110">
        <v>264951.84999999998</v>
      </c>
      <c r="I1659" s="110">
        <v>93020.85</v>
      </c>
      <c r="J1659" s="110">
        <v>135959.35</v>
      </c>
      <c r="K1659" s="110">
        <v>162640.85</v>
      </c>
      <c r="L1659" s="110">
        <v>175780.85</v>
      </c>
    </row>
    <row r="1660" spans="1:12" x14ac:dyDescent="0.2">
      <c r="A1660" t="s">
        <v>43</v>
      </c>
      <c r="B1660" t="s">
        <v>109</v>
      </c>
      <c r="C1660" t="s">
        <v>221</v>
      </c>
      <c r="D1660" s="110">
        <v>343485.75</v>
      </c>
      <c r="E1660" s="110">
        <v>341047.75</v>
      </c>
      <c r="F1660" s="110">
        <v>338079.75</v>
      </c>
      <c r="I1660" s="110">
        <v>99488.58</v>
      </c>
      <c r="J1660" s="110">
        <v>142464.57999999999</v>
      </c>
      <c r="K1660" s="110">
        <v>173811.25</v>
      </c>
    </row>
    <row r="1661" spans="1:12" x14ac:dyDescent="0.2">
      <c r="A1661" t="s">
        <v>43</v>
      </c>
      <c r="B1661" t="s">
        <v>109</v>
      </c>
      <c r="C1661" t="s">
        <v>222</v>
      </c>
      <c r="D1661" s="110">
        <v>317125.34999999998</v>
      </c>
      <c r="E1661" s="110">
        <v>312230.34999999998</v>
      </c>
      <c r="I1661" s="110">
        <v>105285.85</v>
      </c>
      <c r="J1661" s="110">
        <v>144974.82</v>
      </c>
    </row>
    <row r="1662" spans="1:12" x14ac:dyDescent="0.2">
      <c r="A1662" t="s">
        <v>43</v>
      </c>
      <c r="B1662" t="s">
        <v>109</v>
      </c>
      <c r="C1662" t="s">
        <v>223</v>
      </c>
      <c r="D1662" s="110">
        <v>275564.5</v>
      </c>
      <c r="I1662" s="110">
        <v>87684.25</v>
      </c>
    </row>
    <row r="1663" spans="1:12" x14ac:dyDescent="0.2">
      <c r="A1663" t="s">
        <v>43</v>
      </c>
      <c r="B1663" t="s">
        <v>106</v>
      </c>
      <c r="C1663" t="s">
        <v>220</v>
      </c>
      <c r="D1663" s="110">
        <v>187566</v>
      </c>
      <c r="E1663" s="110">
        <v>185920.5</v>
      </c>
      <c r="F1663" s="110">
        <v>184727.5</v>
      </c>
      <c r="G1663" s="110">
        <v>184727.5</v>
      </c>
      <c r="I1663" s="110">
        <v>183899</v>
      </c>
      <c r="J1663" s="110">
        <v>183462</v>
      </c>
      <c r="K1663" s="110">
        <v>183119</v>
      </c>
      <c r="L1663" s="110">
        <v>183119</v>
      </c>
    </row>
    <row r="1664" spans="1:12" x14ac:dyDescent="0.2">
      <c r="A1664" t="s">
        <v>43</v>
      </c>
      <c r="B1664" t="s">
        <v>106</v>
      </c>
      <c r="C1664" t="s">
        <v>221</v>
      </c>
      <c r="D1664" s="110">
        <v>239991.37</v>
      </c>
      <c r="E1664" s="110">
        <v>237584.37</v>
      </c>
      <c r="F1664" s="110">
        <v>237184.37</v>
      </c>
      <c r="I1664" s="110">
        <v>230770.87</v>
      </c>
      <c r="J1664" s="110">
        <v>234134.37</v>
      </c>
      <c r="K1664" s="110">
        <v>234134.37</v>
      </c>
    </row>
    <row r="1665" spans="1:12" x14ac:dyDescent="0.2">
      <c r="A1665" t="s">
        <v>43</v>
      </c>
      <c r="B1665" t="s">
        <v>106</v>
      </c>
      <c r="C1665" t="s">
        <v>222</v>
      </c>
      <c r="D1665" s="110">
        <v>215112</v>
      </c>
      <c r="E1665" s="110">
        <v>214010</v>
      </c>
      <c r="I1665" s="110">
        <v>210752.83</v>
      </c>
      <c r="J1665" s="110">
        <v>211259.83</v>
      </c>
    </row>
    <row r="1666" spans="1:12" x14ac:dyDescent="0.2">
      <c r="A1666" t="s">
        <v>43</v>
      </c>
      <c r="B1666" t="s">
        <v>106</v>
      </c>
      <c r="C1666" t="s">
        <v>223</v>
      </c>
      <c r="D1666" s="110">
        <v>214184.25</v>
      </c>
      <c r="I1666" s="110">
        <v>201933.79</v>
      </c>
    </row>
    <row r="1667" spans="1:12" x14ac:dyDescent="0.2">
      <c r="A1667" t="s">
        <v>43</v>
      </c>
      <c r="B1667" t="s">
        <v>107</v>
      </c>
      <c r="C1667" t="s">
        <v>220</v>
      </c>
      <c r="D1667" s="110">
        <v>142595.56</v>
      </c>
      <c r="E1667" s="110">
        <v>141833.56</v>
      </c>
      <c r="F1667" s="110">
        <v>141742.56</v>
      </c>
      <c r="G1667" s="110">
        <v>141742.56</v>
      </c>
      <c r="I1667" s="110">
        <v>140795.56</v>
      </c>
      <c r="J1667" s="110">
        <v>141488.56</v>
      </c>
      <c r="K1667" s="110">
        <v>141397.56</v>
      </c>
      <c r="L1667" s="110">
        <v>141397.56</v>
      </c>
    </row>
    <row r="1668" spans="1:12" x14ac:dyDescent="0.2">
      <c r="A1668" t="s">
        <v>43</v>
      </c>
      <c r="B1668" t="s">
        <v>107</v>
      </c>
      <c r="C1668" t="s">
        <v>221</v>
      </c>
      <c r="D1668" s="110">
        <v>157336.84</v>
      </c>
      <c r="E1668" s="110">
        <v>156929.84</v>
      </c>
      <c r="F1668" s="110">
        <v>156929.84</v>
      </c>
      <c r="I1668" s="110">
        <v>154141.24</v>
      </c>
      <c r="J1668" s="110">
        <v>156929.24</v>
      </c>
      <c r="K1668" s="110">
        <v>156929.24</v>
      </c>
    </row>
    <row r="1669" spans="1:12" x14ac:dyDescent="0.2">
      <c r="A1669" t="s">
        <v>43</v>
      </c>
      <c r="B1669" t="s">
        <v>107</v>
      </c>
      <c r="C1669" t="s">
        <v>222</v>
      </c>
      <c r="D1669" s="110">
        <v>137936.39000000001</v>
      </c>
      <c r="E1669" s="110">
        <v>137845.39000000001</v>
      </c>
      <c r="I1669" s="110">
        <v>137101.4</v>
      </c>
      <c r="J1669" s="110">
        <v>137815.4</v>
      </c>
    </row>
    <row r="1670" spans="1:12" x14ac:dyDescent="0.2">
      <c r="A1670" t="s">
        <v>43</v>
      </c>
      <c r="B1670" t="s">
        <v>107</v>
      </c>
      <c r="C1670" t="s">
        <v>223</v>
      </c>
      <c r="D1670" s="110">
        <v>126463.62</v>
      </c>
      <c r="I1670" s="110">
        <v>124960.62</v>
      </c>
    </row>
    <row r="1671" spans="1:12" x14ac:dyDescent="0.2">
      <c r="A1671" t="s">
        <v>43</v>
      </c>
      <c r="B1671" t="s">
        <v>108</v>
      </c>
      <c r="C1671" t="s">
        <v>220</v>
      </c>
      <c r="D1671" s="110">
        <v>66400.800000000003</v>
      </c>
      <c r="E1671" s="110">
        <v>66400.800000000003</v>
      </c>
      <c r="F1671" s="110">
        <v>66400.800000000003</v>
      </c>
      <c r="G1671" s="110">
        <v>66392.800000000003</v>
      </c>
      <c r="I1671" s="110">
        <v>65059.8</v>
      </c>
      <c r="J1671" s="110">
        <v>66375.8</v>
      </c>
      <c r="K1671" s="110">
        <v>66375.8</v>
      </c>
      <c r="L1671" s="110">
        <v>66375.8</v>
      </c>
    </row>
    <row r="1672" spans="1:12" x14ac:dyDescent="0.2">
      <c r="A1672" t="s">
        <v>43</v>
      </c>
      <c r="B1672" t="s">
        <v>108</v>
      </c>
      <c r="C1672" t="s">
        <v>221</v>
      </c>
      <c r="D1672" s="110">
        <v>84888.22</v>
      </c>
      <c r="E1672" s="110">
        <v>84653.22</v>
      </c>
      <c r="F1672" s="110">
        <v>84653.22</v>
      </c>
      <c r="I1672" s="110">
        <v>84883.22</v>
      </c>
      <c r="J1672" s="110">
        <v>84650.22</v>
      </c>
      <c r="K1672" s="110">
        <v>84650.22</v>
      </c>
    </row>
    <row r="1673" spans="1:12" x14ac:dyDescent="0.2">
      <c r="A1673" t="s">
        <v>43</v>
      </c>
      <c r="B1673" t="s">
        <v>108</v>
      </c>
      <c r="C1673" t="s">
        <v>222</v>
      </c>
      <c r="D1673" s="110">
        <v>88704.85</v>
      </c>
      <c r="E1673" s="110">
        <v>87559.85</v>
      </c>
      <c r="I1673" s="110">
        <v>87021.7</v>
      </c>
      <c r="J1673" s="110">
        <v>87192.7</v>
      </c>
    </row>
    <row r="1674" spans="1:12" x14ac:dyDescent="0.2">
      <c r="A1674" t="s">
        <v>43</v>
      </c>
      <c r="B1674" t="s">
        <v>108</v>
      </c>
      <c r="C1674" t="s">
        <v>223</v>
      </c>
      <c r="D1674" s="110">
        <v>66014.960000000006</v>
      </c>
      <c r="I1674" s="110">
        <v>66015.960000000006</v>
      </c>
    </row>
    <row r="1675" spans="1:12" x14ac:dyDescent="0.2">
      <c r="A1675" t="s">
        <v>43</v>
      </c>
      <c r="B1675" t="s">
        <v>70</v>
      </c>
      <c r="C1675" t="s">
        <v>220</v>
      </c>
      <c r="D1675" s="110">
        <v>78544.95</v>
      </c>
      <c r="E1675" s="110">
        <v>78494.95</v>
      </c>
      <c r="F1675" s="110">
        <v>78494.95</v>
      </c>
      <c r="G1675" s="110">
        <v>78016.45</v>
      </c>
      <c r="I1675" s="110">
        <v>77041.45</v>
      </c>
      <c r="J1675" s="110">
        <v>77041.45</v>
      </c>
      <c r="K1675" s="110">
        <v>77041.45</v>
      </c>
      <c r="L1675" s="110">
        <v>77041.45</v>
      </c>
    </row>
    <row r="1676" spans="1:12" x14ac:dyDescent="0.2">
      <c r="A1676" t="s">
        <v>43</v>
      </c>
      <c r="B1676" t="s">
        <v>70</v>
      </c>
      <c r="C1676" t="s">
        <v>221</v>
      </c>
      <c r="D1676" s="110">
        <v>99757.1</v>
      </c>
      <c r="E1676" s="110">
        <v>99157.1</v>
      </c>
      <c r="F1676" s="110">
        <v>98311.1</v>
      </c>
      <c r="I1676" s="110">
        <v>96197.6</v>
      </c>
      <c r="J1676" s="110">
        <v>96802.6</v>
      </c>
      <c r="K1676" s="110">
        <v>96866.1</v>
      </c>
    </row>
    <row r="1677" spans="1:12" x14ac:dyDescent="0.2">
      <c r="A1677" t="s">
        <v>43</v>
      </c>
      <c r="B1677" t="s">
        <v>70</v>
      </c>
      <c r="C1677" t="s">
        <v>222</v>
      </c>
      <c r="D1677" s="110">
        <v>83907</v>
      </c>
      <c r="E1677" s="110">
        <v>83460.399999999994</v>
      </c>
      <c r="I1677" s="110">
        <v>82495.399999999994</v>
      </c>
      <c r="J1677" s="110">
        <v>82085.399999999994</v>
      </c>
    </row>
    <row r="1678" spans="1:12" x14ac:dyDescent="0.2">
      <c r="A1678" t="s">
        <v>43</v>
      </c>
      <c r="B1678" t="s">
        <v>70</v>
      </c>
      <c r="C1678" t="s">
        <v>223</v>
      </c>
      <c r="D1678" s="110">
        <v>82863.179999999993</v>
      </c>
      <c r="I1678" s="110">
        <v>82233.179999999993</v>
      </c>
    </row>
    <row r="1679" spans="1:12" x14ac:dyDescent="0.2">
      <c r="A1679" t="s">
        <v>43</v>
      </c>
      <c r="B1679" t="s">
        <v>110</v>
      </c>
      <c r="C1679" t="s">
        <v>220</v>
      </c>
      <c r="D1679" s="110">
        <v>624104.85</v>
      </c>
      <c r="E1679" s="110">
        <v>600451.25</v>
      </c>
      <c r="F1679" s="110">
        <v>598736.15</v>
      </c>
      <c r="G1679" s="110">
        <v>601189.9</v>
      </c>
      <c r="I1679" s="110">
        <v>262829.84999999998</v>
      </c>
      <c r="J1679" s="110">
        <v>509038.75</v>
      </c>
      <c r="K1679" s="110">
        <v>545531.15</v>
      </c>
      <c r="L1679" s="110">
        <v>557970.9</v>
      </c>
    </row>
    <row r="1680" spans="1:12" x14ac:dyDescent="0.2">
      <c r="A1680" t="s">
        <v>43</v>
      </c>
      <c r="B1680" t="s">
        <v>110</v>
      </c>
      <c r="C1680" t="s">
        <v>221</v>
      </c>
      <c r="D1680" s="110">
        <v>837485.65</v>
      </c>
      <c r="E1680" s="110">
        <v>799614.75</v>
      </c>
      <c r="F1680" s="110">
        <v>801799.1</v>
      </c>
      <c r="I1680" s="110">
        <v>377680.9</v>
      </c>
      <c r="J1680" s="110">
        <v>663889.69999999995</v>
      </c>
      <c r="K1680" s="110">
        <v>731471.3</v>
      </c>
    </row>
    <row r="1681" spans="1:12" x14ac:dyDescent="0.2">
      <c r="A1681" t="s">
        <v>43</v>
      </c>
      <c r="B1681" t="s">
        <v>110</v>
      </c>
      <c r="C1681" t="s">
        <v>222</v>
      </c>
      <c r="D1681" s="110">
        <v>750930</v>
      </c>
      <c r="E1681" s="110">
        <v>709179.65</v>
      </c>
      <c r="I1681" s="110">
        <v>316909.25</v>
      </c>
      <c r="J1681" s="110">
        <v>579678.42000000004</v>
      </c>
    </row>
    <row r="1682" spans="1:12" x14ac:dyDescent="0.2">
      <c r="A1682" t="s">
        <v>43</v>
      </c>
      <c r="B1682" t="s">
        <v>110</v>
      </c>
      <c r="C1682" t="s">
        <v>223</v>
      </c>
      <c r="D1682" s="110">
        <v>924584.6</v>
      </c>
      <c r="I1682" s="110">
        <v>403189.78</v>
      </c>
    </row>
    <row r="1683" spans="1:12" x14ac:dyDescent="0.2">
      <c r="A1683" t="s">
        <v>76</v>
      </c>
      <c r="B1683" t="s">
        <v>104</v>
      </c>
      <c r="C1683" t="s">
        <v>220</v>
      </c>
      <c r="D1683" s="110">
        <v>1623576</v>
      </c>
      <c r="E1683" s="110">
        <v>1623576</v>
      </c>
      <c r="F1683" s="110">
        <v>1623576</v>
      </c>
      <c r="G1683" s="110">
        <v>1623576</v>
      </c>
      <c r="I1683" s="110">
        <v>73116</v>
      </c>
      <c r="J1683" s="110">
        <v>121172</v>
      </c>
      <c r="K1683" s="110">
        <v>158784</v>
      </c>
      <c r="L1683" s="110">
        <v>187251</v>
      </c>
    </row>
    <row r="1684" spans="1:12" x14ac:dyDescent="0.2">
      <c r="A1684" t="s">
        <v>76</v>
      </c>
      <c r="B1684" t="s">
        <v>104</v>
      </c>
      <c r="C1684" t="s">
        <v>221</v>
      </c>
      <c r="D1684" s="110">
        <v>2057531</v>
      </c>
      <c r="E1684" s="110">
        <v>2057531</v>
      </c>
      <c r="F1684" s="110">
        <v>2057531</v>
      </c>
      <c r="I1684" s="110">
        <v>95594</v>
      </c>
      <c r="J1684" s="110">
        <v>143636</v>
      </c>
      <c r="K1684" s="110">
        <v>176123</v>
      </c>
    </row>
    <row r="1685" spans="1:12" x14ac:dyDescent="0.2">
      <c r="A1685" t="s">
        <v>76</v>
      </c>
      <c r="B1685" t="s">
        <v>104</v>
      </c>
      <c r="C1685" t="s">
        <v>222</v>
      </c>
      <c r="D1685" s="110">
        <v>1760079</v>
      </c>
      <c r="E1685" s="110">
        <v>1760079</v>
      </c>
      <c r="I1685" s="110">
        <v>96236</v>
      </c>
      <c r="J1685" s="110">
        <v>145946</v>
      </c>
    </row>
    <row r="1686" spans="1:12" x14ac:dyDescent="0.2">
      <c r="A1686" t="s">
        <v>76</v>
      </c>
      <c r="B1686" t="s">
        <v>104</v>
      </c>
      <c r="C1686" t="s">
        <v>223</v>
      </c>
      <c r="D1686" s="110">
        <v>1878070</v>
      </c>
      <c r="I1686" s="110">
        <v>75222</v>
      </c>
    </row>
    <row r="1687" spans="1:12" x14ac:dyDescent="0.2">
      <c r="A1687" t="s">
        <v>76</v>
      </c>
      <c r="B1687" t="s">
        <v>140</v>
      </c>
      <c r="C1687" t="s">
        <v>220</v>
      </c>
      <c r="D1687" s="110">
        <v>21075</v>
      </c>
      <c r="E1687" s="110">
        <v>21075</v>
      </c>
      <c r="F1687" s="110">
        <v>21075</v>
      </c>
      <c r="G1687" s="110">
        <v>21075</v>
      </c>
      <c r="I1687" s="110">
        <v>3067</v>
      </c>
      <c r="J1687" s="110">
        <v>3157</v>
      </c>
      <c r="K1687" s="110">
        <v>3242</v>
      </c>
      <c r="L1687" s="110">
        <v>3337</v>
      </c>
    </row>
    <row r="1688" spans="1:12" x14ac:dyDescent="0.2">
      <c r="A1688" t="s">
        <v>76</v>
      </c>
      <c r="B1688" t="s">
        <v>140</v>
      </c>
      <c r="C1688" t="s">
        <v>221</v>
      </c>
      <c r="D1688" s="110">
        <v>312288</v>
      </c>
      <c r="E1688" s="110">
        <v>312288</v>
      </c>
      <c r="F1688" s="110">
        <v>312288</v>
      </c>
      <c r="I1688" s="110">
        <v>1934</v>
      </c>
      <c r="J1688" s="110">
        <v>2787</v>
      </c>
      <c r="K1688" s="110">
        <v>3241</v>
      </c>
    </row>
    <row r="1689" spans="1:12" x14ac:dyDescent="0.2">
      <c r="A1689" t="s">
        <v>76</v>
      </c>
      <c r="B1689" t="s">
        <v>140</v>
      </c>
      <c r="C1689" t="s">
        <v>222</v>
      </c>
      <c r="D1689" s="110">
        <v>218097</v>
      </c>
      <c r="E1689" s="110">
        <v>218097</v>
      </c>
      <c r="I1689" s="110">
        <v>1318</v>
      </c>
      <c r="J1689" s="110">
        <v>2446</v>
      </c>
    </row>
    <row r="1690" spans="1:12" x14ac:dyDescent="0.2">
      <c r="A1690" t="s">
        <v>76</v>
      </c>
      <c r="B1690" t="s">
        <v>140</v>
      </c>
      <c r="C1690" t="s">
        <v>223</v>
      </c>
      <c r="D1690" s="110">
        <v>121905</v>
      </c>
      <c r="I1690" s="110">
        <v>3786</v>
      </c>
    </row>
    <row r="1691" spans="1:12" x14ac:dyDescent="0.2">
      <c r="A1691" t="s">
        <v>76</v>
      </c>
      <c r="B1691" t="s">
        <v>105</v>
      </c>
      <c r="C1691" t="s">
        <v>220</v>
      </c>
      <c r="D1691" s="110">
        <v>752592</v>
      </c>
      <c r="E1691" s="110">
        <v>752592</v>
      </c>
      <c r="F1691" s="110">
        <v>752592</v>
      </c>
      <c r="G1691" s="110">
        <v>752592</v>
      </c>
      <c r="I1691" s="110">
        <v>109643</v>
      </c>
      <c r="J1691" s="110">
        <v>124581</v>
      </c>
      <c r="K1691" s="110">
        <v>142926</v>
      </c>
      <c r="L1691" s="110">
        <v>154740</v>
      </c>
    </row>
    <row r="1692" spans="1:12" x14ac:dyDescent="0.2">
      <c r="A1692" t="s">
        <v>76</v>
      </c>
      <c r="B1692" t="s">
        <v>105</v>
      </c>
      <c r="C1692" t="s">
        <v>221</v>
      </c>
      <c r="D1692" s="110">
        <v>793657</v>
      </c>
      <c r="E1692" s="110">
        <v>793657</v>
      </c>
      <c r="F1692" s="110">
        <v>793657</v>
      </c>
      <c r="I1692" s="110">
        <v>119225</v>
      </c>
      <c r="J1692" s="110">
        <v>140696</v>
      </c>
      <c r="K1692" s="110">
        <v>158702</v>
      </c>
    </row>
    <row r="1693" spans="1:12" x14ac:dyDescent="0.2">
      <c r="A1693" t="s">
        <v>76</v>
      </c>
      <c r="B1693" t="s">
        <v>105</v>
      </c>
      <c r="C1693" t="s">
        <v>222</v>
      </c>
      <c r="D1693" s="110">
        <v>800191</v>
      </c>
      <c r="E1693" s="110">
        <v>800191</v>
      </c>
      <c r="I1693" s="110">
        <v>136989</v>
      </c>
      <c r="J1693" s="110">
        <v>152865</v>
      </c>
    </row>
    <row r="1694" spans="1:12" x14ac:dyDescent="0.2">
      <c r="A1694" t="s">
        <v>76</v>
      </c>
      <c r="B1694" t="s">
        <v>105</v>
      </c>
      <c r="C1694" t="s">
        <v>223</v>
      </c>
      <c r="D1694" s="110">
        <v>728807</v>
      </c>
      <c r="I1694" s="110">
        <v>117064</v>
      </c>
    </row>
    <row r="1695" spans="1:12" x14ac:dyDescent="0.2">
      <c r="A1695" t="s">
        <v>76</v>
      </c>
      <c r="B1695" t="s">
        <v>111</v>
      </c>
      <c r="C1695" t="s">
        <v>220</v>
      </c>
      <c r="D1695" s="110">
        <v>46239</v>
      </c>
      <c r="E1695" s="110">
        <v>46239</v>
      </c>
      <c r="F1695" s="110">
        <v>46239</v>
      </c>
      <c r="G1695" s="110">
        <v>46239</v>
      </c>
      <c r="I1695" s="110">
        <v>7130</v>
      </c>
      <c r="J1695" s="110">
        <v>7740</v>
      </c>
      <c r="K1695" s="110">
        <v>8478</v>
      </c>
      <c r="L1695" s="110">
        <v>8673</v>
      </c>
    </row>
    <row r="1696" spans="1:12" x14ac:dyDescent="0.2">
      <c r="A1696" t="s">
        <v>76</v>
      </c>
      <c r="B1696" t="s">
        <v>111</v>
      </c>
      <c r="C1696" t="s">
        <v>221</v>
      </c>
      <c r="D1696" s="110">
        <v>47882</v>
      </c>
      <c r="E1696" s="110">
        <v>47882</v>
      </c>
      <c r="F1696" s="110">
        <v>47882</v>
      </c>
      <c r="I1696" s="110">
        <v>7905</v>
      </c>
      <c r="J1696" s="110">
        <v>10850</v>
      </c>
      <c r="K1696" s="110">
        <v>11680</v>
      </c>
    </row>
    <row r="1697" spans="1:12" x14ac:dyDescent="0.2">
      <c r="A1697" t="s">
        <v>76</v>
      </c>
      <c r="B1697" t="s">
        <v>111</v>
      </c>
      <c r="C1697" t="s">
        <v>222</v>
      </c>
      <c r="D1697" s="110">
        <v>57354</v>
      </c>
      <c r="E1697" s="110">
        <v>57354</v>
      </c>
      <c r="I1697" s="110">
        <v>9310</v>
      </c>
      <c r="J1697" s="110">
        <v>11170</v>
      </c>
    </row>
    <row r="1698" spans="1:12" x14ac:dyDescent="0.2">
      <c r="A1698" t="s">
        <v>76</v>
      </c>
      <c r="B1698" t="s">
        <v>111</v>
      </c>
      <c r="C1698" t="s">
        <v>223</v>
      </c>
      <c r="D1698" s="110">
        <v>45163</v>
      </c>
      <c r="I1698" s="110">
        <v>6635</v>
      </c>
    </row>
    <row r="1699" spans="1:12" x14ac:dyDescent="0.2">
      <c r="A1699" t="s">
        <v>76</v>
      </c>
      <c r="B1699" t="s">
        <v>109</v>
      </c>
      <c r="C1699" t="s">
        <v>220</v>
      </c>
      <c r="D1699" s="110">
        <v>1093511.19</v>
      </c>
      <c r="E1699" s="110">
        <v>1093511.19</v>
      </c>
      <c r="F1699" s="110">
        <v>1093511.19</v>
      </c>
      <c r="G1699" s="110">
        <v>1093511.19</v>
      </c>
      <c r="I1699" s="110">
        <v>119146.69</v>
      </c>
      <c r="J1699" s="110">
        <v>203686.39999999999</v>
      </c>
      <c r="K1699" s="110">
        <v>284455.8</v>
      </c>
      <c r="L1699" s="110">
        <v>339908.79</v>
      </c>
    </row>
    <row r="1700" spans="1:12" x14ac:dyDescent="0.2">
      <c r="A1700" t="s">
        <v>76</v>
      </c>
      <c r="B1700" t="s">
        <v>109</v>
      </c>
      <c r="C1700" t="s">
        <v>221</v>
      </c>
      <c r="D1700" s="110">
        <v>1094058.53</v>
      </c>
      <c r="E1700" s="110">
        <v>1094058.53</v>
      </c>
      <c r="F1700" s="110">
        <v>1094058.53</v>
      </c>
      <c r="I1700" s="110">
        <v>158431.9</v>
      </c>
      <c r="J1700" s="110">
        <v>234695.52</v>
      </c>
      <c r="K1700" s="110">
        <v>328048.13</v>
      </c>
    </row>
    <row r="1701" spans="1:12" x14ac:dyDescent="0.2">
      <c r="A1701" t="s">
        <v>76</v>
      </c>
      <c r="B1701" t="s">
        <v>109</v>
      </c>
      <c r="C1701" t="s">
        <v>222</v>
      </c>
      <c r="D1701" s="110">
        <v>1177513.79</v>
      </c>
      <c r="E1701" s="110">
        <v>1177513.79</v>
      </c>
      <c r="I1701" s="110">
        <v>157094.49</v>
      </c>
      <c r="J1701" s="110">
        <v>227595.95</v>
      </c>
    </row>
    <row r="1702" spans="1:12" x14ac:dyDescent="0.2">
      <c r="A1702" t="s">
        <v>76</v>
      </c>
      <c r="B1702" t="s">
        <v>109</v>
      </c>
      <c r="C1702" t="s">
        <v>223</v>
      </c>
      <c r="D1702" s="110">
        <v>1118796.21</v>
      </c>
      <c r="I1702" s="110">
        <v>119110.5</v>
      </c>
    </row>
    <row r="1703" spans="1:12" x14ac:dyDescent="0.2">
      <c r="A1703" t="s">
        <v>76</v>
      </c>
      <c r="B1703" t="s">
        <v>106</v>
      </c>
      <c r="C1703" t="s">
        <v>220</v>
      </c>
      <c r="D1703" s="110">
        <v>5169743</v>
      </c>
      <c r="E1703" s="110">
        <v>5169743</v>
      </c>
      <c r="F1703" s="110">
        <v>5169743</v>
      </c>
      <c r="G1703" s="110">
        <v>5169743</v>
      </c>
      <c r="I1703" s="110">
        <v>5169743</v>
      </c>
      <c r="J1703" s="110">
        <v>5169743</v>
      </c>
      <c r="K1703" s="110">
        <v>5169743</v>
      </c>
      <c r="L1703" s="110">
        <v>5169743</v>
      </c>
    </row>
    <row r="1704" spans="1:12" x14ac:dyDescent="0.2">
      <c r="A1704" t="s">
        <v>76</v>
      </c>
      <c r="B1704" t="s">
        <v>106</v>
      </c>
      <c r="C1704" t="s">
        <v>221</v>
      </c>
      <c r="D1704" s="110">
        <v>5217403</v>
      </c>
      <c r="E1704" s="110">
        <v>5217403</v>
      </c>
      <c r="F1704" s="110">
        <v>5217403</v>
      </c>
      <c r="I1704" s="110">
        <v>5217403</v>
      </c>
      <c r="J1704" s="110">
        <v>5217403</v>
      </c>
      <c r="K1704" s="110">
        <v>5217403</v>
      </c>
    </row>
    <row r="1705" spans="1:12" x14ac:dyDescent="0.2">
      <c r="A1705" t="s">
        <v>76</v>
      </c>
      <c r="B1705" t="s">
        <v>106</v>
      </c>
      <c r="C1705" t="s">
        <v>222</v>
      </c>
      <c r="D1705" s="110">
        <v>5256711</v>
      </c>
      <c r="E1705" s="110">
        <v>5256711</v>
      </c>
      <c r="I1705" s="110">
        <v>5256711</v>
      </c>
      <c r="J1705" s="110">
        <v>5256711</v>
      </c>
    </row>
    <row r="1706" spans="1:12" x14ac:dyDescent="0.2">
      <c r="A1706" t="s">
        <v>76</v>
      </c>
      <c r="B1706" t="s">
        <v>106</v>
      </c>
      <c r="C1706" t="s">
        <v>223</v>
      </c>
      <c r="D1706" s="110">
        <v>4677223</v>
      </c>
      <c r="I1706" s="110">
        <v>4677223</v>
      </c>
    </row>
    <row r="1707" spans="1:12" x14ac:dyDescent="0.2">
      <c r="A1707" t="s">
        <v>76</v>
      </c>
      <c r="B1707" t="s">
        <v>107</v>
      </c>
      <c r="C1707" t="s">
        <v>220</v>
      </c>
      <c r="D1707" s="110">
        <v>5500499</v>
      </c>
      <c r="E1707" s="110">
        <v>5500499</v>
      </c>
      <c r="F1707" s="110">
        <v>5500499</v>
      </c>
      <c r="G1707" s="110">
        <v>5500499</v>
      </c>
      <c r="I1707" s="110">
        <v>5500499</v>
      </c>
      <c r="J1707" s="110">
        <v>5500499</v>
      </c>
      <c r="K1707" s="110">
        <v>5500499</v>
      </c>
      <c r="L1707" s="110">
        <v>5500499</v>
      </c>
    </row>
    <row r="1708" spans="1:12" x14ac:dyDescent="0.2">
      <c r="A1708" t="s">
        <v>76</v>
      </c>
      <c r="B1708" t="s">
        <v>107</v>
      </c>
      <c r="C1708" t="s">
        <v>221</v>
      </c>
      <c r="D1708" s="110">
        <v>5836057</v>
      </c>
      <c r="E1708" s="110">
        <v>5836057</v>
      </c>
      <c r="F1708" s="110">
        <v>5836057</v>
      </c>
      <c r="I1708" s="110">
        <v>5836057</v>
      </c>
      <c r="J1708" s="110">
        <v>5836057</v>
      </c>
      <c r="K1708" s="110">
        <v>5836057</v>
      </c>
    </row>
    <row r="1709" spans="1:12" x14ac:dyDescent="0.2">
      <c r="A1709" t="s">
        <v>76</v>
      </c>
      <c r="B1709" t="s">
        <v>107</v>
      </c>
      <c r="C1709" t="s">
        <v>222</v>
      </c>
      <c r="D1709" s="110">
        <v>6452763</v>
      </c>
      <c r="E1709" s="110">
        <v>6452763</v>
      </c>
      <c r="I1709" s="110">
        <v>6452763</v>
      </c>
      <c r="J1709" s="110">
        <v>6452763</v>
      </c>
    </row>
    <row r="1710" spans="1:12" x14ac:dyDescent="0.2">
      <c r="A1710" t="s">
        <v>76</v>
      </c>
      <c r="B1710" t="s">
        <v>107</v>
      </c>
      <c r="C1710" t="s">
        <v>223</v>
      </c>
      <c r="D1710" s="110">
        <v>6083500</v>
      </c>
      <c r="I1710" s="110">
        <v>6083500</v>
      </c>
    </row>
    <row r="1711" spans="1:12" x14ac:dyDescent="0.2">
      <c r="A1711" t="s">
        <v>76</v>
      </c>
      <c r="B1711" t="s">
        <v>108</v>
      </c>
      <c r="C1711" t="s">
        <v>220</v>
      </c>
      <c r="D1711" s="110">
        <v>498688</v>
      </c>
      <c r="E1711" s="110">
        <v>498688</v>
      </c>
      <c r="F1711" s="110">
        <v>498688</v>
      </c>
      <c r="G1711" s="110">
        <v>498688</v>
      </c>
      <c r="I1711" s="110">
        <v>498688</v>
      </c>
      <c r="J1711" s="110">
        <v>498688</v>
      </c>
      <c r="K1711" s="110">
        <v>498688</v>
      </c>
      <c r="L1711" s="110">
        <v>498688</v>
      </c>
    </row>
    <row r="1712" spans="1:12" x14ac:dyDescent="0.2">
      <c r="A1712" t="s">
        <v>76</v>
      </c>
      <c r="B1712" t="s">
        <v>108</v>
      </c>
      <c r="C1712" t="s">
        <v>221</v>
      </c>
      <c r="D1712" s="110">
        <v>532186</v>
      </c>
      <c r="E1712" s="110">
        <v>532186</v>
      </c>
      <c r="F1712" s="110">
        <v>532186</v>
      </c>
      <c r="I1712" s="110">
        <v>532186</v>
      </c>
      <c r="J1712" s="110">
        <v>532186</v>
      </c>
      <c r="K1712" s="110">
        <v>532186</v>
      </c>
    </row>
    <row r="1713" spans="1:12" x14ac:dyDescent="0.2">
      <c r="A1713" t="s">
        <v>76</v>
      </c>
      <c r="B1713" t="s">
        <v>108</v>
      </c>
      <c r="C1713" t="s">
        <v>222</v>
      </c>
      <c r="D1713" s="110">
        <v>573579</v>
      </c>
      <c r="E1713" s="110">
        <v>573579</v>
      </c>
      <c r="I1713" s="110">
        <v>573579</v>
      </c>
      <c r="J1713" s="110">
        <v>573579</v>
      </c>
    </row>
    <row r="1714" spans="1:12" x14ac:dyDescent="0.2">
      <c r="A1714" t="s">
        <v>76</v>
      </c>
      <c r="B1714" t="s">
        <v>108</v>
      </c>
      <c r="C1714" t="s">
        <v>223</v>
      </c>
      <c r="D1714" s="110">
        <v>533853</v>
      </c>
      <c r="I1714" s="110">
        <v>533853</v>
      </c>
    </row>
    <row r="1715" spans="1:12" x14ac:dyDescent="0.2">
      <c r="A1715" t="s">
        <v>76</v>
      </c>
      <c r="B1715" t="s">
        <v>70</v>
      </c>
      <c r="C1715" t="s">
        <v>220</v>
      </c>
      <c r="D1715" s="110">
        <v>1280796</v>
      </c>
      <c r="E1715" s="110">
        <v>1280796</v>
      </c>
      <c r="F1715" s="110">
        <v>1280796</v>
      </c>
      <c r="G1715" s="110">
        <v>1280796</v>
      </c>
      <c r="I1715" s="110">
        <v>1280796</v>
      </c>
      <c r="J1715" s="110">
        <v>1280796</v>
      </c>
      <c r="K1715" s="110">
        <v>1280976</v>
      </c>
      <c r="L1715" s="110">
        <v>1280976</v>
      </c>
    </row>
    <row r="1716" spans="1:12" x14ac:dyDescent="0.2">
      <c r="A1716" t="s">
        <v>76</v>
      </c>
      <c r="B1716" t="s">
        <v>70</v>
      </c>
      <c r="C1716" t="s">
        <v>221</v>
      </c>
      <c r="D1716" s="110">
        <v>1343616</v>
      </c>
      <c r="E1716" s="110">
        <v>1343616</v>
      </c>
      <c r="F1716" s="110">
        <v>1343616</v>
      </c>
      <c r="I1716" s="110">
        <v>1343616</v>
      </c>
      <c r="J1716" s="110">
        <v>1343616</v>
      </c>
      <c r="K1716" s="110">
        <v>1343616</v>
      </c>
    </row>
    <row r="1717" spans="1:12" x14ac:dyDescent="0.2">
      <c r="A1717" t="s">
        <v>76</v>
      </c>
      <c r="B1717" t="s">
        <v>70</v>
      </c>
      <c r="C1717" t="s">
        <v>222</v>
      </c>
      <c r="D1717" s="110">
        <v>1439888</v>
      </c>
      <c r="E1717" s="110">
        <v>1439888</v>
      </c>
      <c r="I1717" s="110">
        <v>1439888</v>
      </c>
      <c r="J1717" s="110">
        <v>1439888</v>
      </c>
    </row>
    <row r="1718" spans="1:12" x14ac:dyDescent="0.2">
      <c r="A1718" t="s">
        <v>76</v>
      </c>
      <c r="B1718" t="s">
        <v>70</v>
      </c>
      <c r="C1718" t="s">
        <v>223</v>
      </c>
      <c r="D1718" s="110">
        <v>1295968</v>
      </c>
      <c r="I1718" s="110">
        <v>1295968</v>
      </c>
    </row>
    <row r="1719" spans="1:12" x14ac:dyDescent="0.2">
      <c r="A1719" t="s">
        <v>76</v>
      </c>
      <c r="B1719" t="s">
        <v>110</v>
      </c>
      <c r="C1719" t="s">
        <v>220</v>
      </c>
      <c r="D1719" s="110">
        <v>14932958.5</v>
      </c>
      <c r="E1719" s="110">
        <v>14932958.5</v>
      </c>
      <c r="F1719" s="110">
        <v>14932958.5</v>
      </c>
      <c r="G1719" s="110">
        <v>14932958.5</v>
      </c>
      <c r="I1719" s="110">
        <v>4133050.09</v>
      </c>
      <c r="J1719" s="110">
        <v>7286928.8799999999</v>
      </c>
      <c r="K1719" s="110">
        <v>10469991.119999999</v>
      </c>
      <c r="L1719" s="110">
        <v>11410259.960000001</v>
      </c>
    </row>
    <row r="1720" spans="1:12" x14ac:dyDescent="0.2">
      <c r="A1720" t="s">
        <v>76</v>
      </c>
      <c r="B1720" t="s">
        <v>110</v>
      </c>
      <c r="C1720" t="s">
        <v>221</v>
      </c>
      <c r="D1720" s="110">
        <v>19163426.850000001</v>
      </c>
      <c r="E1720" s="110">
        <v>19163426.850000001</v>
      </c>
      <c r="F1720" s="110">
        <v>19163426.850000001</v>
      </c>
      <c r="I1720" s="110">
        <v>5230767.42</v>
      </c>
      <c r="J1720" s="110">
        <v>8892130.3200000003</v>
      </c>
      <c r="K1720" s="110">
        <v>11933539.449999999</v>
      </c>
    </row>
    <row r="1721" spans="1:12" x14ac:dyDescent="0.2">
      <c r="A1721" t="s">
        <v>76</v>
      </c>
      <c r="B1721" t="s">
        <v>110</v>
      </c>
      <c r="C1721" t="s">
        <v>222</v>
      </c>
      <c r="D1721" s="110">
        <v>16477710.16</v>
      </c>
      <c r="E1721" s="110">
        <v>16477710.16</v>
      </c>
      <c r="I1721" s="110">
        <v>5133628.6500000004</v>
      </c>
      <c r="J1721" s="110">
        <v>8202632.9000000004</v>
      </c>
    </row>
    <row r="1722" spans="1:12" x14ac:dyDescent="0.2">
      <c r="A1722" t="s">
        <v>76</v>
      </c>
      <c r="B1722" t="s">
        <v>110</v>
      </c>
      <c r="C1722" t="s">
        <v>223</v>
      </c>
      <c r="D1722" s="110">
        <v>21318658.059999999</v>
      </c>
      <c r="I1722" s="110">
        <v>4449705.62</v>
      </c>
    </row>
    <row r="1723" spans="1:12" x14ac:dyDescent="0.2">
      <c r="A1723" t="s">
        <v>44</v>
      </c>
      <c r="B1723" t="s">
        <v>104</v>
      </c>
      <c r="C1723" t="s">
        <v>220</v>
      </c>
      <c r="D1723" s="110">
        <v>355438</v>
      </c>
      <c r="E1723" s="110">
        <v>354788</v>
      </c>
      <c r="F1723" s="110">
        <v>354538</v>
      </c>
      <c r="G1723" s="110">
        <v>354488</v>
      </c>
      <c r="I1723" s="110">
        <v>25506</v>
      </c>
      <c r="J1723" s="110">
        <v>44743</v>
      </c>
      <c r="K1723" s="110">
        <v>59010</v>
      </c>
      <c r="L1723" s="110">
        <v>72745</v>
      </c>
    </row>
    <row r="1724" spans="1:12" x14ac:dyDescent="0.2">
      <c r="A1724" t="s">
        <v>44</v>
      </c>
      <c r="B1724" t="s">
        <v>104</v>
      </c>
      <c r="C1724" t="s">
        <v>221</v>
      </c>
      <c r="D1724" s="110">
        <v>386368</v>
      </c>
      <c r="E1724" s="110">
        <v>385918</v>
      </c>
      <c r="F1724" s="110">
        <v>384326</v>
      </c>
      <c r="I1724" s="110">
        <v>66225</v>
      </c>
      <c r="J1724" s="110">
        <v>91822</v>
      </c>
      <c r="K1724" s="110">
        <v>107856</v>
      </c>
    </row>
    <row r="1725" spans="1:12" x14ac:dyDescent="0.2">
      <c r="A1725" t="s">
        <v>44</v>
      </c>
      <c r="B1725" t="s">
        <v>104</v>
      </c>
      <c r="C1725" t="s">
        <v>222</v>
      </c>
      <c r="D1725" s="110">
        <v>400298</v>
      </c>
      <c r="E1725" s="110">
        <v>399698</v>
      </c>
      <c r="I1725" s="110">
        <v>47305</v>
      </c>
      <c r="J1725" s="110">
        <v>62570</v>
      </c>
    </row>
    <row r="1726" spans="1:12" x14ac:dyDescent="0.2">
      <c r="A1726" t="s">
        <v>44</v>
      </c>
      <c r="B1726" t="s">
        <v>104</v>
      </c>
      <c r="C1726" t="s">
        <v>223</v>
      </c>
      <c r="D1726" s="110">
        <v>256650</v>
      </c>
      <c r="I1726" s="110">
        <v>35223</v>
      </c>
    </row>
    <row r="1727" spans="1:12" x14ac:dyDescent="0.2">
      <c r="A1727" t="s">
        <v>44</v>
      </c>
      <c r="B1727" t="s">
        <v>140</v>
      </c>
      <c r="C1727" t="s">
        <v>220</v>
      </c>
      <c r="D1727" s="110">
        <v>29165.31</v>
      </c>
      <c r="I1727" s="110">
        <v>2099.96</v>
      </c>
    </row>
    <row r="1728" spans="1:12" x14ac:dyDescent="0.2">
      <c r="A1728" t="s">
        <v>44</v>
      </c>
      <c r="B1728" t="s">
        <v>140</v>
      </c>
      <c r="C1728" t="s">
        <v>221</v>
      </c>
    </row>
    <row r="1729" spans="1:12" x14ac:dyDescent="0.2">
      <c r="A1729" t="s">
        <v>44</v>
      </c>
      <c r="B1729" t="s">
        <v>140</v>
      </c>
      <c r="C1729" t="s">
        <v>222</v>
      </c>
    </row>
    <row r="1730" spans="1:12" x14ac:dyDescent="0.2">
      <c r="A1730" t="s">
        <v>44</v>
      </c>
      <c r="B1730" t="s">
        <v>140</v>
      </c>
      <c r="C1730" t="s">
        <v>223</v>
      </c>
    </row>
    <row r="1731" spans="1:12" x14ac:dyDescent="0.2">
      <c r="A1731" t="s">
        <v>44</v>
      </c>
      <c r="B1731" t="s">
        <v>105</v>
      </c>
      <c r="C1731" t="s">
        <v>220</v>
      </c>
      <c r="D1731" s="110">
        <v>423511</v>
      </c>
      <c r="E1731" s="110">
        <v>420609</v>
      </c>
      <c r="F1731" s="110">
        <v>419316</v>
      </c>
      <c r="G1731" s="110">
        <v>418574</v>
      </c>
      <c r="I1731" s="110">
        <v>123628</v>
      </c>
      <c r="J1731" s="110">
        <v>202811</v>
      </c>
      <c r="K1731" s="110">
        <v>228562</v>
      </c>
      <c r="L1731" s="110">
        <v>240090</v>
      </c>
    </row>
    <row r="1732" spans="1:12" x14ac:dyDescent="0.2">
      <c r="A1732" t="s">
        <v>44</v>
      </c>
      <c r="B1732" t="s">
        <v>105</v>
      </c>
      <c r="C1732" t="s">
        <v>221</v>
      </c>
      <c r="D1732" s="110">
        <v>453603</v>
      </c>
      <c r="E1732" s="110">
        <v>447939</v>
      </c>
      <c r="F1732" s="110">
        <v>444466</v>
      </c>
      <c r="I1732" s="110">
        <v>146186</v>
      </c>
      <c r="J1732" s="110">
        <v>202734</v>
      </c>
      <c r="K1732" s="110">
        <v>228881</v>
      </c>
    </row>
    <row r="1733" spans="1:12" x14ac:dyDescent="0.2">
      <c r="A1733" t="s">
        <v>44</v>
      </c>
      <c r="B1733" t="s">
        <v>105</v>
      </c>
      <c r="C1733" t="s">
        <v>222</v>
      </c>
      <c r="D1733" s="110">
        <v>416960</v>
      </c>
      <c r="E1733" s="110">
        <v>412708</v>
      </c>
      <c r="I1733" s="110">
        <v>114020</v>
      </c>
      <c r="J1733" s="110">
        <v>158485</v>
      </c>
    </row>
    <row r="1734" spans="1:12" x14ac:dyDescent="0.2">
      <c r="A1734" t="s">
        <v>44</v>
      </c>
      <c r="B1734" t="s">
        <v>105</v>
      </c>
      <c r="C1734" t="s">
        <v>223</v>
      </c>
      <c r="D1734" s="110">
        <v>481180</v>
      </c>
      <c r="I1734" s="110">
        <v>128333</v>
      </c>
    </row>
    <row r="1735" spans="1:12" x14ac:dyDescent="0.2">
      <c r="A1735" t="s">
        <v>44</v>
      </c>
      <c r="B1735" t="s">
        <v>111</v>
      </c>
      <c r="C1735" t="s">
        <v>220</v>
      </c>
      <c r="D1735" s="110">
        <v>256</v>
      </c>
      <c r="E1735" s="110">
        <v>256</v>
      </c>
      <c r="F1735" s="110">
        <v>256</v>
      </c>
      <c r="G1735" s="110">
        <v>256</v>
      </c>
      <c r="I1735" s="110">
        <v>56</v>
      </c>
      <c r="J1735" s="110">
        <v>56</v>
      </c>
      <c r="K1735" s="110">
        <v>56</v>
      </c>
      <c r="L1735" s="110">
        <v>56</v>
      </c>
    </row>
    <row r="1736" spans="1:12" x14ac:dyDescent="0.2">
      <c r="A1736" t="s">
        <v>44</v>
      </c>
      <c r="B1736" t="s">
        <v>111</v>
      </c>
      <c r="C1736" t="s">
        <v>221</v>
      </c>
      <c r="D1736" s="110">
        <v>13</v>
      </c>
      <c r="E1736" s="110">
        <v>13</v>
      </c>
      <c r="F1736" s="110">
        <v>13</v>
      </c>
      <c r="I1736" s="110">
        <v>13</v>
      </c>
      <c r="J1736" s="110">
        <v>13</v>
      </c>
      <c r="K1736" s="110">
        <v>13</v>
      </c>
    </row>
    <row r="1737" spans="1:12" x14ac:dyDescent="0.2">
      <c r="A1737" t="s">
        <v>44</v>
      </c>
      <c r="B1737" t="s">
        <v>111</v>
      </c>
      <c r="C1737" t="s">
        <v>222</v>
      </c>
      <c r="D1737" s="110">
        <v>112</v>
      </c>
      <c r="E1737" s="110">
        <v>112</v>
      </c>
      <c r="I1737" s="110">
        <v>12</v>
      </c>
      <c r="J1737" s="110">
        <v>12</v>
      </c>
    </row>
    <row r="1738" spans="1:12" x14ac:dyDescent="0.2">
      <c r="A1738" t="s">
        <v>44</v>
      </c>
      <c r="B1738" t="s">
        <v>111</v>
      </c>
      <c r="C1738" t="s">
        <v>223</v>
      </c>
      <c r="D1738" s="110">
        <v>131</v>
      </c>
      <c r="I1738" s="110">
        <v>31</v>
      </c>
    </row>
    <row r="1739" spans="1:12" x14ac:dyDescent="0.2">
      <c r="A1739" t="s">
        <v>44</v>
      </c>
      <c r="B1739" t="s">
        <v>109</v>
      </c>
      <c r="C1739" t="s">
        <v>220</v>
      </c>
      <c r="D1739" s="110">
        <v>107890</v>
      </c>
      <c r="E1739" s="110">
        <v>107761</v>
      </c>
      <c r="F1739" s="110">
        <v>107227</v>
      </c>
      <c r="G1739" s="110">
        <v>106794</v>
      </c>
      <c r="I1739" s="110">
        <v>30620</v>
      </c>
      <c r="J1739" s="110">
        <v>52105</v>
      </c>
      <c r="K1739" s="110">
        <v>62121</v>
      </c>
      <c r="L1739" s="110">
        <v>67359</v>
      </c>
    </row>
    <row r="1740" spans="1:12" x14ac:dyDescent="0.2">
      <c r="A1740" t="s">
        <v>44</v>
      </c>
      <c r="B1740" t="s">
        <v>109</v>
      </c>
      <c r="C1740" t="s">
        <v>221</v>
      </c>
      <c r="D1740" s="110">
        <v>97993</v>
      </c>
      <c r="E1740" s="110">
        <v>97943</v>
      </c>
      <c r="F1740" s="110">
        <v>97428</v>
      </c>
      <c r="I1740" s="110">
        <v>43471</v>
      </c>
      <c r="J1740" s="110">
        <v>54309</v>
      </c>
      <c r="K1740" s="110">
        <v>62349</v>
      </c>
    </row>
    <row r="1741" spans="1:12" x14ac:dyDescent="0.2">
      <c r="A1741" t="s">
        <v>44</v>
      </c>
      <c r="B1741" t="s">
        <v>109</v>
      </c>
      <c r="C1741" t="s">
        <v>222</v>
      </c>
      <c r="D1741" s="110">
        <v>118063</v>
      </c>
      <c r="E1741" s="110">
        <v>117504</v>
      </c>
      <c r="I1741" s="110">
        <v>34794</v>
      </c>
      <c r="J1741" s="110">
        <v>54014</v>
      </c>
    </row>
    <row r="1742" spans="1:12" x14ac:dyDescent="0.2">
      <c r="A1742" t="s">
        <v>44</v>
      </c>
      <c r="B1742" t="s">
        <v>109</v>
      </c>
      <c r="C1742" t="s">
        <v>223</v>
      </c>
      <c r="D1742" s="110">
        <v>100787</v>
      </c>
      <c r="I1742" s="110">
        <v>28236</v>
      </c>
    </row>
    <row r="1743" spans="1:12" x14ac:dyDescent="0.2">
      <c r="A1743" t="s">
        <v>44</v>
      </c>
      <c r="B1743" t="s">
        <v>106</v>
      </c>
      <c r="C1743" t="s">
        <v>220</v>
      </c>
      <c r="D1743" s="110">
        <v>282048</v>
      </c>
      <c r="E1743" s="110">
        <v>278453</v>
      </c>
      <c r="F1743" s="110">
        <v>278453</v>
      </c>
      <c r="G1743" s="110">
        <v>278453</v>
      </c>
      <c r="I1743" s="110">
        <v>267747</v>
      </c>
      <c r="J1743" s="110">
        <v>268737</v>
      </c>
      <c r="K1743" s="110">
        <v>269350</v>
      </c>
      <c r="L1743" s="110">
        <v>269350</v>
      </c>
    </row>
    <row r="1744" spans="1:12" x14ac:dyDescent="0.2">
      <c r="A1744" t="s">
        <v>44</v>
      </c>
      <c r="B1744" t="s">
        <v>106</v>
      </c>
      <c r="C1744" t="s">
        <v>221</v>
      </c>
      <c r="D1744" s="110">
        <v>300632</v>
      </c>
      <c r="E1744" s="110">
        <v>298262</v>
      </c>
      <c r="F1744" s="110">
        <v>298262</v>
      </c>
      <c r="I1744" s="110">
        <v>292243</v>
      </c>
      <c r="J1744" s="110">
        <v>291561</v>
      </c>
      <c r="K1744" s="110">
        <v>291571</v>
      </c>
    </row>
    <row r="1745" spans="1:12" x14ac:dyDescent="0.2">
      <c r="A1745" t="s">
        <v>44</v>
      </c>
      <c r="B1745" t="s">
        <v>106</v>
      </c>
      <c r="C1745" t="s">
        <v>222</v>
      </c>
      <c r="D1745" s="110">
        <v>270313</v>
      </c>
      <c r="E1745" s="110">
        <v>270313</v>
      </c>
      <c r="I1745" s="110">
        <v>254948</v>
      </c>
      <c r="J1745" s="110">
        <v>257850</v>
      </c>
    </row>
    <row r="1746" spans="1:12" x14ac:dyDescent="0.2">
      <c r="A1746" t="s">
        <v>44</v>
      </c>
      <c r="B1746" t="s">
        <v>106</v>
      </c>
      <c r="C1746" t="s">
        <v>223</v>
      </c>
      <c r="D1746" s="110">
        <v>202924</v>
      </c>
      <c r="I1746" s="110">
        <v>198213</v>
      </c>
    </row>
    <row r="1747" spans="1:12" x14ac:dyDescent="0.2">
      <c r="A1747" t="s">
        <v>44</v>
      </c>
      <c r="B1747" t="s">
        <v>107</v>
      </c>
      <c r="C1747" t="s">
        <v>220</v>
      </c>
      <c r="D1747" s="110">
        <v>87500</v>
      </c>
      <c r="E1747" s="110">
        <v>87325</v>
      </c>
      <c r="F1747" s="110">
        <v>87325</v>
      </c>
      <c r="G1747" s="110">
        <v>87325</v>
      </c>
      <c r="I1747" s="110">
        <v>86334</v>
      </c>
      <c r="J1747" s="110">
        <v>86529</v>
      </c>
      <c r="K1747" s="110">
        <v>86529</v>
      </c>
      <c r="L1747" s="110">
        <v>86529</v>
      </c>
    </row>
    <row r="1748" spans="1:12" x14ac:dyDescent="0.2">
      <c r="A1748" t="s">
        <v>44</v>
      </c>
      <c r="B1748" t="s">
        <v>107</v>
      </c>
      <c r="C1748" t="s">
        <v>221</v>
      </c>
      <c r="D1748" s="110">
        <v>86648</v>
      </c>
      <c r="E1748" s="110">
        <v>86648</v>
      </c>
      <c r="F1748" s="110">
        <v>86648</v>
      </c>
      <c r="I1748" s="110">
        <v>85356</v>
      </c>
      <c r="J1748" s="110">
        <v>85441</v>
      </c>
      <c r="K1748" s="110">
        <v>85441</v>
      </c>
    </row>
    <row r="1749" spans="1:12" x14ac:dyDescent="0.2">
      <c r="A1749" t="s">
        <v>44</v>
      </c>
      <c r="B1749" t="s">
        <v>107</v>
      </c>
      <c r="C1749" t="s">
        <v>222</v>
      </c>
      <c r="D1749" s="110">
        <v>85242</v>
      </c>
      <c r="E1749" s="110">
        <v>85242</v>
      </c>
      <c r="I1749" s="110">
        <v>84572</v>
      </c>
      <c r="J1749" s="110">
        <v>84867</v>
      </c>
    </row>
    <row r="1750" spans="1:12" x14ac:dyDescent="0.2">
      <c r="A1750" t="s">
        <v>44</v>
      </c>
      <c r="B1750" t="s">
        <v>107</v>
      </c>
      <c r="C1750" t="s">
        <v>223</v>
      </c>
      <c r="D1750" s="110">
        <v>79170</v>
      </c>
      <c r="I1750" s="110">
        <v>77787</v>
      </c>
    </row>
    <row r="1751" spans="1:12" x14ac:dyDescent="0.2">
      <c r="A1751" t="s">
        <v>44</v>
      </c>
      <c r="B1751" t="s">
        <v>108</v>
      </c>
      <c r="C1751" t="s">
        <v>220</v>
      </c>
      <c r="D1751" s="110">
        <v>37570</v>
      </c>
      <c r="E1751" s="110">
        <v>37570</v>
      </c>
      <c r="F1751" s="110">
        <v>37570</v>
      </c>
      <c r="G1751" s="110">
        <v>37570</v>
      </c>
      <c r="I1751" s="110">
        <v>35341</v>
      </c>
      <c r="J1751" s="110">
        <v>35529</v>
      </c>
      <c r="K1751" s="110">
        <v>35529</v>
      </c>
      <c r="L1751" s="110">
        <v>35529</v>
      </c>
    </row>
    <row r="1752" spans="1:12" x14ac:dyDescent="0.2">
      <c r="A1752" t="s">
        <v>44</v>
      </c>
      <c r="B1752" t="s">
        <v>108</v>
      </c>
      <c r="C1752" t="s">
        <v>221</v>
      </c>
      <c r="D1752" s="110">
        <v>35138</v>
      </c>
      <c r="E1752" s="110">
        <v>35138</v>
      </c>
      <c r="F1752" s="110">
        <v>35138</v>
      </c>
      <c r="I1752" s="110">
        <v>31575</v>
      </c>
      <c r="J1752" s="110">
        <v>31741</v>
      </c>
      <c r="K1752" s="110">
        <v>31742</v>
      </c>
    </row>
    <row r="1753" spans="1:12" x14ac:dyDescent="0.2">
      <c r="A1753" t="s">
        <v>44</v>
      </c>
      <c r="B1753" t="s">
        <v>108</v>
      </c>
      <c r="C1753" t="s">
        <v>222</v>
      </c>
      <c r="D1753" s="110">
        <v>37986</v>
      </c>
      <c r="E1753" s="110">
        <v>37853</v>
      </c>
      <c r="I1753" s="110">
        <v>36892</v>
      </c>
      <c r="J1753" s="110">
        <v>36957</v>
      </c>
    </row>
    <row r="1754" spans="1:12" x14ac:dyDescent="0.2">
      <c r="A1754" t="s">
        <v>44</v>
      </c>
      <c r="B1754" t="s">
        <v>108</v>
      </c>
      <c r="C1754" t="s">
        <v>223</v>
      </c>
      <c r="D1754" s="110">
        <v>34101</v>
      </c>
      <c r="I1754" s="110">
        <v>33621</v>
      </c>
    </row>
    <row r="1755" spans="1:12" x14ac:dyDescent="0.2">
      <c r="A1755" t="s">
        <v>44</v>
      </c>
      <c r="B1755" t="s">
        <v>70</v>
      </c>
      <c r="C1755" t="s">
        <v>220</v>
      </c>
      <c r="D1755" s="110">
        <v>64092</v>
      </c>
      <c r="E1755" s="110">
        <v>63297</v>
      </c>
      <c r="F1755" s="110">
        <v>63297</v>
      </c>
      <c r="G1755" s="110">
        <v>63297</v>
      </c>
      <c r="I1755" s="110">
        <v>59808</v>
      </c>
      <c r="J1755" s="110">
        <v>60458</v>
      </c>
      <c r="K1755" s="110">
        <v>60458</v>
      </c>
      <c r="L1755" s="110">
        <v>60458</v>
      </c>
    </row>
    <row r="1756" spans="1:12" x14ac:dyDescent="0.2">
      <c r="A1756" t="s">
        <v>44</v>
      </c>
      <c r="B1756" t="s">
        <v>70</v>
      </c>
      <c r="C1756" t="s">
        <v>221</v>
      </c>
      <c r="D1756" s="110">
        <v>65035</v>
      </c>
      <c r="E1756" s="110">
        <v>62905</v>
      </c>
      <c r="F1756" s="110">
        <v>62905</v>
      </c>
      <c r="I1756" s="110">
        <v>59361</v>
      </c>
      <c r="J1756" s="110">
        <v>60068</v>
      </c>
      <c r="K1756" s="110">
        <v>60068</v>
      </c>
    </row>
    <row r="1757" spans="1:12" x14ac:dyDescent="0.2">
      <c r="A1757" t="s">
        <v>44</v>
      </c>
      <c r="B1757" t="s">
        <v>70</v>
      </c>
      <c r="C1757" t="s">
        <v>222</v>
      </c>
      <c r="D1757" s="110">
        <v>61966</v>
      </c>
      <c r="E1757" s="110">
        <v>61558</v>
      </c>
      <c r="I1757" s="110">
        <v>58431</v>
      </c>
      <c r="J1757" s="110">
        <v>59272</v>
      </c>
    </row>
    <row r="1758" spans="1:12" x14ac:dyDescent="0.2">
      <c r="A1758" t="s">
        <v>44</v>
      </c>
      <c r="B1758" t="s">
        <v>70</v>
      </c>
      <c r="C1758" t="s">
        <v>223</v>
      </c>
      <c r="D1758" s="110">
        <v>60416</v>
      </c>
      <c r="I1758" s="110">
        <v>55871</v>
      </c>
    </row>
    <row r="1759" spans="1:12" x14ac:dyDescent="0.2">
      <c r="A1759" t="s">
        <v>44</v>
      </c>
      <c r="B1759" t="s">
        <v>110</v>
      </c>
      <c r="C1759" t="s">
        <v>220</v>
      </c>
      <c r="D1759" s="110">
        <v>1072138</v>
      </c>
      <c r="E1759" s="110">
        <v>868768</v>
      </c>
      <c r="F1759" s="110">
        <v>830334</v>
      </c>
      <c r="G1759" s="110">
        <v>828273</v>
      </c>
      <c r="I1759" s="110">
        <v>436639</v>
      </c>
      <c r="J1759" s="110">
        <v>696838</v>
      </c>
      <c r="K1759" s="110">
        <v>733290</v>
      </c>
      <c r="L1759" s="110">
        <v>747522</v>
      </c>
    </row>
    <row r="1760" spans="1:12" x14ac:dyDescent="0.2">
      <c r="A1760" t="s">
        <v>44</v>
      </c>
      <c r="B1760" t="s">
        <v>110</v>
      </c>
      <c r="C1760" t="s">
        <v>221</v>
      </c>
      <c r="D1760" s="110">
        <v>1193083</v>
      </c>
      <c r="E1760" s="110">
        <v>997454</v>
      </c>
      <c r="F1760" s="110">
        <v>947966</v>
      </c>
      <c r="I1760" s="110">
        <v>557417</v>
      </c>
      <c r="J1760" s="110">
        <v>821563</v>
      </c>
      <c r="K1760" s="110">
        <v>847572</v>
      </c>
    </row>
    <row r="1761" spans="1:12" x14ac:dyDescent="0.2">
      <c r="A1761" t="s">
        <v>44</v>
      </c>
      <c r="B1761" t="s">
        <v>110</v>
      </c>
      <c r="C1761" t="s">
        <v>222</v>
      </c>
      <c r="D1761" s="110">
        <v>1266411</v>
      </c>
      <c r="E1761" s="110">
        <v>1029937</v>
      </c>
      <c r="I1761" s="110">
        <v>558259</v>
      </c>
      <c r="J1761" s="110">
        <v>794095</v>
      </c>
    </row>
    <row r="1762" spans="1:12" x14ac:dyDescent="0.2">
      <c r="A1762" t="s">
        <v>44</v>
      </c>
      <c r="B1762" t="s">
        <v>110</v>
      </c>
      <c r="C1762" t="s">
        <v>223</v>
      </c>
      <c r="D1762" s="110">
        <v>1187898</v>
      </c>
      <c r="I1762" s="110">
        <v>505274</v>
      </c>
    </row>
    <row r="1763" spans="1:12" x14ac:dyDescent="0.2">
      <c r="A1763" t="s">
        <v>45</v>
      </c>
      <c r="B1763" t="s">
        <v>104</v>
      </c>
      <c r="C1763" t="s">
        <v>220</v>
      </c>
      <c r="D1763" s="110">
        <v>99617.5</v>
      </c>
      <c r="E1763" s="110">
        <v>100556</v>
      </c>
      <c r="F1763" s="110">
        <v>101124</v>
      </c>
      <c r="G1763" s="110">
        <v>102124</v>
      </c>
      <c r="I1763" s="110">
        <v>2389.36</v>
      </c>
      <c r="J1763" s="110">
        <v>6493.22</v>
      </c>
      <c r="K1763" s="110">
        <v>11606.98</v>
      </c>
      <c r="L1763" s="110">
        <v>14723.49</v>
      </c>
    </row>
    <row r="1764" spans="1:12" x14ac:dyDescent="0.2">
      <c r="A1764" t="s">
        <v>45</v>
      </c>
      <c r="B1764" t="s">
        <v>104</v>
      </c>
      <c r="C1764" t="s">
        <v>221</v>
      </c>
      <c r="D1764" s="110">
        <v>60711</v>
      </c>
      <c r="E1764" s="110">
        <v>66611</v>
      </c>
      <c r="F1764" s="110">
        <v>66611</v>
      </c>
      <c r="I1764" s="110">
        <v>1728.49</v>
      </c>
      <c r="J1764" s="110">
        <v>5101.7700000000004</v>
      </c>
      <c r="K1764" s="110">
        <v>6753.82</v>
      </c>
    </row>
    <row r="1765" spans="1:12" x14ac:dyDescent="0.2">
      <c r="A1765" t="s">
        <v>45</v>
      </c>
      <c r="B1765" t="s">
        <v>104</v>
      </c>
      <c r="C1765" t="s">
        <v>222</v>
      </c>
      <c r="D1765" s="110">
        <v>120599</v>
      </c>
      <c r="E1765" s="110">
        <v>120276</v>
      </c>
      <c r="I1765" s="110">
        <v>4165</v>
      </c>
      <c r="J1765" s="110">
        <v>10855.42</v>
      </c>
    </row>
    <row r="1766" spans="1:12" x14ac:dyDescent="0.2">
      <c r="A1766" t="s">
        <v>45</v>
      </c>
      <c r="B1766" t="s">
        <v>104</v>
      </c>
      <c r="C1766" t="s">
        <v>223</v>
      </c>
      <c r="D1766" s="110">
        <v>241711.39</v>
      </c>
      <c r="I1766" s="110">
        <v>6026.05</v>
      </c>
    </row>
    <row r="1767" spans="1:12" x14ac:dyDescent="0.2">
      <c r="A1767" t="s">
        <v>45</v>
      </c>
      <c r="B1767" t="s">
        <v>140</v>
      </c>
      <c r="C1767" t="s">
        <v>220</v>
      </c>
      <c r="D1767" s="110">
        <v>0</v>
      </c>
      <c r="E1767" s="110">
        <v>0</v>
      </c>
      <c r="F1767" s="110">
        <v>0</v>
      </c>
      <c r="G1767" s="110">
        <v>0</v>
      </c>
      <c r="I1767" s="110">
        <v>0</v>
      </c>
      <c r="J1767" s="110">
        <v>0</v>
      </c>
      <c r="K1767" s="110">
        <v>0</v>
      </c>
    </row>
    <row r="1768" spans="1:12" x14ac:dyDescent="0.2">
      <c r="A1768" t="s">
        <v>45</v>
      </c>
      <c r="B1768" t="s">
        <v>140</v>
      </c>
      <c r="C1768" t="s">
        <v>221</v>
      </c>
      <c r="D1768" s="110">
        <v>0</v>
      </c>
      <c r="E1768" s="110">
        <v>0</v>
      </c>
      <c r="F1768" s="110">
        <v>0</v>
      </c>
      <c r="I1768" s="110">
        <v>0</v>
      </c>
      <c r="J1768" s="110">
        <v>0</v>
      </c>
    </row>
    <row r="1769" spans="1:12" x14ac:dyDescent="0.2">
      <c r="A1769" t="s">
        <v>45</v>
      </c>
      <c r="B1769" t="s">
        <v>140</v>
      </c>
      <c r="C1769" t="s">
        <v>222</v>
      </c>
      <c r="D1769" s="110">
        <v>0</v>
      </c>
      <c r="E1769" s="110">
        <v>0</v>
      </c>
      <c r="I1769" s="110">
        <v>0</v>
      </c>
    </row>
    <row r="1770" spans="1:12" x14ac:dyDescent="0.2">
      <c r="A1770" t="s">
        <v>45</v>
      </c>
      <c r="B1770" t="s">
        <v>140</v>
      </c>
      <c r="C1770" t="s">
        <v>223</v>
      </c>
      <c r="D1770" s="110">
        <v>150000</v>
      </c>
      <c r="I1770" s="110">
        <v>0</v>
      </c>
    </row>
    <row r="1771" spans="1:12" x14ac:dyDescent="0.2">
      <c r="A1771" t="s">
        <v>45</v>
      </c>
      <c r="B1771" t="s">
        <v>105</v>
      </c>
      <c r="C1771" t="s">
        <v>220</v>
      </c>
      <c r="D1771" s="110">
        <v>60435.5</v>
      </c>
      <c r="E1771" s="110">
        <v>59935.5</v>
      </c>
      <c r="F1771" s="110">
        <v>59935.5</v>
      </c>
      <c r="G1771" s="110">
        <v>59985.5</v>
      </c>
      <c r="I1771" s="110">
        <v>9104.5</v>
      </c>
      <c r="J1771" s="110">
        <v>20529.5</v>
      </c>
      <c r="K1771" s="110">
        <v>24098.5</v>
      </c>
      <c r="L1771" s="110">
        <v>27253.5</v>
      </c>
    </row>
    <row r="1772" spans="1:12" x14ac:dyDescent="0.2">
      <c r="A1772" t="s">
        <v>45</v>
      </c>
      <c r="B1772" t="s">
        <v>105</v>
      </c>
      <c r="C1772" t="s">
        <v>221</v>
      </c>
      <c r="D1772" s="110">
        <v>66044</v>
      </c>
      <c r="E1772" s="110">
        <v>67481</v>
      </c>
      <c r="F1772" s="110">
        <v>68185</v>
      </c>
      <c r="I1772" s="110">
        <v>12818.5</v>
      </c>
      <c r="J1772" s="110">
        <v>27318.19</v>
      </c>
      <c r="K1772" s="110">
        <v>33911.19</v>
      </c>
    </row>
    <row r="1773" spans="1:12" x14ac:dyDescent="0.2">
      <c r="A1773" t="s">
        <v>45</v>
      </c>
      <c r="B1773" t="s">
        <v>105</v>
      </c>
      <c r="C1773" t="s">
        <v>222</v>
      </c>
      <c r="D1773" s="110">
        <v>79029.5</v>
      </c>
      <c r="E1773" s="110">
        <v>79033</v>
      </c>
      <c r="I1773" s="110">
        <v>18588</v>
      </c>
      <c r="J1773" s="110">
        <v>31115.99</v>
      </c>
    </row>
    <row r="1774" spans="1:12" x14ac:dyDescent="0.2">
      <c r="A1774" t="s">
        <v>45</v>
      </c>
      <c r="B1774" t="s">
        <v>105</v>
      </c>
      <c r="C1774" t="s">
        <v>223</v>
      </c>
      <c r="D1774" s="110">
        <v>68506</v>
      </c>
      <c r="I1774" s="110">
        <v>20247.5</v>
      </c>
    </row>
    <row r="1775" spans="1:12" x14ac:dyDescent="0.2">
      <c r="A1775" t="s">
        <v>45</v>
      </c>
      <c r="B1775" t="s">
        <v>111</v>
      </c>
      <c r="C1775" t="s">
        <v>220</v>
      </c>
      <c r="D1775" s="110">
        <v>919</v>
      </c>
      <c r="E1775" s="110">
        <v>919</v>
      </c>
      <c r="F1775" s="110">
        <v>919</v>
      </c>
      <c r="G1775" s="110">
        <v>919</v>
      </c>
      <c r="I1775" s="110">
        <v>137</v>
      </c>
      <c r="J1775" s="110">
        <v>583</v>
      </c>
      <c r="K1775" s="110">
        <v>771</v>
      </c>
      <c r="L1775" s="110">
        <v>919</v>
      </c>
    </row>
    <row r="1776" spans="1:12" x14ac:dyDescent="0.2">
      <c r="A1776" t="s">
        <v>45</v>
      </c>
      <c r="B1776" t="s">
        <v>111</v>
      </c>
      <c r="C1776" t="s">
        <v>221</v>
      </c>
      <c r="D1776" s="110">
        <v>2015</v>
      </c>
      <c r="E1776" s="110">
        <v>2015</v>
      </c>
      <c r="F1776" s="110">
        <v>2015</v>
      </c>
      <c r="I1776" s="110">
        <v>25</v>
      </c>
      <c r="J1776" s="110">
        <v>619</v>
      </c>
      <c r="K1776" s="110">
        <v>619</v>
      </c>
    </row>
    <row r="1777" spans="1:12" x14ac:dyDescent="0.2">
      <c r="A1777" t="s">
        <v>45</v>
      </c>
      <c r="B1777" t="s">
        <v>111</v>
      </c>
      <c r="C1777" t="s">
        <v>222</v>
      </c>
      <c r="D1777" s="110">
        <v>1437</v>
      </c>
      <c r="E1777" s="110">
        <v>1437</v>
      </c>
      <c r="I1777" s="110">
        <v>11</v>
      </c>
      <c r="J1777" s="110">
        <v>387</v>
      </c>
    </row>
    <row r="1778" spans="1:12" x14ac:dyDescent="0.2">
      <c r="A1778" t="s">
        <v>45</v>
      </c>
      <c r="B1778" t="s">
        <v>111</v>
      </c>
      <c r="C1778" t="s">
        <v>223</v>
      </c>
      <c r="D1778" s="110">
        <v>2344</v>
      </c>
      <c r="I1778" s="110">
        <v>0</v>
      </c>
    </row>
    <row r="1779" spans="1:12" x14ac:dyDescent="0.2">
      <c r="A1779" t="s">
        <v>45</v>
      </c>
      <c r="B1779" t="s">
        <v>109</v>
      </c>
      <c r="C1779" t="s">
        <v>220</v>
      </c>
      <c r="D1779" s="110">
        <v>149508</v>
      </c>
      <c r="E1779" s="110">
        <v>149658</v>
      </c>
      <c r="F1779" s="110">
        <v>149683</v>
      </c>
      <c r="G1779" s="110">
        <v>149683</v>
      </c>
      <c r="I1779" s="110">
        <v>16597</v>
      </c>
      <c r="J1779" s="110">
        <v>46257</v>
      </c>
      <c r="K1779" s="110">
        <v>64906</v>
      </c>
      <c r="L1779" s="110">
        <v>75540</v>
      </c>
    </row>
    <row r="1780" spans="1:12" x14ac:dyDescent="0.2">
      <c r="A1780" t="s">
        <v>45</v>
      </c>
      <c r="B1780" t="s">
        <v>109</v>
      </c>
      <c r="C1780" t="s">
        <v>221</v>
      </c>
      <c r="D1780" s="110">
        <v>203559</v>
      </c>
      <c r="E1780" s="110">
        <v>203286</v>
      </c>
      <c r="F1780" s="110">
        <v>203366</v>
      </c>
      <c r="I1780" s="110">
        <v>40468</v>
      </c>
      <c r="J1780" s="110">
        <v>83298</v>
      </c>
      <c r="K1780" s="110">
        <v>116941</v>
      </c>
    </row>
    <row r="1781" spans="1:12" x14ac:dyDescent="0.2">
      <c r="A1781" t="s">
        <v>45</v>
      </c>
      <c r="B1781" t="s">
        <v>109</v>
      </c>
      <c r="C1781" t="s">
        <v>222</v>
      </c>
      <c r="D1781" s="110">
        <v>160035.5</v>
      </c>
      <c r="E1781" s="110">
        <v>160976.5</v>
      </c>
      <c r="I1781" s="110">
        <v>32407.5</v>
      </c>
      <c r="J1781" s="110">
        <v>68513.5</v>
      </c>
    </row>
    <row r="1782" spans="1:12" x14ac:dyDescent="0.2">
      <c r="A1782" t="s">
        <v>45</v>
      </c>
      <c r="B1782" t="s">
        <v>109</v>
      </c>
      <c r="C1782" t="s">
        <v>223</v>
      </c>
      <c r="D1782" s="110">
        <v>146026.5</v>
      </c>
      <c r="I1782" s="110">
        <v>26531.5</v>
      </c>
    </row>
    <row r="1783" spans="1:12" x14ac:dyDescent="0.2">
      <c r="A1783" t="s">
        <v>45</v>
      </c>
      <c r="B1783" t="s">
        <v>106</v>
      </c>
      <c r="C1783" t="s">
        <v>220</v>
      </c>
      <c r="D1783" s="110">
        <v>92322.59</v>
      </c>
      <c r="E1783" s="110">
        <v>92322.59</v>
      </c>
      <c r="F1783" s="110">
        <v>92322.59</v>
      </c>
      <c r="G1783" s="110">
        <v>92322.59</v>
      </c>
      <c r="I1783" s="110">
        <v>91521.09</v>
      </c>
      <c r="J1783" s="110">
        <v>92322.59</v>
      </c>
      <c r="K1783" s="110">
        <v>92322.59</v>
      </c>
      <c r="L1783" s="110">
        <v>92322.59</v>
      </c>
    </row>
    <row r="1784" spans="1:12" x14ac:dyDescent="0.2">
      <c r="A1784" t="s">
        <v>45</v>
      </c>
      <c r="B1784" t="s">
        <v>106</v>
      </c>
      <c r="C1784" t="s">
        <v>221</v>
      </c>
      <c r="D1784" s="110">
        <v>105709</v>
      </c>
      <c r="E1784" s="110">
        <v>105709</v>
      </c>
      <c r="F1784" s="110">
        <v>105709</v>
      </c>
      <c r="I1784" s="110">
        <v>102025.5</v>
      </c>
      <c r="J1784" s="110">
        <v>104938</v>
      </c>
      <c r="K1784" s="110">
        <v>104938</v>
      </c>
    </row>
    <row r="1785" spans="1:12" x14ac:dyDescent="0.2">
      <c r="A1785" t="s">
        <v>45</v>
      </c>
      <c r="B1785" t="s">
        <v>106</v>
      </c>
      <c r="C1785" t="s">
        <v>222</v>
      </c>
      <c r="D1785" s="110">
        <v>95410.79</v>
      </c>
      <c r="E1785" s="110">
        <v>95466.79</v>
      </c>
      <c r="I1785" s="110">
        <v>91470.89</v>
      </c>
      <c r="J1785" s="110">
        <v>95434.79</v>
      </c>
    </row>
    <row r="1786" spans="1:12" x14ac:dyDescent="0.2">
      <c r="A1786" t="s">
        <v>45</v>
      </c>
      <c r="B1786" t="s">
        <v>106</v>
      </c>
      <c r="C1786" t="s">
        <v>223</v>
      </c>
      <c r="D1786" s="110">
        <v>95633.18</v>
      </c>
      <c r="I1786" s="110">
        <v>91338.68</v>
      </c>
    </row>
    <row r="1787" spans="1:12" x14ac:dyDescent="0.2">
      <c r="A1787" t="s">
        <v>45</v>
      </c>
      <c r="B1787" t="s">
        <v>107</v>
      </c>
      <c r="C1787" t="s">
        <v>220</v>
      </c>
      <c r="D1787" s="110">
        <v>65461.53</v>
      </c>
      <c r="E1787" s="110">
        <v>65461.53</v>
      </c>
      <c r="F1787" s="110">
        <v>65461.53</v>
      </c>
      <c r="G1787" s="110">
        <v>65461.53</v>
      </c>
      <c r="I1787" s="110">
        <v>64791.53</v>
      </c>
      <c r="J1787" s="110">
        <v>65411.53</v>
      </c>
      <c r="K1787" s="110">
        <v>65411.53</v>
      </c>
      <c r="L1787" s="110">
        <v>65411.53</v>
      </c>
    </row>
    <row r="1788" spans="1:12" x14ac:dyDescent="0.2">
      <c r="A1788" t="s">
        <v>45</v>
      </c>
      <c r="B1788" t="s">
        <v>107</v>
      </c>
      <c r="C1788" t="s">
        <v>221</v>
      </c>
      <c r="D1788" s="110">
        <v>74969.13</v>
      </c>
      <c r="E1788" s="110">
        <v>75474.13</v>
      </c>
      <c r="F1788" s="110">
        <v>75474.13</v>
      </c>
      <c r="I1788" s="110">
        <v>73729.13</v>
      </c>
      <c r="J1788" s="110">
        <v>75474.13</v>
      </c>
      <c r="K1788" s="110">
        <v>75474.13</v>
      </c>
    </row>
    <row r="1789" spans="1:12" x14ac:dyDescent="0.2">
      <c r="A1789" t="s">
        <v>45</v>
      </c>
      <c r="B1789" t="s">
        <v>107</v>
      </c>
      <c r="C1789" t="s">
        <v>222</v>
      </c>
      <c r="D1789" s="110">
        <v>79150.25</v>
      </c>
      <c r="E1789" s="110">
        <v>79150.25</v>
      </c>
      <c r="I1789" s="110">
        <v>75150.75</v>
      </c>
      <c r="J1789" s="110">
        <v>78832.25</v>
      </c>
    </row>
    <row r="1790" spans="1:12" x14ac:dyDescent="0.2">
      <c r="A1790" t="s">
        <v>45</v>
      </c>
      <c r="B1790" t="s">
        <v>107</v>
      </c>
      <c r="C1790" t="s">
        <v>223</v>
      </c>
      <c r="D1790" s="110">
        <v>77327.600000000006</v>
      </c>
      <c r="I1790" s="110">
        <v>75667.600000000006</v>
      </c>
    </row>
    <row r="1791" spans="1:12" x14ac:dyDescent="0.2">
      <c r="A1791" t="s">
        <v>45</v>
      </c>
      <c r="B1791" t="s">
        <v>108</v>
      </c>
      <c r="C1791" t="s">
        <v>220</v>
      </c>
      <c r="D1791" s="110">
        <v>23649</v>
      </c>
      <c r="E1791" s="110">
        <v>23418</v>
      </c>
      <c r="F1791" s="110">
        <v>23418</v>
      </c>
      <c r="G1791" s="110">
        <v>23418</v>
      </c>
      <c r="I1791" s="110">
        <v>23414</v>
      </c>
      <c r="J1791" s="110">
        <v>23418</v>
      </c>
      <c r="K1791" s="110">
        <v>23418</v>
      </c>
      <c r="L1791" s="110">
        <v>23418</v>
      </c>
    </row>
    <row r="1792" spans="1:12" x14ac:dyDescent="0.2">
      <c r="A1792" t="s">
        <v>45</v>
      </c>
      <c r="B1792" t="s">
        <v>108</v>
      </c>
      <c r="C1792" t="s">
        <v>221</v>
      </c>
      <c r="D1792" s="110">
        <v>40818</v>
      </c>
      <c r="E1792" s="110">
        <v>40818</v>
      </c>
      <c r="F1792" s="110">
        <v>40818</v>
      </c>
      <c r="I1792" s="110">
        <v>38595</v>
      </c>
      <c r="J1792" s="110">
        <v>40812</v>
      </c>
      <c r="K1792" s="110">
        <v>40812</v>
      </c>
    </row>
    <row r="1793" spans="1:12" x14ac:dyDescent="0.2">
      <c r="A1793" t="s">
        <v>45</v>
      </c>
      <c r="B1793" t="s">
        <v>108</v>
      </c>
      <c r="C1793" t="s">
        <v>222</v>
      </c>
      <c r="D1793" s="110">
        <v>27440</v>
      </c>
      <c r="E1793" s="110">
        <v>27407</v>
      </c>
      <c r="I1793" s="110">
        <v>27062</v>
      </c>
      <c r="J1793" s="110">
        <v>27062</v>
      </c>
    </row>
    <row r="1794" spans="1:12" x14ac:dyDescent="0.2">
      <c r="A1794" t="s">
        <v>45</v>
      </c>
      <c r="B1794" t="s">
        <v>108</v>
      </c>
      <c r="C1794" t="s">
        <v>223</v>
      </c>
      <c r="D1794" s="110">
        <v>28576</v>
      </c>
      <c r="I1794" s="110">
        <v>28512</v>
      </c>
    </row>
    <row r="1795" spans="1:12" x14ac:dyDescent="0.2">
      <c r="A1795" t="s">
        <v>45</v>
      </c>
      <c r="B1795" t="s">
        <v>70</v>
      </c>
      <c r="C1795" t="s">
        <v>220</v>
      </c>
      <c r="D1795" s="110">
        <v>48508.12</v>
      </c>
      <c r="E1795" s="110">
        <v>48508.12</v>
      </c>
      <c r="F1795" s="110">
        <v>48508.12</v>
      </c>
      <c r="G1795" s="110">
        <v>48508.12</v>
      </c>
      <c r="I1795" s="110">
        <v>46032.12</v>
      </c>
      <c r="J1795" s="110">
        <v>47070.12</v>
      </c>
      <c r="K1795" s="110">
        <v>47175.12</v>
      </c>
      <c r="L1795" s="110">
        <v>47225.120000000003</v>
      </c>
    </row>
    <row r="1796" spans="1:12" x14ac:dyDescent="0.2">
      <c r="A1796" t="s">
        <v>45</v>
      </c>
      <c r="B1796" t="s">
        <v>70</v>
      </c>
      <c r="C1796" t="s">
        <v>221</v>
      </c>
      <c r="D1796" s="110">
        <v>50385.31</v>
      </c>
      <c r="E1796" s="110">
        <v>50315.31</v>
      </c>
      <c r="F1796" s="110">
        <v>50315.31</v>
      </c>
      <c r="I1796" s="110">
        <v>47922.31</v>
      </c>
      <c r="J1796" s="110">
        <v>48533.31</v>
      </c>
      <c r="K1796" s="110">
        <v>48567.31</v>
      </c>
    </row>
    <row r="1797" spans="1:12" x14ac:dyDescent="0.2">
      <c r="A1797" t="s">
        <v>45</v>
      </c>
      <c r="B1797" t="s">
        <v>70</v>
      </c>
      <c r="C1797" t="s">
        <v>222</v>
      </c>
      <c r="D1797" s="110">
        <v>56030.05</v>
      </c>
      <c r="E1797" s="110">
        <v>56030.05</v>
      </c>
      <c r="I1797" s="110">
        <v>54340.05</v>
      </c>
      <c r="J1797" s="110">
        <v>55435.55</v>
      </c>
    </row>
    <row r="1798" spans="1:12" x14ac:dyDescent="0.2">
      <c r="A1798" t="s">
        <v>45</v>
      </c>
      <c r="B1798" t="s">
        <v>70</v>
      </c>
      <c r="C1798" t="s">
        <v>223</v>
      </c>
      <c r="D1798" s="110">
        <v>48253</v>
      </c>
      <c r="I1798" s="110">
        <v>46064.51</v>
      </c>
    </row>
    <row r="1799" spans="1:12" x14ac:dyDescent="0.2">
      <c r="A1799" t="s">
        <v>45</v>
      </c>
      <c r="B1799" t="s">
        <v>110</v>
      </c>
      <c r="C1799" t="s">
        <v>220</v>
      </c>
      <c r="D1799" s="110">
        <v>226372.7</v>
      </c>
      <c r="E1799" s="110">
        <v>213591.7</v>
      </c>
      <c r="F1799" s="110">
        <v>211237.7</v>
      </c>
      <c r="G1799" s="110">
        <v>210973.34</v>
      </c>
      <c r="I1799" s="110">
        <v>104576.25</v>
      </c>
      <c r="J1799" s="110">
        <v>172404.5</v>
      </c>
      <c r="K1799" s="110">
        <v>183568.6</v>
      </c>
      <c r="L1799" s="110">
        <v>186304.75</v>
      </c>
    </row>
    <row r="1800" spans="1:12" x14ac:dyDescent="0.2">
      <c r="A1800" t="s">
        <v>45</v>
      </c>
      <c r="B1800" t="s">
        <v>110</v>
      </c>
      <c r="C1800" t="s">
        <v>221</v>
      </c>
      <c r="D1800" s="110">
        <v>315482.23</v>
      </c>
      <c r="E1800" s="110">
        <v>293557.74</v>
      </c>
      <c r="F1800" s="110">
        <v>290143.24</v>
      </c>
      <c r="I1800" s="110">
        <v>158288.04999999999</v>
      </c>
      <c r="J1800" s="110">
        <v>235739.41</v>
      </c>
      <c r="K1800" s="110">
        <v>250924.36</v>
      </c>
    </row>
    <row r="1801" spans="1:12" x14ac:dyDescent="0.2">
      <c r="A1801" t="s">
        <v>45</v>
      </c>
      <c r="B1801" t="s">
        <v>110</v>
      </c>
      <c r="C1801" t="s">
        <v>222</v>
      </c>
      <c r="D1801" s="110">
        <v>343406.4</v>
      </c>
      <c r="E1801" s="110">
        <v>324755.09999999998</v>
      </c>
      <c r="I1801" s="110">
        <v>156686.45000000001</v>
      </c>
      <c r="J1801" s="110">
        <v>253019.2</v>
      </c>
    </row>
    <row r="1802" spans="1:12" x14ac:dyDescent="0.2">
      <c r="A1802" t="s">
        <v>45</v>
      </c>
      <c r="B1802" t="s">
        <v>110</v>
      </c>
      <c r="C1802" t="s">
        <v>223</v>
      </c>
      <c r="D1802" s="110">
        <v>364310.15</v>
      </c>
      <c r="I1802" s="110">
        <v>179627.55</v>
      </c>
    </row>
    <row r="1803" spans="1:12" x14ac:dyDescent="0.2">
      <c r="A1803" t="s">
        <v>46</v>
      </c>
      <c r="B1803" t="s">
        <v>104</v>
      </c>
      <c r="C1803" t="s">
        <v>220</v>
      </c>
      <c r="D1803" s="110">
        <v>655088.03</v>
      </c>
      <c r="E1803" s="110">
        <v>654816.03</v>
      </c>
      <c r="F1803" s="110">
        <v>654816.03</v>
      </c>
      <c r="G1803" s="110">
        <v>653116.03</v>
      </c>
      <c r="I1803" s="110">
        <v>20930.43</v>
      </c>
      <c r="J1803" s="110">
        <v>35798.78</v>
      </c>
      <c r="K1803" s="110">
        <v>52678.7</v>
      </c>
      <c r="L1803" s="110">
        <v>65137.45</v>
      </c>
    </row>
    <row r="1804" spans="1:12" x14ac:dyDescent="0.2">
      <c r="A1804" t="s">
        <v>46</v>
      </c>
      <c r="B1804" t="s">
        <v>104</v>
      </c>
      <c r="C1804" t="s">
        <v>221</v>
      </c>
      <c r="D1804" s="110">
        <v>749822.62</v>
      </c>
      <c r="E1804" s="110">
        <v>751536.62</v>
      </c>
      <c r="F1804" s="110">
        <v>748807.62</v>
      </c>
      <c r="I1804" s="110">
        <v>29017.87</v>
      </c>
      <c r="J1804" s="110">
        <v>46189.27</v>
      </c>
      <c r="K1804" s="110">
        <v>59011.94</v>
      </c>
    </row>
    <row r="1805" spans="1:12" x14ac:dyDescent="0.2">
      <c r="A1805" t="s">
        <v>46</v>
      </c>
      <c r="B1805" t="s">
        <v>104</v>
      </c>
      <c r="C1805" t="s">
        <v>222</v>
      </c>
      <c r="D1805" s="110">
        <v>500926.13</v>
      </c>
      <c r="E1805" s="110">
        <v>498292.13</v>
      </c>
      <c r="I1805" s="110">
        <v>23153.59</v>
      </c>
      <c r="J1805" s="110">
        <v>39998.75</v>
      </c>
    </row>
    <row r="1806" spans="1:12" x14ac:dyDescent="0.2">
      <c r="A1806" t="s">
        <v>46</v>
      </c>
      <c r="B1806" t="s">
        <v>104</v>
      </c>
      <c r="C1806" t="s">
        <v>223</v>
      </c>
      <c r="D1806" s="110">
        <v>778951.7</v>
      </c>
      <c r="I1806" s="110">
        <v>40813.15</v>
      </c>
    </row>
    <row r="1807" spans="1:12" x14ac:dyDescent="0.2">
      <c r="A1807" t="s">
        <v>46</v>
      </c>
      <c r="B1807" t="s">
        <v>140</v>
      </c>
      <c r="C1807" t="s">
        <v>220</v>
      </c>
      <c r="D1807" s="110">
        <v>213057.5</v>
      </c>
      <c r="E1807" s="110">
        <v>213057.5</v>
      </c>
      <c r="F1807" s="110">
        <v>213057.5</v>
      </c>
      <c r="G1807" s="110">
        <v>213057.5</v>
      </c>
      <c r="I1807" s="110">
        <v>0</v>
      </c>
      <c r="J1807" s="110">
        <v>0</v>
      </c>
    </row>
    <row r="1808" spans="1:12" x14ac:dyDescent="0.2">
      <c r="A1808" t="s">
        <v>46</v>
      </c>
      <c r="B1808" t="s">
        <v>140</v>
      </c>
      <c r="C1808" t="s">
        <v>221</v>
      </c>
      <c r="D1808" s="110">
        <v>159937</v>
      </c>
      <c r="E1808" s="110">
        <v>159937</v>
      </c>
      <c r="F1808" s="110">
        <v>159937</v>
      </c>
      <c r="I1808" s="110">
        <v>0</v>
      </c>
    </row>
    <row r="1809" spans="1:12" x14ac:dyDescent="0.2">
      <c r="A1809" t="s">
        <v>46</v>
      </c>
      <c r="B1809" t="s">
        <v>140</v>
      </c>
      <c r="C1809" t="s">
        <v>222</v>
      </c>
      <c r="D1809" s="110">
        <v>53215</v>
      </c>
      <c r="E1809" s="110">
        <v>53265</v>
      </c>
    </row>
    <row r="1810" spans="1:12" x14ac:dyDescent="0.2">
      <c r="A1810" t="s">
        <v>46</v>
      </c>
      <c r="B1810" t="s">
        <v>140</v>
      </c>
      <c r="C1810" t="s">
        <v>223</v>
      </c>
      <c r="D1810" s="110">
        <v>232470.49</v>
      </c>
    </row>
    <row r="1811" spans="1:12" x14ac:dyDescent="0.2">
      <c r="A1811" t="s">
        <v>46</v>
      </c>
      <c r="B1811" t="s">
        <v>105</v>
      </c>
      <c r="C1811" t="s">
        <v>220</v>
      </c>
      <c r="D1811" s="110">
        <v>344100.12</v>
      </c>
      <c r="E1811" s="110">
        <v>344412.12</v>
      </c>
      <c r="F1811" s="110">
        <v>344612.12</v>
      </c>
      <c r="G1811" s="110">
        <v>344612.12</v>
      </c>
      <c r="I1811" s="110">
        <v>70413.86</v>
      </c>
      <c r="J1811" s="110">
        <v>119007.52</v>
      </c>
      <c r="K1811" s="110">
        <v>139102.29999999999</v>
      </c>
      <c r="L1811" s="110">
        <v>146958.06</v>
      </c>
    </row>
    <row r="1812" spans="1:12" x14ac:dyDescent="0.2">
      <c r="A1812" t="s">
        <v>46</v>
      </c>
      <c r="B1812" t="s">
        <v>105</v>
      </c>
      <c r="C1812" t="s">
        <v>221</v>
      </c>
      <c r="D1812" s="110">
        <v>402826.11</v>
      </c>
      <c r="E1812" s="110">
        <v>402732.11</v>
      </c>
      <c r="F1812" s="110">
        <v>402732.11</v>
      </c>
      <c r="I1812" s="110">
        <v>133388.34</v>
      </c>
      <c r="J1812" s="110">
        <v>181601.99</v>
      </c>
      <c r="K1812" s="110">
        <v>206035.18</v>
      </c>
    </row>
    <row r="1813" spans="1:12" x14ac:dyDescent="0.2">
      <c r="A1813" t="s">
        <v>46</v>
      </c>
      <c r="B1813" t="s">
        <v>105</v>
      </c>
      <c r="C1813" t="s">
        <v>222</v>
      </c>
      <c r="D1813" s="110">
        <v>479882.78</v>
      </c>
      <c r="E1813" s="110">
        <v>480136.49</v>
      </c>
      <c r="I1813" s="110">
        <v>209479.1</v>
      </c>
      <c r="J1813" s="110">
        <v>258890.86</v>
      </c>
    </row>
    <row r="1814" spans="1:12" x14ac:dyDescent="0.2">
      <c r="A1814" t="s">
        <v>46</v>
      </c>
      <c r="B1814" t="s">
        <v>105</v>
      </c>
      <c r="C1814" t="s">
        <v>223</v>
      </c>
      <c r="D1814" s="110">
        <v>412260.36</v>
      </c>
      <c r="I1814" s="110">
        <v>141232.5</v>
      </c>
    </row>
    <row r="1815" spans="1:12" x14ac:dyDescent="0.2">
      <c r="A1815" t="s">
        <v>46</v>
      </c>
      <c r="B1815" t="s">
        <v>111</v>
      </c>
      <c r="C1815" t="s">
        <v>220</v>
      </c>
      <c r="D1815" s="110">
        <v>18177</v>
      </c>
      <c r="E1815" s="110">
        <v>17892</v>
      </c>
      <c r="F1815" s="110">
        <v>17892</v>
      </c>
      <c r="G1815" s="110">
        <v>17457</v>
      </c>
      <c r="I1815" s="110">
        <v>2669.5</v>
      </c>
      <c r="J1815" s="110">
        <v>3656.5</v>
      </c>
      <c r="K1815" s="110">
        <v>4218.5</v>
      </c>
      <c r="L1815" s="110">
        <v>4582.8999999999996</v>
      </c>
    </row>
    <row r="1816" spans="1:12" x14ac:dyDescent="0.2">
      <c r="A1816" t="s">
        <v>46</v>
      </c>
      <c r="B1816" t="s">
        <v>111</v>
      </c>
      <c r="C1816" t="s">
        <v>221</v>
      </c>
      <c r="D1816" s="110">
        <v>23379.5</v>
      </c>
      <c r="E1816" s="110">
        <v>23380.5</v>
      </c>
      <c r="F1816" s="110">
        <v>23380.5</v>
      </c>
      <c r="I1816" s="110">
        <v>3442</v>
      </c>
      <c r="J1816" s="110">
        <v>6512</v>
      </c>
      <c r="K1816" s="110">
        <v>8285</v>
      </c>
    </row>
    <row r="1817" spans="1:12" x14ac:dyDescent="0.2">
      <c r="A1817" t="s">
        <v>46</v>
      </c>
      <c r="B1817" t="s">
        <v>111</v>
      </c>
      <c r="C1817" t="s">
        <v>222</v>
      </c>
      <c r="D1817" s="110">
        <v>44271</v>
      </c>
      <c r="E1817" s="110">
        <v>45157</v>
      </c>
      <c r="I1817" s="110">
        <v>20817</v>
      </c>
      <c r="J1817" s="110">
        <v>23476.19</v>
      </c>
    </row>
    <row r="1818" spans="1:12" x14ac:dyDescent="0.2">
      <c r="A1818" t="s">
        <v>46</v>
      </c>
      <c r="B1818" t="s">
        <v>111</v>
      </c>
      <c r="C1818" t="s">
        <v>223</v>
      </c>
      <c r="D1818" s="110">
        <v>29637</v>
      </c>
      <c r="I1818" s="110">
        <v>8045</v>
      </c>
    </row>
    <row r="1819" spans="1:12" x14ac:dyDescent="0.2">
      <c r="A1819" t="s">
        <v>46</v>
      </c>
      <c r="B1819" t="s">
        <v>109</v>
      </c>
      <c r="C1819" t="s">
        <v>220</v>
      </c>
      <c r="D1819" s="110">
        <v>586323.01</v>
      </c>
      <c r="E1819" s="110">
        <v>585937.01</v>
      </c>
      <c r="F1819" s="110">
        <v>585786.51</v>
      </c>
      <c r="G1819" s="110">
        <v>585786.51</v>
      </c>
      <c r="I1819" s="110">
        <v>81090.52</v>
      </c>
      <c r="J1819" s="110">
        <v>134959.74</v>
      </c>
      <c r="K1819" s="110">
        <v>165274.85999999999</v>
      </c>
      <c r="L1819" s="110">
        <v>178514.2</v>
      </c>
    </row>
    <row r="1820" spans="1:12" x14ac:dyDescent="0.2">
      <c r="A1820" t="s">
        <v>46</v>
      </c>
      <c r="B1820" t="s">
        <v>109</v>
      </c>
      <c r="C1820" t="s">
        <v>221</v>
      </c>
      <c r="D1820" s="110">
        <v>349106.63</v>
      </c>
      <c r="E1820" s="110">
        <v>348631.63</v>
      </c>
      <c r="F1820" s="110">
        <v>348656.63</v>
      </c>
      <c r="I1820" s="110">
        <v>120053.49</v>
      </c>
      <c r="J1820" s="110">
        <v>192107.69</v>
      </c>
      <c r="K1820" s="110">
        <v>224919.55</v>
      </c>
    </row>
    <row r="1821" spans="1:12" x14ac:dyDescent="0.2">
      <c r="A1821" t="s">
        <v>46</v>
      </c>
      <c r="B1821" t="s">
        <v>109</v>
      </c>
      <c r="C1821" t="s">
        <v>222</v>
      </c>
      <c r="D1821" s="110">
        <v>327401.40999999997</v>
      </c>
      <c r="E1821" s="110">
        <v>330404.40999999997</v>
      </c>
      <c r="I1821" s="110">
        <v>105653.08</v>
      </c>
      <c r="J1821" s="110">
        <v>169238.08</v>
      </c>
    </row>
    <row r="1822" spans="1:12" x14ac:dyDescent="0.2">
      <c r="A1822" t="s">
        <v>46</v>
      </c>
      <c r="B1822" t="s">
        <v>109</v>
      </c>
      <c r="C1822" t="s">
        <v>223</v>
      </c>
      <c r="D1822" s="110">
        <v>335232.88</v>
      </c>
      <c r="I1822" s="110">
        <v>101463.25</v>
      </c>
    </row>
    <row r="1823" spans="1:12" x14ac:dyDescent="0.2">
      <c r="A1823" t="s">
        <v>46</v>
      </c>
      <c r="B1823" t="s">
        <v>106</v>
      </c>
      <c r="C1823" t="s">
        <v>220</v>
      </c>
      <c r="D1823" s="110">
        <v>294257.65000000002</v>
      </c>
      <c r="E1823" s="110">
        <v>289958.25</v>
      </c>
      <c r="F1823" s="110">
        <v>289958.25</v>
      </c>
      <c r="G1823" s="110">
        <v>289958.25</v>
      </c>
      <c r="I1823" s="110">
        <v>291985.15000000002</v>
      </c>
      <c r="J1823" s="110">
        <v>287835.75</v>
      </c>
      <c r="K1823" s="110">
        <v>287935.03000000003</v>
      </c>
      <c r="L1823" s="110">
        <v>287935.03000000003</v>
      </c>
    </row>
    <row r="1824" spans="1:12" x14ac:dyDescent="0.2">
      <c r="A1824" t="s">
        <v>46</v>
      </c>
      <c r="B1824" t="s">
        <v>106</v>
      </c>
      <c r="C1824" t="s">
        <v>221</v>
      </c>
      <c r="D1824" s="110">
        <v>322926.49</v>
      </c>
      <c r="E1824" s="110">
        <v>323066.49</v>
      </c>
      <c r="F1824" s="110">
        <v>323066.49</v>
      </c>
      <c r="I1824" s="110">
        <v>321928.99</v>
      </c>
      <c r="J1824" s="110">
        <v>322068.99</v>
      </c>
      <c r="K1824" s="110">
        <v>322068.99</v>
      </c>
    </row>
    <row r="1825" spans="1:12" x14ac:dyDescent="0.2">
      <c r="A1825" t="s">
        <v>46</v>
      </c>
      <c r="B1825" t="s">
        <v>106</v>
      </c>
      <c r="C1825" t="s">
        <v>222</v>
      </c>
      <c r="D1825" s="110">
        <v>297856.21999999997</v>
      </c>
      <c r="E1825" s="110">
        <v>297803.71999999997</v>
      </c>
      <c r="I1825" s="110">
        <v>295758.71999999997</v>
      </c>
      <c r="J1825" s="110">
        <v>295756.21999999997</v>
      </c>
    </row>
    <row r="1826" spans="1:12" x14ac:dyDescent="0.2">
      <c r="A1826" t="s">
        <v>46</v>
      </c>
      <c r="B1826" t="s">
        <v>106</v>
      </c>
      <c r="C1826" t="s">
        <v>223</v>
      </c>
      <c r="D1826" s="110">
        <v>336182.58</v>
      </c>
      <c r="I1826" s="110">
        <v>330711.58</v>
      </c>
    </row>
    <row r="1827" spans="1:12" x14ac:dyDescent="0.2">
      <c r="A1827" t="s">
        <v>46</v>
      </c>
      <c r="B1827" t="s">
        <v>107</v>
      </c>
      <c r="C1827" t="s">
        <v>220</v>
      </c>
      <c r="D1827" s="110">
        <v>223016.97</v>
      </c>
      <c r="E1827" s="110">
        <v>222966.97</v>
      </c>
      <c r="F1827" s="110">
        <v>222966.97</v>
      </c>
      <c r="G1827" s="110">
        <v>222966.97</v>
      </c>
      <c r="I1827" s="110">
        <v>221363.47</v>
      </c>
      <c r="J1827" s="110">
        <v>221498.47</v>
      </c>
      <c r="K1827" s="110">
        <v>221498.47</v>
      </c>
      <c r="L1827" s="110">
        <v>221498.47</v>
      </c>
    </row>
    <row r="1828" spans="1:12" x14ac:dyDescent="0.2">
      <c r="A1828" t="s">
        <v>46</v>
      </c>
      <c r="B1828" t="s">
        <v>107</v>
      </c>
      <c r="C1828" t="s">
        <v>221</v>
      </c>
      <c r="D1828" s="110">
        <v>229366.92</v>
      </c>
      <c r="E1828" s="110">
        <v>229476.92</v>
      </c>
      <c r="F1828" s="110">
        <v>229476.92</v>
      </c>
      <c r="I1828" s="110">
        <v>227515.24</v>
      </c>
      <c r="J1828" s="110">
        <v>227625.24</v>
      </c>
      <c r="K1828" s="110">
        <v>227625.24</v>
      </c>
    </row>
    <row r="1829" spans="1:12" x14ac:dyDescent="0.2">
      <c r="A1829" t="s">
        <v>46</v>
      </c>
      <c r="B1829" t="s">
        <v>107</v>
      </c>
      <c r="C1829" t="s">
        <v>222</v>
      </c>
      <c r="D1829" s="110">
        <v>239545.19</v>
      </c>
      <c r="E1829" s="110">
        <v>239536.69</v>
      </c>
      <c r="I1829" s="110">
        <v>238450.19</v>
      </c>
      <c r="J1829" s="110">
        <v>238495.19</v>
      </c>
    </row>
    <row r="1830" spans="1:12" x14ac:dyDescent="0.2">
      <c r="A1830" t="s">
        <v>46</v>
      </c>
      <c r="B1830" t="s">
        <v>107</v>
      </c>
      <c r="C1830" t="s">
        <v>223</v>
      </c>
      <c r="D1830" s="110">
        <v>247426.07</v>
      </c>
      <c r="I1830" s="110">
        <v>244862.57</v>
      </c>
    </row>
    <row r="1831" spans="1:12" x14ac:dyDescent="0.2">
      <c r="A1831" t="s">
        <v>46</v>
      </c>
      <c r="B1831" t="s">
        <v>108</v>
      </c>
      <c r="C1831" t="s">
        <v>220</v>
      </c>
      <c r="D1831" s="110">
        <v>52885.4</v>
      </c>
      <c r="E1831" s="110">
        <v>52800.4</v>
      </c>
      <c r="F1831" s="110">
        <v>52800.4</v>
      </c>
      <c r="G1831" s="110">
        <v>52800.4</v>
      </c>
      <c r="I1831" s="110">
        <v>52129.4</v>
      </c>
      <c r="J1831" s="110">
        <v>52149.4</v>
      </c>
      <c r="K1831" s="110">
        <v>52149.4</v>
      </c>
      <c r="L1831" s="110">
        <v>52149.4</v>
      </c>
    </row>
    <row r="1832" spans="1:12" x14ac:dyDescent="0.2">
      <c r="A1832" t="s">
        <v>46</v>
      </c>
      <c r="B1832" t="s">
        <v>108</v>
      </c>
      <c r="C1832" t="s">
        <v>221</v>
      </c>
      <c r="D1832" s="110">
        <v>66038.45</v>
      </c>
      <c r="E1832" s="110">
        <v>66038.45</v>
      </c>
      <c r="F1832" s="110">
        <v>66038.45</v>
      </c>
      <c r="I1832" s="110">
        <v>63888.45</v>
      </c>
      <c r="J1832" s="110">
        <v>64563.45</v>
      </c>
      <c r="K1832" s="110">
        <v>64563.45</v>
      </c>
    </row>
    <row r="1833" spans="1:12" x14ac:dyDescent="0.2">
      <c r="A1833" t="s">
        <v>46</v>
      </c>
      <c r="B1833" t="s">
        <v>108</v>
      </c>
      <c r="C1833" t="s">
        <v>222</v>
      </c>
      <c r="D1833" s="110">
        <v>70746.399999999994</v>
      </c>
      <c r="E1833" s="110">
        <v>70515.399999999994</v>
      </c>
      <c r="I1833" s="110">
        <v>69820.399999999994</v>
      </c>
      <c r="J1833" s="110">
        <v>69589.399999999994</v>
      </c>
    </row>
    <row r="1834" spans="1:12" x14ac:dyDescent="0.2">
      <c r="A1834" t="s">
        <v>46</v>
      </c>
      <c r="B1834" t="s">
        <v>108</v>
      </c>
      <c r="C1834" t="s">
        <v>223</v>
      </c>
      <c r="D1834" s="110">
        <v>54161.9</v>
      </c>
      <c r="I1834" s="110">
        <v>53530.9</v>
      </c>
    </row>
    <row r="1835" spans="1:12" x14ac:dyDescent="0.2">
      <c r="A1835" t="s">
        <v>46</v>
      </c>
      <c r="B1835" t="s">
        <v>70</v>
      </c>
      <c r="C1835" t="s">
        <v>220</v>
      </c>
      <c r="D1835" s="110">
        <v>142998.04999999999</v>
      </c>
      <c r="E1835" s="110">
        <v>143005.04999999999</v>
      </c>
      <c r="F1835" s="110">
        <v>143005.04999999999</v>
      </c>
      <c r="G1835" s="110">
        <v>142705.04999999999</v>
      </c>
      <c r="I1835" s="110">
        <v>128011.55</v>
      </c>
      <c r="J1835" s="110">
        <v>129039.55</v>
      </c>
      <c r="K1835" s="110">
        <v>129207.64</v>
      </c>
      <c r="L1835" s="110">
        <v>129369.55</v>
      </c>
    </row>
    <row r="1836" spans="1:12" x14ac:dyDescent="0.2">
      <c r="A1836" t="s">
        <v>46</v>
      </c>
      <c r="B1836" t="s">
        <v>70</v>
      </c>
      <c r="C1836" t="s">
        <v>221</v>
      </c>
      <c r="D1836" s="110">
        <v>187652.4</v>
      </c>
      <c r="E1836" s="110">
        <v>187658.4</v>
      </c>
      <c r="F1836" s="110">
        <v>187658.4</v>
      </c>
      <c r="I1836" s="110">
        <v>167217.4</v>
      </c>
      <c r="J1836" s="110">
        <v>167518.39999999999</v>
      </c>
      <c r="K1836" s="110">
        <v>167518.39999999999</v>
      </c>
    </row>
    <row r="1837" spans="1:12" x14ac:dyDescent="0.2">
      <c r="A1837" t="s">
        <v>46</v>
      </c>
      <c r="B1837" t="s">
        <v>70</v>
      </c>
      <c r="C1837" t="s">
        <v>222</v>
      </c>
      <c r="D1837" s="110">
        <v>193327.45</v>
      </c>
      <c r="E1837" s="110">
        <v>192712.45</v>
      </c>
      <c r="I1837" s="110">
        <v>165453.45000000001</v>
      </c>
      <c r="J1837" s="110">
        <v>166051.45000000001</v>
      </c>
    </row>
    <row r="1838" spans="1:12" x14ac:dyDescent="0.2">
      <c r="A1838" t="s">
        <v>46</v>
      </c>
      <c r="B1838" t="s">
        <v>70</v>
      </c>
      <c r="C1838" t="s">
        <v>223</v>
      </c>
      <c r="D1838" s="110">
        <v>177128.35</v>
      </c>
      <c r="I1838" s="110">
        <v>154026.85</v>
      </c>
    </row>
    <row r="1839" spans="1:12" x14ac:dyDescent="0.2">
      <c r="A1839" t="s">
        <v>46</v>
      </c>
      <c r="B1839" t="s">
        <v>110</v>
      </c>
      <c r="C1839" t="s">
        <v>220</v>
      </c>
      <c r="D1839" s="110">
        <v>601260.99</v>
      </c>
      <c r="E1839" s="110">
        <v>600458.84</v>
      </c>
      <c r="F1839" s="110">
        <v>599633.74</v>
      </c>
      <c r="G1839" s="110">
        <v>599744.74</v>
      </c>
      <c r="I1839" s="110">
        <v>264365.75</v>
      </c>
      <c r="J1839" s="110">
        <v>364326.07</v>
      </c>
      <c r="K1839" s="110">
        <v>384749.89</v>
      </c>
      <c r="L1839" s="110">
        <v>391904.2</v>
      </c>
    </row>
    <row r="1840" spans="1:12" x14ac:dyDescent="0.2">
      <c r="A1840" t="s">
        <v>46</v>
      </c>
      <c r="B1840" t="s">
        <v>110</v>
      </c>
      <c r="C1840" t="s">
        <v>221</v>
      </c>
      <c r="D1840" s="110">
        <v>583446.14</v>
      </c>
      <c r="E1840" s="110">
        <v>585069.96</v>
      </c>
      <c r="F1840" s="110">
        <v>584729.66</v>
      </c>
      <c r="I1840" s="110">
        <v>354048.4</v>
      </c>
      <c r="J1840" s="110">
        <v>459216.01</v>
      </c>
      <c r="K1840" s="110">
        <v>481010.37</v>
      </c>
    </row>
    <row r="1841" spans="1:12" x14ac:dyDescent="0.2">
      <c r="A1841" t="s">
        <v>46</v>
      </c>
      <c r="B1841" t="s">
        <v>110</v>
      </c>
      <c r="C1841" t="s">
        <v>222</v>
      </c>
      <c r="D1841" s="110">
        <v>653760.81000000006</v>
      </c>
      <c r="E1841" s="110">
        <v>654317.87</v>
      </c>
      <c r="I1841" s="110">
        <v>396854.21</v>
      </c>
      <c r="J1841" s="110">
        <v>505380.8</v>
      </c>
    </row>
    <row r="1842" spans="1:12" x14ac:dyDescent="0.2">
      <c r="A1842" t="s">
        <v>46</v>
      </c>
      <c r="B1842" t="s">
        <v>110</v>
      </c>
      <c r="C1842" t="s">
        <v>223</v>
      </c>
      <c r="D1842" s="110">
        <v>848484.13</v>
      </c>
      <c r="I1842" s="110">
        <v>496313.33</v>
      </c>
    </row>
    <row r="1843" spans="1:12" x14ac:dyDescent="0.2">
      <c r="A1843" t="s">
        <v>47</v>
      </c>
      <c r="B1843" t="s">
        <v>104</v>
      </c>
      <c r="C1843" t="s">
        <v>220</v>
      </c>
      <c r="D1843" s="110">
        <v>188278.79</v>
      </c>
      <c r="E1843" s="110">
        <v>187393.79</v>
      </c>
      <c r="F1843" s="110">
        <v>187393.79</v>
      </c>
      <c r="G1843" s="110">
        <v>187393.79</v>
      </c>
      <c r="I1843" s="110">
        <v>3662.06</v>
      </c>
      <c r="J1843" s="110">
        <v>9646.3700000000008</v>
      </c>
      <c r="K1843" s="110">
        <v>11586.6</v>
      </c>
      <c r="L1843" s="110">
        <v>15065.77</v>
      </c>
    </row>
    <row r="1844" spans="1:12" x14ac:dyDescent="0.2">
      <c r="A1844" t="s">
        <v>47</v>
      </c>
      <c r="B1844" t="s">
        <v>104</v>
      </c>
      <c r="C1844" t="s">
        <v>221</v>
      </c>
      <c r="D1844" s="110">
        <v>263395.5</v>
      </c>
      <c r="E1844" s="110">
        <v>263045.5</v>
      </c>
      <c r="F1844" s="110">
        <v>261210.5</v>
      </c>
      <c r="I1844" s="110">
        <v>1806.42</v>
      </c>
      <c r="J1844" s="110">
        <v>6274.74</v>
      </c>
      <c r="K1844" s="110">
        <v>9063.84</v>
      </c>
    </row>
    <row r="1845" spans="1:12" x14ac:dyDescent="0.2">
      <c r="A1845" t="s">
        <v>47</v>
      </c>
      <c r="B1845" t="s">
        <v>104</v>
      </c>
      <c r="C1845" t="s">
        <v>222</v>
      </c>
      <c r="D1845" s="110">
        <v>411456.93</v>
      </c>
      <c r="E1845" s="110">
        <v>411656.93</v>
      </c>
      <c r="I1845" s="110">
        <v>8737.44</v>
      </c>
      <c r="J1845" s="110">
        <v>13742.82</v>
      </c>
    </row>
    <row r="1846" spans="1:12" x14ac:dyDescent="0.2">
      <c r="A1846" t="s">
        <v>47</v>
      </c>
      <c r="B1846" t="s">
        <v>104</v>
      </c>
      <c r="C1846" t="s">
        <v>223</v>
      </c>
      <c r="D1846" s="110">
        <v>413245</v>
      </c>
      <c r="I1846" s="110">
        <v>2887.74</v>
      </c>
    </row>
    <row r="1847" spans="1:12" x14ac:dyDescent="0.2">
      <c r="A1847" t="s">
        <v>47</v>
      </c>
      <c r="B1847" t="s">
        <v>140</v>
      </c>
      <c r="C1847" t="s">
        <v>220</v>
      </c>
      <c r="D1847" s="110">
        <v>50000</v>
      </c>
      <c r="E1847" s="110">
        <v>50000</v>
      </c>
      <c r="F1847" s="110">
        <v>50000</v>
      </c>
      <c r="G1847" s="110">
        <v>50000</v>
      </c>
      <c r="I1847" s="110">
        <v>0</v>
      </c>
      <c r="J1847" s="110">
        <v>0</v>
      </c>
      <c r="K1847" s="110">
        <v>0</v>
      </c>
      <c r="L1847" s="110">
        <v>0</v>
      </c>
    </row>
    <row r="1848" spans="1:12" x14ac:dyDescent="0.2">
      <c r="A1848" t="s">
        <v>47</v>
      </c>
      <c r="B1848" t="s">
        <v>140</v>
      </c>
      <c r="C1848" t="s">
        <v>221</v>
      </c>
      <c r="D1848" s="110">
        <v>150000</v>
      </c>
      <c r="E1848" s="110">
        <v>150000</v>
      </c>
      <c r="F1848" s="110">
        <v>150000</v>
      </c>
      <c r="I1848" s="110">
        <v>0</v>
      </c>
      <c r="J1848" s="110">
        <v>0</v>
      </c>
      <c r="K1848" s="110">
        <v>0</v>
      </c>
    </row>
    <row r="1849" spans="1:12" x14ac:dyDescent="0.2">
      <c r="A1849" t="s">
        <v>47</v>
      </c>
      <c r="B1849" t="s">
        <v>140</v>
      </c>
      <c r="C1849" t="s">
        <v>222</v>
      </c>
      <c r="D1849" s="110">
        <v>250000</v>
      </c>
      <c r="E1849" s="110">
        <v>250000</v>
      </c>
      <c r="I1849" s="110">
        <v>0</v>
      </c>
      <c r="J1849" s="110">
        <v>0</v>
      </c>
    </row>
    <row r="1850" spans="1:12" x14ac:dyDescent="0.2">
      <c r="A1850" t="s">
        <v>47</v>
      </c>
      <c r="B1850" t="s">
        <v>140</v>
      </c>
      <c r="C1850" t="s">
        <v>223</v>
      </c>
      <c r="D1850" s="110">
        <v>225000</v>
      </c>
      <c r="I1850" s="110">
        <v>0</v>
      </c>
    </row>
    <row r="1851" spans="1:12" x14ac:dyDescent="0.2">
      <c r="A1851" t="s">
        <v>47</v>
      </c>
      <c r="B1851" t="s">
        <v>105</v>
      </c>
      <c r="C1851" t="s">
        <v>220</v>
      </c>
      <c r="D1851" s="110">
        <v>85650.55</v>
      </c>
      <c r="E1851" s="110">
        <v>85500.55</v>
      </c>
      <c r="F1851" s="110">
        <v>85270.55</v>
      </c>
      <c r="G1851" s="110">
        <v>83840.55</v>
      </c>
      <c r="I1851" s="110">
        <v>18767.75</v>
      </c>
      <c r="J1851" s="110">
        <v>29447.25</v>
      </c>
      <c r="K1851" s="110">
        <v>33103.25</v>
      </c>
      <c r="L1851" s="110">
        <v>33884.25</v>
      </c>
    </row>
    <row r="1852" spans="1:12" x14ac:dyDescent="0.2">
      <c r="A1852" t="s">
        <v>47</v>
      </c>
      <c r="B1852" t="s">
        <v>105</v>
      </c>
      <c r="C1852" t="s">
        <v>221</v>
      </c>
      <c r="D1852" s="110">
        <v>67630.7</v>
      </c>
      <c r="E1852" s="110">
        <v>67330.7</v>
      </c>
      <c r="F1852" s="110">
        <v>67330.7</v>
      </c>
      <c r="I1852" s="110">
        <v>11640.25</v>
      </c>
      <c r="J1852" s="110">
        <v>19218</v>
      </c>
      <c r="K1852" s="110">
        <v>21670.7</v>
      </c>
    </row>
    <row r="1853" spans="1:12" x14ac:dyDescent="0.2">
      <c r="A1853" t="s">
        <v>47</v>
      </c>
      <c r="B1853" t="s">
        <v>105</v>
      </c>
      <c r="C1853" t="s">
        <v>222</v>
      </c>
      <c r="D1853" s="110">
        <v>69745</v>
      </c>
      <c r="E1853" s="110">
        <v>68351.5</v>
      </c>
      <c r="I1853" s="110">
        <v>13319.65</v>
      </c>
      <c r="J1853" s="110">
        <v>19184.150000000001</v>
      </c>
    </row>
    <row r="1854" spans="1:12" x14ac:dyDescent="0.2">
      <c r="A1854" t="s">
        <v>47</v>
      </c>
      <c r="B1854" t="s">
        <v>105</v>
      </c>
      <c r="C1854" t="s">
        <v>223</v>
      </c>
      <c r="D1854" s="110">
        <v>63967.25</v>
      </c>
      <c r="I1854" s="110">
        <v>8723.5</v>
      </c>
    </row>
    <row r="1855" spans="1:12" x14ac:dyDescent="0.2">
      <c r="A1855" t="s">
        <v>47</v>
      </c>
      <c r="B1855" t="s">
        <v>111</v>
      </c>
      <c r="C1855" t="s">
        <v>220</v>
      </c>
      <c r="D1855" s="110">
        <v>7200</v>
      </c>
      <c r="E1855" s="110">
        <v>7200</v>
      </c>
      <c r="F1855" s="110">
        <v>7200</v>
      </c>
      <c r="G1855" s="110">
        <v>7200</v>
      </c>
      <c r="I1855" s="110">
        <v>80</v>
      </c>
      <c r="J1855" s="110">
        <v>330</v>
      </c>
      <c r="K1855" s="110">
        <v>720</v>
      </c>
      <c r="L1855" s="110">
        <v>930</v>
      </c>
    </row>
    <row r="1856" spans="1:12" x14ac:dyDescent="0.2">
      <c r="A1856" t="s">
        <v>47</v>
      </c>
      <c r="B1856" t="s">
        <v>111</v>
      </c>
      <c r="C1856" t="s">
        <v>221</v>
      </c>
      <c r="D1856" s="110">
        <v>4652</v>
      </c>
      <c r="E1856" s="110">
        <v>4752</v>
      </c>
      <c r="F1856" s="110">
        <v>4752</v>
      </c>
      <c r="I1856" s="110">
        <v>162</v>
      </c>
      <c r="J1856" s="110">
        <v>502</v>
      </c>
      <c r="K1856" s="110">
        <v>1042</v>
      </c>
    </row>
    <row r="1857" spans="1:12" x14ac:dyDescent="0.2">
      <c r="A1857" t="s">
        <v>47</v>
      </c>
      <c r="B1857" t="s">
        <v>111</v>
      </c>
      <c r="C1857" t="s">
        <v>222</v>
      </c>
      <c r="D1857" s="110">
        <v>8463.5</v>
      </c>
      <c r="E1857" s="110">
        <v>8663.5</v>
      </c>
      <c r="I1857" s="110">
        <v>203.5</v>
      </c>
      <c r="J1857" s="110">
        <v>453.5</v>
      </c>
    </row>
    <row r="1858" spans="1:12" x14ac:dyDescent="0.2">
      <c r="A1858" t="s">
        <v>47</v>
      </c>
      <c r="B1858" t="s">
        <v>111</v>
      </c>
      <c r="C1858" t="s">
        <v>223</v>
      </c>
      <c r="D1858" s="110">
        <v>5618.5</v>
      </c>
      <c r="I1858" s="110">
        <v>28.5</v>
      </c>
    </row>
    <row r="1859" spans="1:12" x14ac:dyDescent="0.2">
      <c r="A1859" t="s">
        <v>47</v>
      </c>
      <c r="B1859" t="s">
        <v>109</v>
      </c>
      <c r="C1859" t="s">
        <v>220</v>
      </c>
      <c r="D1859" s="110">
        <v>87626.75</v>
      </c>
      <c r="E1859" s="110">
        <v>87681.75</v>
      </c>
      <c r="F1859" s="110">
        <v>87681.75</v>
      </c>
      <c r="G1859" s="110">
        <v>86781.75</v>
      </c>
      <c r="I1859" s="110">
        <v>20744</v>
      </c>
      <c r="J1859" s="110">
        <v>35194</v>
      </c>
      <c r="K1859" s="110">
        <v>41040.5</v>
      </c>
      <c r="L1859" s="110">
        <v>46196.5</v>
      </c>
    </row>
    <row r="1860" spans="1:12" x14ac:dyDescent="0.2">
      <c r="A1860" t="s">
        <v>47</v>
      </c>
      <c r="B1860" t="s">
        <v>109</v>
      </c>
      <c r="C1860" t="s">
        <v>221</v>
      </c>
      <c r="D1860" s="110">
        <v>88526.25</v>
      </c>
      <c r="E1860" s="110">
        <v>88526.25</v>
      </c>
      <c r="F1860" s="110">
        <v>87526.25</v>
      </c>
      <c r="I1860" s="110">
        <v>32911.75</v>
      </c>
      <c r="J1860" s="110">
        <v>46217.75</v>
      </c>
      <c r="K1860" s="110">
        <v>51272.75</v>
      </c>
    </row>
    <row r="1861" spans="1:12" x14ac:dyDescent="0.2">
      <c r="A1861" t="s">
        <v>47</v>
      </c>
      <c r="B1861" t="s">
        <v>109</v>
      </c>
      <c r="C1861" t="s">
        <v>222</v>
      </c>
      <c r="D1861" s="110">
        <v>108625</v>
      </c>
      <c r="E1861" s="110">
        <v>108475</v>
      </c>
      <c r="I1861" s="110">
        <v>34691</v>
      </c>
      <c r="J1861" s="110">
        <v>51365.5</v>
      </c>
    </row>
    <row r="1862" spans="1:12" x14ac:dyDescent="0.2">
      <c r="A1862" t="s">
        <v>47</v>
      </c>
      <c r="B1862" t="s">
        <v>109</v>
      </c>
      <c r="C1862" t="s">
        <v>223</v>
      </c>
      <c r="D1862" s="110">
        <v>120185.05</v>
      </c>
      <c r="I1862" s="110">
        <v>40709.25</v>
      </c>
    </row>
    <row r="1863" spans="1:12" x14ac:dyDescent="0.2">
      <c r="A1863" t="s">
        <v>47</v>
      </c>
      <c r="B1863" t="s">
        <v>106</v>
      </c>
      <c r="C1863" t="s">
        <v>220</v>
      </c>
      <c r="D1863" s="110">
        <v>45897</v>
      </c>
      <c r="E1863" s="110">
        <v>46192</v>
      </c>
      <c r="F1863" s="110">
        <v>46192</v>
      </c>
      <c r="G1863" s="110">
        <v>47702</v>
      </c>
      <c r="I1863" s="110">
        <v>44547</v>
      </c>
      <c r="J1863" s="110">
        <v>44597</v>
      </c>
      <c r="K1863" s="110">
        <v>44597</v>
      </c>
      <c r="L1863" s="110">
        <v>45547</v>
      </c>
    </row>
    <row r="1864" spans="1:12" x14ac:dyDescent="0.2">
      <c r="A1864" t="s">
        <v>47</v>
      </c>
      <c r="B1864" t="s">
        <v>106</v>
      </c>
      <c r="C1864" t="s">
        <v>221</v>
      </c>
      <c r="D1864" s="110">
        <v>39793.5</v>
      </c>
      <c r="E1864" s="110">
        <v>39393.5</v>
      </c>
      <c r="F1864" s="110">
        <v>39393.5</v>
      </c>
      <c r="I1864" s="110">
        <v>37573.5</v>
      </c>
      <c r="J1864" s="110">
        <v>38043.5</v>
      </c>
      <c r="K1864" s="110">
        <v>38343.5</v>
      </c>
    </row>
    <row r="1865" spans="1:12" x14ac:dyDescent="0.2">
      <c r="A1865" t="s">
        <v>47</v>
      </c>
      <c r="B1865" t="s">
        <v>106</v>
      </c>
      <c r="C1865" t="s">
        <v>222</v>
      </c>
      <c r="D1865" s="110">
        <v>51579</v>
      </c>
      <c r="E1865" s="110">
        <v>51579</v>
      </c>
      <c r="I1865" s="110">
        <v>48839.5</v>
      </c>
      <c r="J1865" s="110">
        <v>49821.5</v>
      </c>
    </row>
    <row r="1866" spans="1:12" x14ac:dyDescent="0.2">
      <c r="A1866" t="s">
        <v>47</v>
      </c>
      <c r="B1866" t="s">
        <v>106</v>
      </c>
      <c r="C1866" t="s">
        <v>223</v>
      </c>
      <c r="D1866" s="110">
        <v>54278.5</v>
      </c>
      <c r="I1866" s="110">
        <v>49661.5</v>
      </c>
    </row>
    <row r="1867" spans="1:12" x14ac:dyDescent="0.2">
      <c r="A1867" t="s">
        <v>47</v>
      </c>
      <c r="B1867" t="s">
        <v>107</v>
      </c>
      <c r="C1867" t="s">
        <v>220</v>
      </c>
      <c r="D1867" s="110">
        <v>41163</v>
      </c>
      <c r="E1867" s="110">
        <v>41163</v>
      </c>
      <c r="F1867" s="110">
        <v>41163</v>
      </c>
      <c r="G1867" s="110">
        <v>41163</v>
      </c>
      <c r="I1867" s="110">
        <v>41153</v>
      </c>
      <c r="J1867" s="110">
        <v>41163</v>
      </c>
      <c r="K1867" s="110">
        <v>41163</v>
      </c>
      <c r="L1867" s="110">
        <v>41163</v>
      </c>
    </row>
    <row r="1868" spans="1:12" x14ac:dyDescent="0.2">
      <c r="A1868" t="s">
        <v>47</v>
      </c>
      <c r="B1868" t="s">
        <v>107</v>
      </c>
      <c r="C1868" t="s">
        <v>221</v>
      </c>
      <c r="D1868" s="110">
        <v>43129.5</v>
      </c>
      <c r="E1868" s="110">
        <v>43129.5</v>
      </c>
      <c r="F1868" s="110">
        <v>43129.5</v>
      </c>
      <c r="I1868" s="110">
        <v>41714.5</v>
      </c>
      <c r="J1868" s="110">
        <v>42829.5</v>
      </c>
      <c r="K1868" s="110">
        <v>42829.5</v>
      </c>
    </row>
    <row r="1869" spans="1:12" x14ac:dyDescent="0.2">
      <c r="A1869" t="s">
        <v>47</v>
      </c>
      <c r="B1869" t="s">
        <v>107</v>
      </c>
      <c r="C1869" t="s">
        <v>222</v>
      </c>
      <c r="D1869" s="110">
        <v>38137</v>
      </c>
      <c r="E1869" s="110">
        <v>38418</v>
      </c>
      <c r="I1869" s="110">
        <v>37012</v>
      </c>
      <c r="J1869" s="110">
        <v>37717</v>
      </c>
    </row>
    <row r="1870" spans="1:12" x14ac:dyDescent="0.2">
      <c r="A1870" t="s">
        <v>47</v>
      </c>
      <c r="B1870" t="s">
        <v>107</v>
      </c>
      <c r="C1870" t="s">
        <v>223</v>
      </c>
      <c r="D1870" s="110">
        <v>49891</v>
      </c>
      <c r="I1870" s="110">
        <v>48889</v>
      </c>
    </row>
    <row r="1871" spans="1:12" x14ac:dyDescent="0.2">
      <c r="A1871" t="s">
        <v>47</v>
      </c>
      <c r="B1871" t="s">
        <v>108</v>
      </c>
      <c r="C1871" t="s">
        <v>220</v>
      </c>
      <c r="D1871" s="110">
        <v>11018</v>
      </c>
      <c r="E1871" s="110">
        <v>11018</v>
      </c>
      <c r="F1871" s="110">
        <v>11018</v>
      </c>
      <c r="G1871" s="110">
        <v>11018</v>
      </c>
      <c r="I1871" s="110">
        <v>11018</v>
      </c>
      <c r="J1871" s="110">
        <v>11018</v>
      </c>
      <c r="K1871" s="110">
        <v>11018</v>
      </c>
      <c r="L1871" s="110">
        <v>11018</v>
      </c>
    </row>
    <row r="1872" spans="1:12" x14ac:dyDescent="0.2">
      <c r="A1872" t="s">
        <v>47</v>
      </c>
      <c r="B1872" t="s">
        <v>108</v>
      </c>
      <c r="C1872" t="s">
        <v>221</v>
      </c>
      <c r="D1872" s="110">
        <v>13381.5</v>
      </c>
      <c r="E1872" s="110">
        <v>13381.5</v>
      </c>
      <c r="F1872" s="110">
        <v>13381.5</v>
      </c>
      <c r="I1872" s="110">
        <v>13381.5</v>
      </c>
      <c r="J1872" s="110">
        <v>13381.5</v>
      </c>
      <c r="K1872" s="110">
        <v>13381.5</v>
      </c>
    </row>
    <row r="1873" spans="1:12" x14ac:dyDescent="0.2">
      <c r="A1873" t="s">
        <v>47</v>
      </c>
      <c r="B1873" t="s">
        <v>108</v>
      </c>
      <c r="C1873" t="s">
        <v>222</v>
      </c>
      <c r="D1873" s="110">
        <v>13704</v>
      </c>
      <c r="E1873" s="110">
        <v>13704</v>
      </c>
      <c r="I1873" s="110">
        <v>12559</v>
      </c>
      <c r="J1873" s="110">
        <v>13704</v>
      </c>
    </row>
    <row r="1874" spans="1:12" x14ac:dyDescent="0.2">
      <c r="A1874" t="s">
        <v>47</v>
      </c>
      <c r="B1874" t="s">
        <v>108</v>
      </c>
      <c r="C1874" t="s">
        <v>223</v>
      </c>
      <c r="D1874" s="110">
        <v>12226.5</v>
      </c>
      <c r="I1874" s="110">
        <v>11826.5</v>
      </c>
    </row>
    <row r="1875" spans="1:12" x14ac:dyDescent="0.2">
      <c r="A1875" t="s">
        <v>47</v>
      </c>
      <c r="B1875" t="s">
        <v>70</v>
      </c>
      <c r="C1875" t="s">
        <v>220</v>
      </c>
      <c r="D1875" s="110">
        <v>20242.5</v>
      </c>
      <c r="E1875" s="110">
        <v>20242.5</v>
      </c>
      <c r="F1875" s="110">
        <v>20242.5</v>
      </c>
      <c r="G1875" s="110">
        <v>20242.5</v>
      </c>
      <c r="I1875" s="110">
        <v>19274.5</v>
      </c>
      <c r="J1875" s="110">
        <v>19334.5</v>
      </c>
      <c r="K1875" s="110">
        <v>19334.5</v>
      </c>
      <c r="L1875" s="110">
        <v>19334.5</v>
      </c>
    </row>
    <row r="1876" spans="1:12" x14ac:dyDescent="0.2">
      <c r="A1876" t="s">
        <v>47</v>
      </c>
      <c r="B1876" t="s">
        <v>70</v>
      </c>
      <c r="C1876" t="s">
        <v>221</v>
      </c>
      <c r="D1876" s="110">
        <v>27674.5</v>
      </c>
      <c r="E1876" s="110">
        <v>27266.5</v>
      </c>
      <c r="F1876" s="110">
        <v>27266.5</v>
      </c>
      <c r="I1876" s="110">
        <v>26561.5</v>
      </c>
      <c r="J1876" s="110">
        <v>26856.5</v>
      </c>
      <c r="K1876" s="110">
        <v>26856.5</v>
      </c>
    </row>
    <row r="1877" spans="1:12" x14ac:dyDescent="0.2">
      <c r="A1877" t="s">
        <v>47</v>
      </c>
      <c r="B1877" t="s">
        <v>70</v>
      </c>
      <c r="C1877" t="s">
        <v>222</v>
      </c>
      <c r="D1877" s="110">
        <v>27624.5</v>
      </c>
      <c r="E1877" s="110">
        <v>26916.5</v>
      </c>
      <c r="I1877" s="110">
        <v>24973.5</v>
      </c>
      <c r="J1877" s="110">
        <v>25563.5</v>
      </c>
    </row>
    <row r="1878" spans="1:12" x14ac:dyDescent="0.2">
      <c r="A1878" t="s">
        <v>47</v>
      </c>
      <c r="B1878" t="s">
        <v>70</v>
      </c>
      <c r="C1878" t="s">
        <v>223</v>
      </c>
      <c r="D1878" s="110">
        <v>21675.5</v>
      </c>
      <c r="I1878" s="110">
        <v>20301.5</v>
      </c>
    </row>
    <row r="1879" spans="1:12" x14ac:dyDescent="0.2">
      <c r="A1879" t="s">
        <v>47</v>
      </c>
      <c r="B1879" t="s">
        <v>110</v>
      </c>
      <c r="C1879" t="s">
        <v>220</v>
      </c>
      <c r="D1879" s="110">
        <v>156289.79999999999</v>
      </c>
      <c r="E1879" s="110">
        <v>150761.75</v>
      </c>
      <c r="F1879" s="110">
        <v>151517.75</v>
      </c>
      <c r="G1879" s="110">
        <v>151931.75</v>
      </c>
      <c r="I1879" s="110">
        <v>76411.3</v>
      </c>
      <c r="J1879" s="110">
        <v>131193.79999999999</v>
      </c>
      <c r="K1879" s="110">
        <v>136771.04999999999</v>
      </c>
      <c r="L1879" s="110">
        <v>138079.04999999999</v>
      </c>
    </row>
    <row r="1880" spans="1:12" x14ac:dyDescent="0.2">
      <c r="A1880" t="s">
        <v>47</v>
      </c>
      <c r="B1880" t="s">
        <v>110</v>
      </c>
      <c r="C1880" t="s">
        <v>221</v>
      </c>
      <c r="D1880" s="110">
        <v>148413.84</v>
      </c>
      <c r="E1880" s="110">
        <v>142814.87</v>
      </c>
      <c r="F1880" s="110">
        <v>143370.54</v>
      </c>
      <c r="I1880" s="110">
        <v>84698.18</v>
      </c>
      <c r="J1880" s="110">
        <v>117507.47</v>
      </c>
      <c r="K1880" s="110">
        <v>122265.12</v>
      </c>
    </row>
    <row r="1881" spans="1:12" x14ac:dyDescent="0.2">
      <c r="A1881" t="s">
        <v>47</v>
      </c>
      <c r="B1881" t="s">
        <v>110</v>
      </c>
      <c r="C1881" t="s">
        <v>222</v>
      </c>
      <c r="D1881" s="110">
        <v>172298.65</v>
      </c>
      <c r="E1881" s="110">
        <v>162558.54999999999</v>
      </c>
      <c r="I1881" s="110">
        <v>83861.23</v>
      </c>
      <c r="J1881" s="110">
        <v>135782.65</v>
      </c>
    </row>
    <row r="1882" spans="1:12" x14ac:dyDescent="0.2">
      <c r="A1882" t="s">
        <v>47</v>
      </c>
      <c r="B1882" t="s">
        <v>110</v>
      </c>
      <c r="C1882" t="s">
        <v>223</v>
      </c>
      <c r="D1882" s="110">
        <v>179140.65</v>
      </c>
      <c r="I1882" s="110">
        <v>73787.899999999994</v>
      </c>
    </row>
    <row r="1883" spans="1:12" x14ac:dyDescent="0.2">
      <c r="A1883" t="s">
        <v>48</v>
      </c>
      <c r="B1883" t="s">
        <v>104</v>
      </c>
      <c r="C1883" t="s">
        <v>220</v>
      </c>
      <c r="D1883" s="110">
        <v>2762102</v>
      </c>
      <c r="E1883" s="110">
        <v>2721866</v>
      </c>
      <c r="F1883" s="110">
        <v>2706610</v>
      </c>
      <c r="G1883" s="110">
        <v>2697961</v>
      </c>
      <c r="I1883" s="110">
        <v>100205</v>
      </c>
      <c r="J1883" s="110">
        <v>196562</v>
      </c>
      <c r="K1883" s="110">
        <v>253696</v>
      </c>
      <c r="L1883" s="110">
        <v>299719</v>
      </c>
    </row>
    <row r="1884" spans="1:12" x14ac:dyDescent="0.2">
      <c r="A1884" t="s">
        <v>48</v>
      </c>
      <c r="B1884" t="s">
        <v>104</v>
      </c>
      <c r="C1884" t="s">
        <v>221</v>
      </c>
      <c r="D1884" s="110">
        <v>2558547</v>
      </c>
      <c r="E1884" s="110">
        <v>2517121</v>
      </c>
      <c r="F1884" s="110">
        <v>2496645</v>
      </c>
      <c r="I1884" s="110">
        <v>101827</v>
      </c>
      <c r="J1884" s="110">
        <v>186224</v>
      </c>
      <c r="K1884" s="110">
        <v>240219</v>
      </c>
    </row>
    <row r="1885" spans="1:12" x14ac:dyDescent="0.2">
      <c r="A1885" t="s">
        <v>48</v>
      </c>
      <c r="B1885" t="s">
        <v>104</v>
      </c>
      <c r="C1885" t="s">
        <v>222</v>
      </c>
      <c r="D1885" s="110">
        <v>3442205</v>
      </c>
      <c r="E1885" s="110">
        <v>3387228</v>
      </c>
      <c r="I1885" s="110">
        <v>109847</v>
      </c>
      <c r="J1885" s="110">
        <v>181409</v>
      </c>
    </row>
    <row r="1886" spans="1:12" x14ac:dyDescent="0.2">
      <c r="A1886" t="s">
        <v>48</v>
      </c>
      <c r="B1886" t="s">
        <v>104</v>
      </c>
      <c r="C1886" t="s">
        <v>223</v>
      </c>
      <c r="D1886" s="110">
        <v>3892763</v>
      </c>
      <c r="I1886" s="110">
        <v>123775</v>
      </c>
    </row>
    <row r="1887" spans="1:12" x14ac:dyDescent="0.2">
      <c r="A1887" t="s">
        <v>48</v>
      </c>
      <c r="B1887" t="s">
        <v>140</v>
      </c>
      <c r="C1887" t="s">
        <v>220</v>
      </c>
      <c r="D1887" s="110">
        <v>1160109</v>
      </c>
      <c r="E1887" s="110">
        <v>1159389</v>
      </c>
      <c r="F1887" s="110">
        <v>1159189</v>
      </c>
      <c r="G1887" s="110">
        <v>1159149</v>
      </c>
      <c r="I1887" s="110">
        <v>1410</v>
      </c>
      <c r="J1887" s="110">
        <v>2286</v>
      </c>
      <c r="K1887" s="110">
        <v>2706</v>
      </c>
      <c r="L1887" s="110">
        <v>3438</v>
      </c>
    </row>
    <row r="1888" spans="1:12" x14ac:dyDescent="0.2">
      <c r="A1888" t="s">
        <v>48</v>
      </c>
      <c r="B1888" t="s">
        <v>140</v>
      </c>
      <c r="C1888" t="s">
        <v>221</v>
      </c>
      <c r="D1888" s="110">
        <v>980767</v>
      </c>
      <c r="E1888" s="110">
        <v>979667</v>
      </c>
      <c r="F1888" s="110">
        <v>979320</v>
      </c>
      <c r="I1888" s="110">
        <v>1613</v>
      </c>
      <c r="J1888" s="110">
        <v>2526</v>
      </c>
      <c r="K1888" s="110">
        <v>2933</v>
      </c>
    </row>
    <row r="1889" spans="1:12" x14ac:dyDescent="0.2">
      <c r="A1889" t="s">
        <v>48</v>
      </c>
      <c r="B1889" t="s">
        <v>140</v>
      </c>
      <c r="C1889" t="s">
        <v>222</v>
      </c>
      <c r="D1889" s="110">
        <v>1706950</v>
      </c>
      <c r="E1889" s="110">
        <v>1706325</v>
      </c>
      <c r="I1889" s="110">
        <v>1795</v>
      </c>
      <c r="J1889" s="110">
        <v>2132</v>
      </c>
    </row>
    <row r="1890" spans="1:12" x14ac:dyDescent="0.2">
      <c r="A1890" t="s">
        <v>48</v>
      </c>
      <c r="B1890" t="s">
        <v>140</v>
      </c>
      <c r="C1890" t="s">
        <v>223</v>
      </c>
      <c r="D1890" s="110">
        <v>2290377</v>
      </c>
      <c r="I1890" s="110">
        <v>3790</v>
      </c>
    </row>
    <row r="1891" spans="1:12" x14ac:dyDescent="0.2">
      <c r="A1891" t="s">
        <v>48</v>
      </c>
      <c r="B1891" t="s">
        <v>105</v>
      </c>
      <c r="C1891" t="s">
        <v>220</v>
      </c>
      <c r="D1891" s="110">
        <v>873351</v>
      </c>
      <c r="E1891" s="110">
        <v>838306</v>
      </c>
      <c r="F1891" s="110">
        <v>831781</v>
      </c>
      <c r="G1891" s="110">
        <v>830691</v>
      </c>
      <c r="I1891" s="110">
        <v>107438</v>
      </c>
      <c r="J1891" s="110">
        <v>184919</v>
      </c>
      <c r="K1891" s="110">
        <v>226142</v>
      </c>
      <c r="L1891" s="110">
        <v>250403</v>
      </c>
    </row>
    <row r="1892" spans="1:12" x14ac:dyDescent="0.2">
      <c r="A1892" t="s">
        <v>48</v>
      </c>
      <c r="B1892" t="s">
        <v>105</v>
      </c>
      <c r="C1892" t="s">
        <v>221</v>
      </c>
      <c r="D1892" s="110">
        <v>974452</v>
      </c>
      <c r="E1892" s="110">
        <v>933597</v>
      </c>
      <c r="F1892" s="110">
        <v>931032</v>
      </c>
      <c r="I1892" s="110">
        <v>130184</v>
      </c>
      <c r="J1892" s="110">
        <v>198532</v>
      </c>
      <c r="K1892" s="110">
        <v>245722</v>
      </c>
    </row>
    <row r="1893" spans="1:12" x14ac:dyDescent="0.2">
      <c r="A1893" t="s">
        <v>48</v>
      </c>
      <c r="B1893" t="s">
        <v>105</v>
      </c>
      <c r="C1893" t="s">
        <v>222</v>
      </c>
      <c r="D1893" s="110">
        <v>981714</v>
      </c>
      <c r="E1893" s="110">
        <v>950499</v>
      </c>
      <c r="I1893" s="110">
        <v>130645</v>
      </c>
      <c r="J1893" s="110">
        <v>197520</v>
      </c>
    </row>
    <row r="1894" spans="1:12" x14ac:dyDescent="0.2">
      <c r="A1894" t="s">
        <v>48</v>
      </c>
      <c r="B1894" t="s">
        <v>105</v>
      </c>
      <c r="C1894" t="s">
        <v>223</v>
      </c>
      <c r="D1894" s="110">
        <v>755280</v>
      </c>
      <c r="I1894" s="110">
        <v>102665</v>
      </c>
    </row>
    <row r="1895" spans="1:12" x14ac:dyDescent="0.2">
      <c r="A1895" t="s">
        <v>48</v>
      </c>
      <c r="B1895" t="s">
        <v>111</v>
      </c>
      <c r="C1895" t="s">
        <v>220</v>
      </c>
      <c r="D1895" s="110">
        <v>160583</v>
      </c>
      <c r="E1895" s="110">
        <v>153227</v>
      </c>
      <c r="F1895" s="110">
        <v>135921</v>
      </c>
      <c r="G1895" s="110">
        <v>119824</v>
      </c>
      <c r="I1895" s="110">
        <v>4750</v>
      </c>
      <c r="J1895" s="110">
        <v>8058</v>
      </c>
      <c r="K1895" s="110">
        <v>8974</v>
      </c>
      <c r="L1895" s="110">
        <v>9782</v>
      </c>
    </row>
    <row r="1896" spans="1:12" x14ac:dyDescent="0.2">
      <c r="A1896" t="s">
        <v>48</v>
      </c>
      <c r="B1896" t="s">
        <v>111</v>
      </c>
      <c r="C1896" t="s">
        <v>221</v>
      </c>
      <c r="D1896" s="110">
        <v>148638</v>
      </c>
      <c r="E1896" s="110">
        <v>141127</v>
      </c>
      <c r="F1896" s="110">
        <v>125173</v>
      </c>
      <c r="I1896" s="110">
        <v>4643</v>
      </c>
      <c r="J1896" s="110">
        <v>5785</v>
      </c>
      <c r="K1896" s="110">
        <v>7389</v>
      </c>
    </row>
    <row r="1897" spans="1:12" x14ac:dyDescent="0.2">
      <c r="A1897" t="s">
        <v>48</v>
      </c>
      <c r="B1897" t="s">
        <v>111</v>
      </c>
      <c r="C1897" t="s">
        <v>222</v>
      </c>
      <c r="D1897" s="110">
        <v>93711</v>
      </c>
      <c r="E1897" s="110">
        <v>87083</v>
      </c>
      <c r="I1897" s="110">
        <v>3907</v>
      </c>
      <c r="J1897" s="110">
        <v>4728</v>
      </c>
    </row>
    <row r="1898" spans="1:12" x14ac:dyDescent="0.2">
      <c r="A1898" t="s">
        <v>48</v>
      </c>
      <c r="B1898" t="s">
        <v>111</v>
      </c>
      <c r="C1898" t="s">
        <v>223</v>
      </c>
      <c r="D1898" s="110">
        <v>57890</v>
      </c>
      <c r="I1898" s="110">
        <v>2478</v>
      </c>
    </row>
    <row r="1899" spans="1:12" x14ac:dyDescent="0.2">
      <c r="A1899" t="s">
        <v>48</v>
      </c>
      <c r="B1899" t="s">
        <v>109</v>
      </c>
      <c r="C1899" t="s">
        <v>220</v>
      </c>
      <c r="D1899" s="110">
        <v>1134007</v>
      </c>
      <c r="E1899" s="110">
        <v>1126748</v>
      </c>
      <c r="F1899" s="110">
        <v>1125160</v>
      </c>
      <c r="G1899" s="110">
        <v>1123793</v>
      </c>
      <c r="I1899" s="110">
        <v>284818</v>
      </c>
      <c r="J1899" s="110">
        <v>436162</v>
      </c>
      <c r="K1899" s="110">
        <v>529850</v>
      </c>
      <c r="L1899" s="110">
        <v>580205</v>
      </c>
    </row>
    <row r="1900" spans="1:12" x14ac:dyDescent="0.2">
      <c r="A1900" t="s">
        <v>48</v>
      </c>
      <c r="B1900" t="s">
        <v>109</v>
      </c>
      <c r="C1900" t="s">
        <v>221</v>
      </c>
      <c r="D1900" s="110">
        <v>1104733</v>
      </c>
      <c r="E1900" s="110">
        <v>1097817</v>
      </c>
      <c r="F1900" s="110">
        <v>1095474</v>
      </c>
      <c r="I1900" s="110">
        <v>296167</v>
      </c>
      <c r="J1900" s="110">
        <v>418958</v>
      </c>
      <c r="K1900" s="110">
        <v>492183</v>
      </c>
    </row>
    <row r="1901" spans="1:12" x14ac:dyDescent="0.2">
      <c r="A1901" t="s">
        <v>48</v>
      </c>
      <c r="B1901" t="s">
        <v>109</v>
      </c>
      <c r="C1901" t="s">
        <v>222</v>
      </c>
      <c r="D1901" s="110">
        <v>1077355</v>
      </c>
      <c r="E1901" s="110">
        <v>1068059</v>
      </c>
      <c r="I1901" s="110">
        <v>291589</v>
      </c>
      <c r="J1901" s="110">
        <v>420014</v>
      </c>
    </row>
    <row r="1902" spans="1:12" x14ac:dyDescent="0.2">
      <c r="A1902" t="s">
        <v>48</v>
      </c>
      <c r="B1902" t="s">
        <v>109</v>
      </c>
      <c r="C1902" t="s">
        <v>223</v>
      </c>
      <c r="D1902" s="110">
        <v>944832</v>
      </c>
      <c r="I1902" s="110">
        <v>246226</v>
      </c>
    </row>
    <row r="1903" spans="1:12" x14ac:dyDescent="0.2">
      <c r="A1903" t="s">
        <v>48</v>
      </c>
      <c r="B1903" t="s">
        <v>106</v>
      </c>
      <c r="C1903" t="s">
        <v>220</v>
      </c>
      <c r="D1903" s="110">
        <v>2183422</v>
      </c>
      <c r="E1903" s="110">
        <v>2180839</v>
      </c>
      <c r="F1903" s="110">
        <v>2174206</v>
      </c>
      <c r="G1903" s="110">
        <v>2174206</v>
      </c>
      <c r="I1903" s="110">
        <v>2172827</v>
      </c>
      <c r="J1903" s="110">
        <v>2173854</v>
      </c>
      <c r="K1903" s="110">
        <v>2166870</v>
      </c>
      <c r="L1903" s="110">
        <v>2166871</v>
      </c>
    </row>
    <row r="1904" spans="1:12" x14ac:dyDescent="0.2">
      <c r="A1904" t="s">
        <v>48</v>
      </c>
      <c r="B1904" t="s">
        <v>106</v>
      </c>
      <c r="C1904" t="s">
        <v>221</v>
      </c>
      <c r="D1904" s="110">
        <v>2465274</v>
      </c>
      <c r="E1904" s="110">
        <v>2462271</v>
      </c>
      <c r="F1904" s="110">
        <v>2462271</v>
      </c>
      <c r="I1904" s="110">
        <v>2441508</v>
      </c>
      <c r="J1904" s="110">
        <v>2446458</v>
      </c>
      <c r="K1904" s="110">
        <v>2447105</v>
      </c>
    </row>
    <row r="1905" spans="1:12" x14ac:dyDescent="0.2">
      <c r="A1905" t="s">
        <v>48</v>
      </c>
      <c r="B1905" t="s">
        <v>106</v>
      </c>
      <c r="C1905" t="s">
        <v>222</v>
      </c>
      <c r="D1905" s="110">
        <v>2501504</v>
      </c>
      <c r="E1905" s="110">
        <v>2496886</v>
      </c>
      <c r="I1905" s="110">
        <v>2480513</v>
      </c>
      <c r="J1905" s="110">
        <v>2482381</v>
      </c>
    </row>
    <row r="1906" spans="1:12" x14ac:dyDescent="0.2">
      <c r="A1906" t="s">
        <v>48</v>
      </c>
      <c r="B1906" t="s">
        <v>106</v>
      </c>
      <c r="C1906" t="s">
        <v>223</v>
      </c>
      <c r="D1906" s="110">
        <v>2307705</v>
      </c>
      <c r="I1906" s="110">
        <v>2286674</v>
      </c>
    </row>
    <row r="1907" spans="1:12" x14ac:dyDescent="0.2">
      <c r="A1907" t="s">
        <v>48</v>
      </c>
      <c r="B1907" t="s">
        <v>107</v>
      </c>
      <c r="C1907" t="s">
        <v>220</v>
      </c>
      <c r="D1907" s="110">
        <v>2540087</v>
      </c>
      <c r="E1907" s="110">
        <v>2537514</v>
      </c>
      <c r="F1907" s="110">
        <v>2537204</v>
      </c>
      <c r="G1907" s="110">
        <v>2537204</v>
      </c>
      <c r="I1907" s="110">
        <v>2535849</v>
      </c>
      <c r="J1907" s="110">
        <v>2534268</v>
      </c>
      <c r="K1907" s="110">
        <v>2534393</v>
      </c>
      <c r="L1907" s="110">
        <v>2534416</v>
      </c>
    </row>
    <row r="1908" spans="1:12" x14ac:dyDescent="0.2">
      <c r="A1908" t="s">
        <v>48</v>
      </c>
      <c r="B1908" t="s">
        <v>107</v>
      </c>
      <c r="C1908" t="s">
        <v>221</v>
      </c>
      <c r="D1908" s="110">
        <v>2882158</v>
      </c>
      <c r="E1908" s="110">
        <v>2882050</v>
      </c>
      <c r="F1908" s="110">
        <v>2882050</v>
      </c>
      <c r="I1908" s="110">
        <v>2875588</v>
      </c>
      <c r="J1908" s="110">
        <v>2877216</v>
      </c>
      <c r="K1908" s="110">
        <v>2877216</v>
      </c>
    </row>
    <row r="1909" spans="1:12" x14ac:dyDescent="0.2">
      <c r="A1909" t="s">
        <v>48</v>
      </c>
      <c r="B1909" t="s">
        <v>107</v>
      </c>
      <c r="C1909" t="s">
        <v>222</v>
      </c>
      <c r="D1909" s="110">
        <v>2972417</v>
      </c>
      <c r="E1909" s="110">
        <v>2971717</v>
      </c>
      <c r="I1909" s="110">
        <v>2968801</v>
      </c>
      <c r="J1909" s="110">
        <v>2969063</v>
      </c>
    </row>
    <row r="1910" spans="1:12" x14ac:dyDescent="0.2">
      <c r="A1910" t="s">
        <v>48</v>
      </c>
      <c r="B1910" t="s">
        <v>107</v>
      </c>
      <c r="C1910" t="s">
        <v>223</v>
      </c>
      <c r="D1910" s="110">
        <v>3021317</v>
      </c>
      <c r="I1910" s="110">
        <v>3016652</v>
      </c>
    </row>
    <row r="1911" spans="1:12" x14ac:dyDescent="0.2">
      <c r="A1911" t="s">
        <v>48</v>
      </c>
      <c r="B1911" t="s">
        <v>108</v>
      </c>
      <c r="C1911" t="s">
        <v>220</v>
      </c>
      <c r="D1911" s="110">
        <v>259061</v>
      </c>
      <c r="E1911" s="110">
        <v>256937</v>
      </c>
      <c r="F1911" s="110">
        <v>256937</v>
      </c>
      <c r="G1911" s="110">
        <v>256937</v>
      </c>
      <c r="I1911" s="110">
        <v>253886</v>
      </c>
      <c r="J1911" s="110">
        <v>253587</v>
      </c>
      <c r="K1911" s="110">
        <v>253695</v>
      </c>
      <c r="L1911" s="110">
        <v>253695</v>
      </c>
    </row>
    <row r="1912" spans="1:12" x14ac:dyDescent="0.2">
      <c r="A1912" t="s">
        <v>48</v>
      </c>
      <c r="B1912" t="s">
        <v>108</v>
      </c>
      <c r="C1912" t="s">
        <v>221</v>
      </c>
      <c r="D1912" s="110">
        <v>304569</v>
      </c>
      <c r="E1912" s="110">
        <v>304169</v>
      </c>
      <c r="F1912" s="110">
        <v>303879</v>
      </c>
      <c r="I1912" s="110">
        <v>300449</v>
      </c>
      <c r="J1912" s="110">
        <v>300449</v>
      </c>
      <c r="K1912" s="110">
        <v>300449</v>
      </c>
    </row>
    <row r="1913" spans="1:12" x14ac:dyDescent="0.2">
      <c r="A1913" t="s">
        <v>48</v>
      </c>
      <c r="B1913" t="s">
        <v>108</v>
      </c>
      <c r="C1913" t="s">
        <v>222</v>
      </c>
      <c r="D1913" s="110">
        <v>296252</v>
      </c>
      <c r="E1913" s="110">
        <v>294810</v>
      </c>
      <c r="I1913" s="110">
        <v>291431</v>
      </c>
      <c r="J1913" s="110">
        <v>291594</v>
      </c>
    </row>
    <row r="1914" spans="1:12" x14ac:dyDescent="0.2">
      <c r="A1914" t="s">
        <v>48</v>
      </c>
      <c r="B1914" t="s">
        <v>108</v>
      </c>
      <c r="C1914" t="s">
        <v>223</v>
      </c>
      <c r="D1914" s="110">
        <v>266341</v>
      </c>
      <c r="I1914" s="110">
        <v>258721</v>
      </c>
    </row>
    <row r="1915" spans="1:12" x14ac:dyDescent="0.2">
      <c r="A1915" t="s">
        <v>48</v>
      </c>
      <c r="B1915" t="s">
        <v>70</v>
      </c>
      <c r="C1915" t="s">
        <v>220</v>
      </c>
      <c r="D1915" s="110">
        <v>607001</v>
      </c>
      <c r="E1915" s="110">
        <v>603945</v>
      </c>
      <c r="F1915" s="110">
        <v>603225</v>
      </c>
      <c r="G1915" s="110">
        <v>603165</v>
      </c>
      <c r="I1915" s="110">
        <v>559196</v>
      </c>
      <c r="J1915" s="110">
        <v>569010</v>
      </c>
      <c r="K1915" s="110">
        <v>570308</v>
      </c>
      <c r="L1915" s="110">
        <v>571126</v>
      </c>
    </row>
    <row r="1916" spans="1:12" x14ac:dyDescent="0.2">
      <c r="A1916" t="s">
        <v>48</v>
      </c>
      <c r="B1916" t="s">
        <v>70</v>
      </c>
      <c r="C1916" t="s">
        <v>221</v>
      </c>
      <c r="D1916" s="110">
        <v>668512</v>
      </c>
      <c r="E1916" s="110">
        <v>662903</v>
      </c>
      <c r="F1916" s="110">
        <v>661143</v>
      </c>
      <c r="I1916" s="110">
        <v>611035</v>
      </c>
      <c r="J1916" s="110">
        <v>624170</v>
      </c>
      <c r="K1916" s="110">
        <v>624196</v>
      </c>
    </row>
    <row r="1917" spans="1:12" x14ac:dyDescent="0.2">
      <c r="A1917" t="s">
        <v>48</v>
      </c>
      <c r="B1917" t="s">
        <v>70</v>
      </c>
      <c r="C1917" t="s">
        <v>222</v>
      </c>
      <c r="D1917" s="110">
        <v>691717</v>
      </c>
      <c r="E1917" s="110">
        <v>687908</v>
      </c>
      <c r="I1917" s="110">
        <v>646965</v>
      </c>
      <c r="J1917" s="110">
        <v>654127</v>
      </c>
    </row>
    <row r="1918" spans="1:12" x14ac:dyDescent="0.2">
      <c r="A1918" t="s">
        <v>48</v>
      </c>
      <c r="B1918" t="s">
        <v>70</v>
      </c>
      <c r="C1918" t="s">
        <v>223</v>
      </c>
      <c r="D1918" s="110">
        <v>643024</v>
      </c>
      <c r="I1918" s="110">
        <v>584587</v>
      </c>
    </row>
    <row r="1919" spans="1:12" x14ac:dyDescent="0.2">
      <c r="A1919" t="s">
        <v>48</v>
      </c>
      <c r="B1919" t="s">
        <v>110</v>
      </c>
      <c r="C1919" t="s">
        <v>220</v>
      </c>
      <c r="D1919" s="110">
        <v>12868470</v>
      </c>
      <c r="E1919" s="110">
        <v>11794592</v>
      </c>
      <c r="F1919" s="110">
        <v>11753632</v>
      </c>
      <c r="G1919" s="110">
        <v>11743018</v>
      </c>
      <c r="I1919" s="110">
        <v>4217004</v>
      </c>
      <c r="J1919" s="110">
        <v>7085235</v>
      </c>
      <c r="K1919" s="110">
        <v>7827431</v>
      </c>
      <c r="L1919" s="110">
        <v>8411631</v>
      </c>
    </row>
    <row r="1920" spans="1:12" x14ac:dyDescent="0.2">
      <c r="A1920" t="s">
        <v>48</v>
      </c>
      <c r="B1920" t="s">
        <v>110</v>
      </c>
      <c r="C1920" t="s">
        <v>221</v>
      </c>
      <c r="D1920" s="110">
        <v>14473993</v>
      </c>
      <c r="E1920" s="110">
        <v>13134875</v>
      </c>
      <c r="F1920" s="110">
        <v>13089636</v>
      </c>
      <c r="I1920" s="110">
        <v>5172799</v>
      </c>
      <c r="J1920" s="110">
        <v>8347606</v>
      </c>
      <c r="K1920" s="110">
        <v>9138045</v>
      </c>
    </row>
    <row r="1921" spans="1:12" x14ac:dyDescent="0.2">
      <c r="A1921" t="s">
        <v>48</v>
      </c>
      <c r="B1921" t="s">
        <v>110</v>
      </c>
      <c r="C1921" t="s">
        <v>222</v>
      </c>
      <c r="D1921" s="110">
        <v>13794192</v>
      </c>
      <c r="E1921" s="110">
        <v>12673885</v>
      </c>
      <c r="I1921" s="110">
        <v>4478095</v>
      </c>
      <c r="J1921" s="110">
        <v>7023270</v>
      </c>
    </row>
    <row r="1922" spans="1:12" x14ac:dyDescent="0.2">
      <c r="A1922" t="s">
        <v>48</v>
      </c>
      <c r="B1922" t="s">
        <v>110</v>
      </c>
      <c r="C1922" t="s">
        <v>223</v>
      </c>
      <c r="D1922" s="110">
        <v>13836323</v>
      </c>
      <c r="I1922" s="110">
        <v>4046562</v>
      </c>
    </row>
    <row r="1923" spans="1:12" x14ac:dyDescent="0.2">
      <c r="A1923" t="s">
        <v>49</v>
      </c>
      <c r="B1923" t="s">
        <v>104</v>
      </c>
      <c r="C1923" t="s">
        <v>220</v>
      </c>
      <c r="D1923" s="110">
        <v>4095946.53</v>
      </c>
      <c r="E1923" s="110">
        <v>4090406.51</v>
      </c>
      <c r="F1923" s="110">
        <v>4092842.92</v>
      </c>
      <c r="G1923" s="110">
        <v>4081874.92</v>
      </c>
      <c r="I1923" s="110">
        <v>124145.58</v>
      </c>
      <c r="J1923" s="110">
        <v>162721</v>
      </c>
      <c r="K1923" s="110">
        <v>188835.67</v>
      </c>
      <c r="L1923" s="110">
        <v>216611.99</v>
      </c>
    </row>
    <row r="1924" spans="1:12" x14ac:dyDescent="0.2">
      <c r="A1924" t="s">
        <v>49</v>
      </c>
      <c r="B1924" t="s">
        <v>104</v>
      </c>
      <c r="C1924" t="s">
        <v>221</v>
      </c>
      <c r="D1924" s="110">
        <v>2521517.96</v>
      </c>
      <c r="E1924" s="110">
        <v>2521461.9500000002</v>
      </c>
      <c r="F1924" s="110">
        <v>2519743.25</v>
      </c>
      <c r="I1924" s="110">
        <v>117470.02</v>
      </c>
      <c r="J1924" s="110">
        <v>151068.42000000001</v>
      </c>
      <c r="K1924" s="110">
        <v>180213.49</v>
      </c>
    </row>
    <row r="1925" spans="1:12" x14ac:dyDescent="0.2">
      <c r="A1925" t="s">
        <v>49</v>
      </c>
      <c r="B1925" t="s">
        <v>104</v>
      </c>
      <c r="C1925" t="s">
        <v>222</v>
      </c>
      <c r="D1925" s="110">
        <v>1849349.58</v>
      </c>
      <c r="E1925" s="110">
        <v>1844036.18</v>
      </c>
      <c r="I1925" s="110">
        <v>200132.34</v>
      </c>
      <c r="J1925" s="110">
        <v>229350.74</v>
      </c>
    </row>
    <row r="1926" spans="1:12" x14ac:dyDescent="0.2">
      <c r="A1926" t="s">
        <v>49</v>
      </c>
      <c r="B1926" t="s">
        <v>104</v>
      </c>
      <c r="C1926" t="s">
        <v>223</v>
      </c>
      <c r="D1926" s="110">
        <v>3664895.45</v>
      </c>
      <c r="I1926" s="110">
        <v>95722.99</v>
      </c>
    </row>
    <row r="1927" spans="1:12" x14ac:dyDescent="0.2">
      <c r="A1927" t="s">
        <v>49</v>
      </c>
      <c r="B1927" t="s">
        <v>140</v>
      </c>
      <c r="C1927" t="s">
        <v>220</v>
      </c>
      <c r="D1927" s="110">
        <v>3178005.61</v>
      </c>
      <c r="E1927" s="110">
        <v>3176916.59</v>
      </c>
      <c r="F1927" s="110">
        <v>3180763.15</v>
      </c>
      <c r="G1927" s="110">
        <v>3180763.15</v>
      </c>
      <c r="I1927" s="110">
        <v>555.38</v>
      </c>
      <c r="J1927" s="110">
        <v>740.19</v>
      </c>
      <c r="K1927" s="110">
        <v>884.42</v>
      </c>
      <c r="L1927" s="110">
        <v>1329.88</v>
      </c>
    </row>
    <row r="1928" spans="1:12" x14ac:dyDescent="0.2">
      <c r="A1928" t="s">
        <v>49</v>
      </c>
      <c r="B1928" t="s">
        <v>140</v>
      </c>
      <c r="C1928" t="s">
        <v>221</v>
      </c>
      <c r="D1928" s="110">
        <v>1608447.79</v>
      </c>
      <c r="E1928" s="110">
        <v>1612494.84</v>
      </c>
      <c r="F1928" s="110">
        <v>1612494.84</v>
      </c>
      <c r="I1928" s="110">
        <v>594.89</v>
      </c>
      <c r="J1928" s="110">
        <v>728.08</v>
      </c>
      <c r="K1928" s="110">
        <v>780</v>
      </c>
    </row>
    <row r="1929" spans="1:12" x14ac:dyDescent="0.2">
      <c r="A1929" t="s">
        <v>49</v>
      </c>
      <c r="B1929" t="s">
        <v>140</v>
      </c>
      <c r="C1929" t="s">
        <v>222</v>
      </c>
      <c r="D1929" s="110">
        <v>994516.85</v>
      </c>
      <c r="E1929" s="110">
        <v>994191.85</v>
      </c>
      <c r="I1929" s="110">
        <v>81925.45</v>
      </c>
      <c r="J1929" s="110">
        <v>82064.679999999993</v>
      </c>
    </row>
    <row r="1930" spans="1:12" x14ac:dyDescent="0.2">
      <c r="A1930" t="s">
        <v>49</v>
      </c>
      <c r="B1930" t="s">
        <v>140</v>
      </c>
      <c r="C1930" t="s">
        <v>223</v>
      </c>
      <c r="D1930" s="110">
        <v>2711612.84</v>
      </c>
      <c r="I1930" s="110">
        <v>505.94</v>
      </c>
    </row>
    <row r="1931" spans="1:12" x14ac:dyDescent="0.2">
      <c r="A1931" t="s">
        <v>49</v>
      </c>
      <c r="B1931" t="s">
        <v>105</v>
      </c>
      <c r="C1931" t="s">
        <v>220</v>
      </c>
      <c r="D1931" s="110">
        <v>287464.46999999997</v>
      </c>
      <c r="E1931" s="110">
        <v>283608.67</v>
      </c>
      <c r="F1931" s="110">
        <v>281291.96999999997</v>
      </c>
      <c r="G1931" s="110">
        <v>280836.67</v>
      </c>
      <c r="I1931" s="110">
        <v>78936.649999999994</v>
      </c>
      <c r="J1931" s="110">
        <v>113323.24</v>
      </c>
      <c r="K1931" s="110">
        <v>131963.5</v>
      </c>
      <c r="L1931" s="110">
        <v>140055.69</v>
      </c>
    </row>
    <row r="1932" spans="1:12" x14ac:dyDescent="0.2">
      <c r="A1932" t="s">
        <v>49</v>
      </c>
      <c r="B1932" t="s">
        <v>105</v>
      </c>
      <c r="C1932" t="s">
        <v>221</v>
      </c>
      <c r="D1932" s="110">
        <v>342228.9</v>
      </c>
      <c r="E1932" s="110">
        <v>332286.69</v>
      </c>
      <c r="F1932" s="110">
        <v>330883.69</v>
      </c>
      <c r="I1932" s="110">
        <v>65868.95</v>
      </c>
      <c r="J1932" s="110">
        <v>114907.54</v>
      </c>
      <c r="K1932" s="110">
        <v>140538.35999999999</v>
      </c>
    </row>
    <row r="1933" spans="1:12" x14ac:dyDescent="0.2">
      <c r="A1933" t="s">
        <v>49</v>
      </c>
      <c r="B1933" t="s">
        <v>105</v>
      </c>
      <c r="C1933" t="s">
        <v>222</v>
      </c>
      <c r="D1933" s="110">
        <v>439193.99</v>
      </c>
      <c r="E1933" s="110">
        <v>428802.49</v>
      </c>
      <c r="I1933" s="110">
        <v>77336.039999999994</v>
      </c>
      <c r="J1933" s="110">
        <v>122978.46</v>
      </c>
    </row>
    <row r="1934" spans="1:12" x14ac:dyDescent="0.2">
      <c r="A1934" t="s">
        <v>49</v>
      </c>
      <c r="B1934" t="s">
        <v>105</v>
      </c>
      <c r="C1934" t="s">
        <v>223</v>
      </c>
      <c r="D1934" s="110">
        <v>263811.69</v>
      </c>
      <c r="I1934" s="110">
        <v>43781.35</v>
      </c>
    </row>
    <row r="1935" spans="1:12" x14ac:dyDescent="0.2">
      <c r="A1935" t="s">
        <v>49</v>
      </c>
      <c r="B1935" t="s">
        <v>111</v>
      </c>
      <c r="C1935" t="s">
        <v>220</v>
      </c>
      <c r="D1935" s="110">
        <v>30186.85</v>
      </c>
      <c r="E1935" s="110">
        <v>28946.85</v>
      </c>
      <c r="F1935" s="110">
        <v>25513.83</v>
      </c>
      <c r="G1935" s="110">
        <v>23719.24</v>
      </c>
      <c r="I1935" s="110">
        <v>1372</v>
      </c>
      <c r="J1935" s="110">
        <v>2122</v>
      </c>
      <c r="K1935" s="110">
        <v>2521.38</v>
      </c>
      <c r="L1935" s="110">
        <v>2666.38</v>
      </c>
    </row>
    <row r="1936" spans="1:12" x14ac:dyDescent="0.2">
      <c r="A1936" t="s">
        <v>49</v>
      </c>
      <c r="B1936" t="s">
        <v>111</v>
      </c>
      <c r="C1936" t="s">
        <v>221</v>
      </c>
      <c r="D1936" s="110">
        <v>19953.86</v>
      </c>
      <c r="E1936" s="110">
        <v>18172.939999999999</v>
      </c>
      <c r="F1936" s="110">
        <v>16940.04</v>
      </c>
      <c r="I1936" s="110">
        <v>512.94000000000005</v>
      </c>
      <c r="J1936" s="110">
        <v>1427.94</v>
      </c>
      <c r="K1936" s="110">
        <v>1577.94</v>
      </c>
    </row>
    <row r="1937" spans="1:12" x14ac:dyDescent="0.2">
      <c r="A1937" t="s">
        <v>49</v>
      </c>
      <c r="B1937" t="s">
        <v>111</v>
      </c>
      <c r="C1937" t="s">
        <v>222</v>
      </c>
      <c r="D1937" s="110">
        <v>44519.7</v>
      </c>
      <c r="E1937" s="110">
        <v>41533.199999999997</v>
      </c>
      <c r="I1937" s="110">
        <v>2055.4699999999998</v>
      </c>
      <c r="J1937" s="110">
        <v>2285.9699999999998</v>
      </c>
    </row>
    <row r="1938" spans="1:12" x14ac:dyDescent="0.2">
      <c r="A1938" t="s">
        <v>49</v>
      </c>
      <c r="B1938" t="s">
        <v>111</v>
      </c>
      <c r="C1938" t="s">
        <v>223</v>
      </c>
      <c r="D1938" s="110">
        <v>15799.16</v>
      </c>
      <c r="I1938" s="110">
        <v>525.04999999999995</v>
      </c>
    </row>
    <row r="1939" spans="1:12" x14ac:dyDescent="0.2">
      <c r="A1939" t="s">
        <v>49</v>
      </c>
      <c r="B1939" t="s">
        <v>109</v>
      </c>
      <c r="C1939" t="s">
        <v>220</v>
      </c>
      <c r="D1939" s="110">
        <v>377763.47</v>
      </c>
      <c r="E1939" s="110">
        <v>378034.97</v>
      </c>
      <c r="F1939" s="110">
        <v>376147.97</v>
      </c>
      <c r="G1939" s="110">
        <v>375818.97</v>
      </c>
      <c r="I1939" s="110">
        <v>136836.04999999999</v>
      </c>
      <c r="J1939" s="110">
        <v>187080.07</v>
      </c>
      <c r="K1939" s="110">
        <v>215437.06</v>
      </c>
      <c r="L1939" s="110">
        <v>224634.32</v>
      </c>
    </row>
    <row r="1940" spans="1:12" x14ac:dyDescent="0.2">
      <c r="A1940" t="s">
        <v>49</v>
      </c>
      <c r="B1940" t="s">
        <v>109</v>
      </c>
      <c r="C1940" t="s">
        <v>221</v>
      </c>
      <c r="D1940" s="110">
        <v>342586.31</v>
      </c>
      <c r="E1940" s="110">
        <v>339498.31</v>
      </c>
      <c r="F1940" s="110">
        <v>339235.32</v>
      </c>
      <c r="I1940" s="110">
        <v>110153.11</v>
      </c>
      <c r="J1940" s="110">
        <v>168166.75</v>
      </c>
      <c r="K1940" s="110">
        <v>192527.83</v>
      </c>
    </row>
    <row r="1941" spans="1:12" x14ac:dyDescent="0.2">
      <c r="A1941" t="s">
        <v>49</v>
      </c>
      <c r="B1941" t="s">
        <v>109</v>
      </c>
      <c r="C1941" t="s">
        <v>222</v>
      </c>
      <c r="D1941" s="110">
        <v>396058.3</v>
      </c>
      <c r="E1941" s="110">
        <v>391034.68</v>
      </c>
      <c r="I1941" s="110">
        <v>106163.12</v>
      </c>
      <c r="J1941" s="110">
        <v>171869.81</v>
      </c>
    </row>
    <row r="1942" spans="1:12" x14ac:dyDescent="0.2">
      <c r="A1942" t="s">
        <v>49</v>
      </c>
      <c r="B1942" t="s">
        <v>109</v>
      </c>
      <c r="C1942" t="s">
        <v>223</v>
      </c>
      <c r="D1942" s="110">
        <v>355605.48</v>
      </c>
      <c r="I1942" s="110">
        <v>84772.21</v>
      </c>
    </row>
    <row r="1943" spans="1:12" x14ac:dyDescent="0.2">
      <c r="A1943" t="s">
        <v>49</v>
      </c>
      <c r="B1943" t="s">
        <v>106</v>
      </c>
      <c r="C1943" t="s">
        <v>220</v>
      </c>
      <c r="D1943" s="110">
        <v>681066.33</v>
      </c>
      <c r="E1943" s="110">
        <v>681015.33</v>
      </c>
      <c r="F1943" s="110">
        <v>681045.33</v>
      </c>
      <c r="G1943" s="110">
        <v>679235.33</v>
      </c>
      <c r="I1943" s="110">
        <v>659390.01</v>
      </c>
      <c r="J1943" s="110">
        <v>671321.01</v>
      </c>
      <c r="K1943" s="110">
        <v>671732.48</v>
      </c>
      <c r="L1943" s="110">
        <v>670030.81000000006</v>
      </c>
    </row>
    <row r="1944" spans="1:12" x14ac:dyDescent="0.2">
      <c r="A1944" t="s">
        <v>49</v>
      </c>
      <c r="B1944" t="s">
        <v>106</v>
      </c>
      <c r="C1944" t="s">
        <v>221</v>
      </c>
      <c r="D1944" s="110">
        <v>701407.39</v>
      </c>
      <c r="E1944" s="110">
        <v>699387.39</v>
      </c>
      <c r="F1944" s="110">
        <v>697712.39</v>
      </c>
      <c r="I1944" s="110">
        <v>672428.11</v>
      </c>
      <c r="J1944" s="110">
        <v>692259.97</v>
      </c>
      <c r="K1944" s="110">
        <v>690672.25</v>
      </c>
    </row>
    <row r="1945" spans="1:12" x14ac:dyDescent="0.2">
      <c r="A1945" t="s">
        <v>49</v>
      </c>
      <c r="B1945" t="s">
        <v>106</v>
      </c>
      <c r="C1945" t="s">
        <v>222</v>
      </c>
      <c r="D1945" s="110">
        <v>729519.06</v>
      </c>
      <c r="E1945" s="110">
        <v>729199.06</v>
      </c>
      <c r="I1945" s="110">
        <v>696275.91</v>
      </c>
      <c r="J1945" s="110">
        <v>713825.07</v>
      </c>
    </row>
    <row r="1946" spans="1:12" x14ac:dyDescent="0.2">
      <c r="A1946" t="s">
        <v>49</v>
      </c>
      <c r="B1946" t="s">
        <v>106</v>
      </c>
      <c r="C1946" t="s">
        <v>223</v>
      </c>
      <c r="D1946" s="110">
        <v>671082.31999999995</v>
      </c>
      <c r="I1946" s="110">
        <v>654323.06000000006</v>
      </c>
    </row>
    <row r="1947" spans="1:12" x14ac:dyDescent="0.2">
      <c r="A1947" t="s">
        <v>49</v>
      </c>
      <c r="B1947" t="s">
        <v>107</v>
      </c>
      <c r="C1947" t="s">
        <v>220</v>
      </c>
      <c r="D1947" s="110">
        <v>556865.43000000005</v>
      </c>
      <c r="E1947" s="110">
        <v>556555.43000000005</v>
      </c>
      <c r="F1947" s="110">
        <v>556566.63</v>
      </c>
      <c r="G1947" s="110">
        <v>556566.63</v>
      </c>
      <c r="I1947" s="110">
        <v>544987.46</v>
      </c>
      <c r="J1947" s="110">
        <v>552558.80000000005</v>
      </c>
      <c r="K1947" s="110">
        <v>552599.31999999995</v>
      </c>
      <c r="L1947" s="110">
        <v>552599.31999999995</v>
      </c>
    </row>
    <row r="1948" spans="1:12" x14ac:dyDescent="0.2">
      <c r="A1948" t="s">
        <v>49</v>
      </c>
      <c r="B1948" t="s">
        <v>107</v>
      </c>
      <c r="C1948" t="s">
        <v>221</v>
      </c>
      <c r="D1948" s="110">
        <v>559988.32999999996</v>
      </c>
      <c r="E1948" s="110">
        <v>559958.32999999996</v>
      </c>
      <c r="F1948" s="110">
        <v>559908.32999999996</v>
      </c>
      <c r="I1948" s="110">
        <v>547029.9</v>
      </c>
      <c r="J1948" s="110">
        <v>555843.88</v>
      </c>
      <c r="K1948" s="110">
        <v>555896.88</v>
      </c>
    </row>
    <row r="1949" spans="1:12" x14ac:dyDescent="0.2">
      <c r="A1949" t="s">
        <v>49</v>
      </c>
      <c r="B1949" t="s">
        <v>107</v>
      </c>
      <c r="C1949" t="s">
        <v>222</v>
      </c>
      <c r="D1949" s="110">
        <v>595830.56000000006</v>
      </c>
      <c r="E1949" s="110">
        <v>595792.5</v>
      </c>
      <c r="I1949" s="110">
        <v>579020.92000000004</v>
      </c>
      <c r="J1949" s="110">
        <v>591981.81000000006</v>
      </c>
    </row>
    <row r="1950" spans="1:12" x14ac:dyDescent="0.2">
      <c r="A1950" t="s">
        <v>49</v>
      </c>
      <c r="B1950" t="s">
        <v>107</v>
      </c>
      <c r="C1950" t="s">
        <v>223</v>
      </c>
      <c r="D1950" s="110">
        <v>590239.29</v>
      </c>
      <c r="I1950" s="110">
        <v>562977.92000000004</v>
      </c>
    </row>
    <row r="1951" spans="1:12" x14ac:dyDescent="0.2">
      <c r="A1951" t="s">
        <v>49</v>
      </c>
      <c r="B1951" t="s">
        <v>108</v>
      </c>
      <c r="C1951" t="s">
        <v>220</v>
      </c>
      <c r="D1951" s="110">
        <v>78058.149999999994</v>
      </c>
      <c r="E1951" s="110">
        <v>77658.149999999994</v>
      </c>
      <c r="F1951" s="110">
        <v>77658.149999999994</v>
      </c>
      <c r="G1951" s="110">
        <v>77658.149999999994</v>
      </c>
      <c r="I1951" s="110">
        <v>75251.149999999994</v>
      </c>
      <c r="J1951" s="110">
        <v>76966.149999999994</v>
      </c>
      <c r="K1951" s="110">
        <v>76966.149999999994</v>
      </c>
      <c r="L1951" s="110">
        <v>76966.149999999994</v>
      </c>
    </row>
    <row r="1952" spans="1:12" x14ac:dyDescent="0.2">
      <c r="A1952" t="s">
        <v>49</v>
      </c>
      <c r="B1952" t="s">
        <v>108</v>
      </c>
      <c r="C1952" t="s">
        <v>221</v>
      </c>
      <c r="D1952" s="110">
        <v>70402.100000000006</v>
      </c>
      <c r="E1952" s="110">
        <v>70042.100000000006</v>
      </c>
      <c r="F1952" s="110">
        <v>70042.100000000006</v>
      </c>
      <c r="I1952" s="110">
        <v>68203.100000000006</v>
      </c>
      <c r="J1952" s="110">
        <v>69989.100000000006</v>
      </c>
      <c r="K1952" s="110">
        <v>69989.100000000006</v>
      </c>
    </row>
    <row r="1953" spans="1:12" x14ac:dyDescent="0.2">
      <c r="A1953" t="s">
        <v>49</v>
      </c>
      <c r="B1953" t="s">
        <v>108</v>
      </c>
      <c r="C1953" t="s">
        <v>222</v>
      </c>
      <c r="D1953" s="110">
        <v>79430.8</v>
      </c>
      <c r="E1953" s="110">
        <v>78685.8</v>
      </c>
      <c r="I1953" s="110">
        <v>77947.3</v>
      </c>
      <c r="J1953" s="110">
        <v>78347.3</v>
      </c>
    </row>
    <row r="1954" spans="1:12" x14ac:dyDescent="0.2">
      <c r="A1954" t="s">
        <v>49</v>
      </c>
      <c r="B1954" t="s">
        <v>108</v>
      </c>
      <c r="C1954" t="s">
        <v>223</v>
      </c>
      <c r="D1954" s="110">
        <v>73780.59</v>
      </c>
      <c r="I1954" s="110">
        <v>70375.59</v>
      </c>
    </row>
    <row r="1955" spans="1:12" x14ac:dyDescent="0.2">
      <c r="A1955" t="s">
        <v>49</v>
      </c>
      <c r="B1955" t="s">
        <v>70</v>
      </c>
      <c r="C1955" t="s">
        <v>220</v>
      </c>
      <c r="D1955" s="110">
        <v>242622.8</v>
      </c>
      <c r="E1955" s="110">
        <v>241777.27</v>
      </c>
      <c r="F1955" s="110">
        <v>241071.74</v>
      </c>
      <c r="G1955" s="110">
        <v>240835.84</v>
      </c>
      <c r="I1955" s="110">
        <v>183484.85</v>
      </c>
      <c r="J1955" s="110">
        <v>192682.53</v>
      </c>
      <c r="K1955" s="110">
        <v>197752.05</v>
      </c>
      <c r="L1955" s="110">
        <v>198890.31</v>
      </c>
    </row>
    <row r="1956" spans="1:12" x14ac:dyDescent="0.2">
      <c r="A1956" t="s">
        <v>49</v>
      </c>
      <c r="B1956" t="s">
        <v>70</v>
      </c>
      <c r="C1956" t="s">
        <v>221</v>
      </c>
      <c r="D1956" s="110">
        <v>250738.16</v>
      </c>
      <c r="E1956" s="110">
        <v>248762.66</v>
      </c>
      <c r="F1956" s="110">
        <v>248747.71</v>
      </c>
      <c r="I1956" s="110">
        <v>212805.57</v>
      </c>
      <c r="J1956" s="110">
        <v>221346.52</v>
      </c>
      <c r="K1956" s="110">
        <v>223358.39</v>
      </c>
    </row>
    <row r="1957" spans="1:12" x14ac:dyDescent="0.2">
      <c r="A1957" t="s">
        <v>49</v>
      </c>
      <c r="B1957" t="s">
        <v>70</v>
      </c>
      <c r="C1957" t="s">
        <v>222</v>
      </c>
      <c r="D1957" s="110">
        <v>265213.27</v>
      </c>
      <c r="E1957" s="110">
        <v>264498.27</v>
      </c>
      <c r="I1957" s="110">
        <v>226630.93</v>
      </c>
      <c r="J1957" s="110">
        <v>232648.03</v>
      </c>
    </row>
    <row r="1958" spans="1:12" x14ac:dyDescent="0.2">
      <c r="A1958" t="s">
        <v>49</v>
      </c>
      <c r="B1958" t="s">
        <v>70</v>
      </c>
      <c r="C1958" t="s">
        <v>223</v>
      </c>
      <c r="D1958" s="110">
        <v>247274.27</v>
      </c>
      <c r="I1958" s="110">
        <v>198364.02</v>
      </c>
    </row>
    <row r="1959" spans="1:12" x14ac:dyDescent="0.2">
      <c r="A1959" t="s">
        <v>49</v>
      </c>
      <c r="B1959" t="s">
        <v>110</v>
      </c>
      <c r="C1959" t="s">
        <v>220</v>
      </c>
      <c r="D1959" s="110">
        <v>2342096.16</v>
      </c>
      <c r="E1959" s="110">
        <v>2668285.06</v>
      </c>
      <c r="F1959" s="110">
        <v>2650839.33</v>
      </c>
      <c r="G1959" s="110">
        <v>2643236.5299999998</v>
      </c>
      <c r="I1959" s="110">
        <v>936664.07</v>
      </c>
      <c r="J1959" s="110">
        <v>1761649.79</v>
      </c>
      <c r="K1959" s="110">
        <v>2114970.2000000002</v>
      </c>
      <c r="L1959" s="110">
        <v>2211499.63</v>
      </c>
    </row>
    <row r="1960" spans="1:12" x14ac:dyDescent="0.2">
      <c r="A1960" t="s">
        <v>49</v>
      </c>
      <c r="B1960" t="s">
        <v>110</v>
      </c>
      <c r="C1960" t="s">
        <v>221</v>
      </c>
      <c r="D1960" s="110">
        <v>2450028.9700000002</v>
      </c>
      <c r="E1960" s="110">
        <v>2637761.62</v>
      </c>
      <c r="F1960" s="110">
        <v>2677329.9199999999</v>
      </c>
      <c r="I1960" s="110">
        <v>1019440.47</v>
      </c>
      <c r="J1960" s="110">
        <v>1791996.77</v>
      </c>
      <c r="K1960" s="110">
        <v>2126009.58</v>
      </c>
    </row>
    <row r="1961" spans="1:12" x14ac:dyDescent="0.2">
      <c r="A1961" t="s">
        <v>49</v>
      </c>
      <c r="B1961" t="s">
        <v>110</v>
      </c>
      <c r="C1961" t="s">
        <v>222</v>
      </c>
      <c r="D1961" s="110">
        <v>2464046.59</v>
      </c>
      <c r="E1961" s="110">
        <v>2819437.84</v>
      </c>
      <c r="I1961" s="110">
        <v>991806.13</v>
      </c>
      <c r="J1961" s="110">
        <v>1717571.32</v>
      </c>
    </row>
    <row r="1962" spans="1:12" x14ac:dyDescent="0.2">
      <c r="A1962" t="s">
        <v>49</v>
      </c>
      <c r="B1962" t="s">
        <v>110</v>
      </c>
      <c r="C1962" t="s">
        <v>223</v>
      </c>
      <c r="D1962" s="110">
        <v>2815670.48</v>
      </c>
      <c r="I1962" s="110">
        <v>1069682.33</v>
      </c>
    </row>
    <row r="1963" spans="1:12" x14ac:dyDescent="0.2">
      <c r="A1963" t="s">
        <v>50</v>
      </c>
      <c r="B1963" t="s">
        <v>104</v>
      </c>
      <c r="C1963" t="s">
        <v>220</v>
      </c>
      <c r="D1963" s="110">
        <v>2670517.41</v>
      </c>
      <c r="E1963" s="110">
        <v>2657727.02</v>
      </c>
      <c r="F1963" s="110">
        <v>2653159.79</v>
      </c>
      <c r="G1963" s="110">
        <v>2644876.34</v>
      </c>
      <c r="I1963" s="110">
        <v>80196.09</v>
      </c>
      <c r="J1963" s="110">
        <v>125682.47</v>
      </c>
      <c r="K1963" s="110">
        <v>166867.14000000001</v>
      </c>
      <c r="L1963" s="110">
        <v>194672.26</v>
      </c>
    </row>
    <row r="1964" spans="1:12" x14ac:dyDescent="0.2">
      <c r="A1964" t="s">
        <v>50</v>
      </c>
      <c r="B1964" t="s">
        <v>104</v>
      </c>
      <c r="C1964" t="s">
        <v>221</v>
      </c>
      <c r="D1964" s="110">
        <v>3338962.48</v>
      </c>
      <c r="E1964" s="110">
        <v>3318739.1</v>
      </c>
      <c r="F1964" s="110">
        <v>3315099.42</v>
      </c>
      <c r="I1964" s="110">
        <v>73297.69</v>
      </c>
      <c r="J1964" s="110">
        <v>137153.59</v>
      </c>
      <c r="K1964" s="110">
        <v>168787.61</v>
      </c>
    </row>
    <row r="1965" spans="1:12" x14ac:dyDescent="0.2">
      <c r="A1965" t="s">
        <v>50</v>
      </c>
      <c r="B1965" t="s">
        <v>104</v>
      </c>
      <c r="C1965" t="s">
        <v>222</v>
      </c>
      <c r="D1965" s="110">
        <v>3684521.19</v>
      </c>
      <c r="E1965" s="110">
        <v>3673298.15</v>
      </c>
      <c r="I1965" s="110">
        <v>73211.11</v>
      </c>
      <c r="J1965" s="110">
        <v>124032.83</v>
      </c>
    </row>
    <row r="1966" spans="1:12" x14ac:dyDescent="0.2">
      <c r="A1966" t="s">
        <v>50</v>
      </c>
      <c r="B1966" t="s">
        <v>104</v>
      </c>
      <c r="C1966" t="s">
        <v>223</v>
      </c>
      <c r="D1966" s="110">
        <v>2339180.21</v>
      </c>
      <c r="I1966" s="110">
        <v>65051.21</v>
      </c>
    </row>
    <row r="1967" spans="1:12" x14ac:dyDescent="0.2">
      <c r="A1967" t="s">
        <v>50</v>
      </c>
      <c r="B1967" t="s">
        <v>140</v>
      </c>
      <c r="C1967" t="s">
        <v>220</v>
      </c>
      <c r="D1967" s="110">
        <v>1350740</v>
      </c>
      <c r="E1967" s="110">
        <v>1350520.12</v>
      </c>
      <c r="F1967" s="110">
        <v>1350520.12</v>
      </c>
      <c r="G1967" s="110">
        <v>1350520.12</v>
      </c>
      <c r="J1967" s="110">
        <v>113.16</v>
      </c>
      <c r="K1967" s="110">
        <v>622.4</v>
      </c>
      <c r="L1967" s="110">
        <v>1112.8</v>
      </c>
    </row>
    <row r="1968" spans="1:12" x14ac:dyDescent="0.2">
      <c r="A1968" t="s">
        <v>50</v>
      </c>
      <c r="B1968" t="s">
        <v>140</v>
      </c>
      <c r="C1968" t="s">
        <v>221</v>
      </c>
      <c r="D1968" s="110">
        <v>1849996</v>
      </c>
      <c r="E1968" s="110">
        <v>1849996</v>
      </c>
      <c r="F1968" s="110">
        <v>1849996</v>
      </c>
      <c r="I1968" s="110">
        <v>0</v>
      </c>
      <c r="J1968" s="110">
        <v>418</v>
      </c>
      <c r="K1968" s="110">
        <v>418</v>
      </c>
    </row>
    <row r="1969" spans="1:12" x14ac:dyDescent="0.2">
      <c r="A1969" t="s">
        <v>50</v>
      </c>
      <c r="B1969" t="s">
        <v>140</v>
      </c>
      <c r="C1969" t="s">
        <v>222</v>
      </c>
      <c r="D1969" s="110">
        <v>1693002</v>
      </c>
      <c r="E1969" s="110">
        <v>1693002</v>
      </c>
      <c r="I1969" s="110">
        <v>0</v>
      </c>
      <c r="J1969" s="110">
        <v>415.45</v>
      </c>
    </row>
    <row r="1970" spans="1:12" x14ac:dyDescent="0.2">
      <c r="A1970" t="s">
        <v>50</v>
      </c>
      <c r="B1970" t="s">
        <v>140</v>
      </c>
      <c r="C1970" t="s">
        <v>223</v>
      </c>
      <c r="D1970" s="110">
        <v>1162842</v>
      </c>
      <c r="I1970" s="110">
        <v>0</v>
      </c>
    </row>
    <row r="1971" spans="1:12" x14ac:dyDescent="0.2">
      <c r="A1971" t="s">
        <v>50</v>
      </c>
      <c r="B1971" t="s">
        <v>105</v>
      </c>
      <c r="C1971" t="s">
        <v>220</v>
      </c>
      <c r="D1971" s="110">
        <v>999862.69</v>
      </c>
      <c r="E1971" s="110">
        <v>990179.27</v>
      </c>
      <c r="F1971" s="110">
        <v>981198.51</v>
      </c>
      <c r="G1971" s="110">
        <v>976407.03</v>
      </c>
      <c r="I1971" s="110">
        <v>174435.84</v>
      </c>
      <c r="J1971" s="110">
        <v>243832.57</v>
      </c>
      <c r="K1971" s="110">
        <v>282747.53000000003</v>
      </c>
      <c r="L1971" s="110">
        <v>309646.86</v>
      </c>
    </row>
    <row r="1972" spans="1:12" x14ac:dyDescent="0.2">
      <c r="A1972" t="s">
        <v>50</v>
      </c>
      <c r="B1972" t="s">
        <v>105</v>
      </c>
      <c r="C1972" t="s">
        <v>221</v>
      </c>
      <c r="D1972" s="110">
        <v>1073901.45</v>
      </c>
      <c r="E1972" s="110">
        <v>1059864.3400000001</v>
      </c>
      <c r="F1972" s="110">
        <v>1048642.96</v>
      </c>
      <c r="I1972" s="110">
        <v>196562.76</v>
      </c>
      <c r="J1972" s="110">
        <v>273296.55</v>
      </c>
      <c r="K1972" s="110">
        <v>311265.38</v>
      </c>
    </row>
    <row r="1973" spans="1:12" x14ac:dyDescent="0.2">
      <c r="A1973" t="s">
        <v>50</v>
      </c>
      <c r="B1973" t="s">
        <v>105</v>
      </c>
      <c r="C1973" t="s">
        <v>222</v>
      </c>
      <c r="D1973" s="110">
        <v>1087660.6399999999</v>
      </c>
      <c r="E1973" s="110">
        <v>1082657.69</v>
      </c>
      <c r="I1973" s="110">
        <v>198795.86</v>
      </c>
      <c r="J1973" s="110">
        <v>261529.3</v>
      </c>
    </row>
    <row r="1974" spans="1:12" x14ac:dyDescent="0.2">
      <c r="A1974" t="s">
        <v>50</v>
      </c>
      <c r="B1974" t="s">
        <v>105</v>
      </c>
      <c r="C1974" t="s">
        <v>223</v>
      </c>
      <c r="D1974" s="110">
        <v>1002577.63</v>
      </c>
      <c r="I1974" s="110">
        <v>175220.37</v>
      </c>
    </row>
    <row r="1975" spans="1:12" x14ac:dyDescent="0.2">
      <c r="A1975" t="s">
        <v>50</v>
      </c>
      <c r="B1975" t="s">
        <v>111</v>
      </c>
      <c r="C1975" t="s">
        <v>220</v>
      </c>
      <c r="D1975" s="110">
        <v>56446.1</v>
      </c>
      <c r="E1975" s="110">
        <v>56356.1</v>
      </c>
      <c r="F1975" s="110">
        <v>55175.33</v>
      </c>
      <c r="G1975" s="110">
        <v>54191.33</v>
      </c>
      <c r="I1975" s="110">
        <v>1756.66</v>
      </c>
      <c r="J1975" s="110">
        <v>2509.4699999999998</v>
      </c>
      <c r="K1975" s="110">
        <v>3100.47</v>
      </c>
      <c r="L1975" s="110">
        <v>3250.47</v>
      </c>
    </row>
    <row r="1976" spans="1:12" x14ac:dyDescent="0.2">
      <c r="A1976" t="s">
        <v>50</v>
      </c>
      <c r="B1976" t="s">
        <v>111</v>
      </c>
      <c r="C1976" t="s">
        <v>221</v>
      </c>
      <c r="D1976" s="110">
        <v>58377.5</v>
      </c>
      <c r="E1976" s="110">
        <v>59447.5</v>
      </c>
      <c r="F1976" s="110">
        <v>58597.86</v>
      </c>
      <c r="I1976" s="110">
        <v>1793.5</v>
      </c>
      <c r="J1976" s="110">
        <v>3101.59</v>
      </c>
      <c r="K1976" s="110">
        <v>3440.44</v>
      </c>
    </row>
    <row r="1977" spans="1:12" x14ac:dyDescent="0.2">
      <c r="A1977" t="s">
        <v>50</v>
      </c>
      <c r="B1977" t="s">
        <v>111</v>
      </c>
      <c r="C1977" t="s">
        <v>222</v>
      </c>
      <c r="D1977" s="110">
        <v>64443</v>
      </c>
      <c r="E1977" s="110">
        <v>63474.76</v>
      </c>
      <c r="I1977" s="110">
        <v>2776.69</v>
      </c>
      <c r="J1977" s="110">
        <v>3397.48</v>
      </c>
    </row>
    <row r="1978" spans="1:12" x14ac:dyDescent="0.2">
      <c r="A1978" t="s">
        <v>50</v>
      </c>
      <c r="B1978" t="s">
        <v>111</v>
      </c>
      <c r="C1978" t="s">
        <v>223</v>
      </c>
      <c r="D1978" s="110">
        <v>40521.99</v>
      </c>
      <c r="I1978" s="110">
        <v>1616.5</v>
      </c>
    </row>
    <row r="1979" spans="1:12" x14ac:dyDescent="0.2">
      <c r="A1979" t="s">
        <v>50</v>
      </c>
      <c r="B1979" t="s">
        <v>109</v>
      </c>
      <c r="C1979" t="s">
        <v>220</v>
      </c>
      <c r="D1979" s="110">
        <v>1555168.84</v>
      </c>
      <c r="E1979" s="110">
        <v>1535811.99</v>
      </c>
      <c r="F1979" s="110">
        <v>1520030.28</v>
      </c>
      <c r="G1979" s="110">
        <v>1508524.95</v>
      </c>
      <c r="I1979" s="110">
        <v>397617.7</v>
      </c>
      <c r="J1979" s="110">
        <v>579280.02</v>
      </c>
      <c r="K1979" s="110">
        <v>695843.21</v>
      </c>
      <c r="L1979" s="110">
        <v>772783.06</v>
      </c>
    </row>
    <row r="1980" spans="1:12" x14ac:dyDescent="0.2">
      <c r="A1980" t="s">
        <v>50</v>
      </c>
      <c r="B1980" t="s">
        <v>109</v>
      </c>
      <c r="C1980" t="s">
        <v>221</v>
      </c>
      <c r="D1980" s="110">
        <v>1616152.84</v>
      </c>
      <c r="E1980" s="110">
        <v>1597573</v>
      </c>
      <c r="F1980" s="110">
        <v>1581685.7</v>
      </c>
      <c r="I1980" s="110">
        <v>400810.16</v>
      </c>
      <c r="J1980" s="110">
        <v>586580.01</v>
      </c>
      <c r="K1980" s="110">
        <v>695153.61</v>
      </c>
    </row>
    <row r="1981" spans="1:12" x14ac:dyDescent="0.2">
      <c r="A1981" t="s">
        <v>50</v>
      </c>
      <c r="B1981" t="s">
        <v>109</v>
      </c>
      <c r="C1981" t="s">
        <v>222</v>
      </c>
      <c r="D1981" s="110">
        <v>1602127.17</v>
      </c>
      <c r="E1981" s="110">
        <v>1584372.89</v>
      </c>
      <c r="I1981" s="110">
        <v>387806.02</v>
      </c>
      <c r="J1981" s="110">
        <v>546785.6</v>
      </c>
    </row>
    <row r="1982" spans="1:12" x14ac:dyDescent="0.2">
      <c r="A1982" t="s">
        <v>50</v>
      </c>
      <c r="B1982" t="s">
        <v>109</v>
      </c>
      <c r="C1982" t="s">
        <v>223</v>
      </c>
      <c r="D1982" s="110">
        <v>1486442.85</v>
      </c>
      <c r="I1982" s="110">
        <v>339389.35</v>
      </c>
    </row>
    <row r="1983" spans="1:12" x14ac:dyDescent="0.2">
      <c r="A1983" t="s">
        <v>50</v>
      </c>
      <c r="B1983" t="s">
        <v>106</v>
      </c>
      <c r="C1983" t="s">
        <v>220</v>
      </c>
      <c r="D1983" s="110">
        <v>2724136.75</v>
      </c>
      <c r="E1983" s="110">
        <v>2708119.75</v>
      </c>
      <c r="F1983" s="110">
        <v>2700202.25</v>
      </c>
      <c r="G1983" s="110">
        <v>2685275.25</v>
      </c>
      <c r="I1983" s="110">
        <v>2676654.58</v>
      </c>
      <c r="J1983" s="110">
        <v>2672223.0099999998</v>
      </c>
      <c r="K1983" s="110">
        <v>2666352.2200000002</v>
      </c>
      <c r="L1983" s="110">
        <v>2651920.38</v>
      </c>
    </row>
    <row r="1984" spans="1:12" x14ac:dyDescent="0.2">
      <c r="A1984" t="s">
        <v>50</v>
      </c>
      <c r="B1984" t="s">
        <v>106</v>
      </c>
      <c r="C1984" t="s">
        <v>221</v>
      </c>
      <c r="D1984" s="110">
        <v>3016886.3</v>
      </c>
      <c r="E1984" s="110">
        <v>3000914.3</v>
      </c>
      <c r="F1984" s="110">
        <v>2975581.3</v>
      </c>
      <c r="I1984" s="110">
        <v>2981832.75</v>
      </c>
      <c r="J1984" s="110">
        <v>2974900.67</v>
      </c>
      <c r="K1984" s="110">
        <v>2949923.78</v>
      </c>
    </row>
    <row r="1985" spans="1:12" x14ac:dyDescent="0.2">
      <c r="A1985" t="s">
        <v>50</v>
      </c>
      <c r="B1985" t="s">
        <v>106</v>
      </c>
      <c r="C1985" t="s">
        <v>222</v>
      </c>
      <c r="D1985" s="110">
        <v>2969729.11</v>
      </c>
      <c r="E1985" s="110">
        <v>2955746.11</v>
      </c>
      <c r="I1985" s="110">
        <v>2918060.86</v>
      </c>
      <c r="J1985" s="110">
        <v>2915292.53</v>
      </c>
    </row>
    <row r="1986" spans="1:12" x14ac:dyDescent="0.2">
      <c r="A1986" t="s">
        <v>50</v>
      </c>
      <c r="B1986" t="s">
        <v>106</v>
      </c>
      <c r="C1986" t="s">
        <v>223</v>
      </c>
      <c r="D1986" s="110">
        <v>2776307.34</v>
      </c>
      <c r="I1986" s="110">
        <v>2716370.87</v>
      </c>
    </row>
    <row r="1987" spans="1:12" x14ac:dyDescent="0.2">
      <c r="A1987" t="s">
        <v>50</v>
      </c>
      <c r="B1987" t="s">
        <v>107</v>
      </c>
      <c r="C1987" t="s">
        <v>220</v>
      </c>
      <c r="D1987" s="110">
        <v>2415913.7999999998</v>
      </c>
      <c r="E1987" s="110">
        <v>2414165.7999999998</v>
      </c>
      <c r="F1987" s="110">
        <v>2413065.7999999998</v>
      </c>
      <c r="G1987" s="110">
        <v>2412855.7999999998</v>
      </c>
      <c r="I1987" s="110">
        <v>2408488.1</v>
      </c>
      <c r="J1987" s="110">
        <v>2410245.6</v>
      </c>
      <c r="K1987" s="110">
        <v>2409472.8199999998</v>
      </c>
      <c r="L1987" s="110">
        <v>2408962.8199999998</v>
      </c>
    </row>
    <row r="1988" spans="1:12" x14ac:dyDescent="0.2">
      <c r="A1988" t="s">
        <v>50</v>
      </c>
      <c r="B1988" t="s">
        <v>107</v>
      </c>
      <c r="C1988" t="s">
        <v>221</v>
      </c>
      <c r="D1988" s="110">
        <v>2381307.36</v>
      </c>
      <c r="E1988" s="110">
        <v>2375990.66</v>
      </c>
      <c r="F1988" s="110">
        <v>2374763.91</v>
      </c>
      <c r="I1988" s="110">
        <v>2370943.67</v>
      </c>
      <c r="J1988" s="110">
        <v>2368060.12</v>
      </c>
      <c r="K1988" s="110">
        <v>2367240.64</v>
      </c>
    </row>
    <row r="1989" spans="1:12" x14ac:dyDescent="0.2">
      <c r="A1989" t="s">
        <v>50</v>
      </c>
      <c r="B1989" t="s">
        <v>107</v>
      </c>
      <c r="C1989" t="s">
        <v>222</v>
      </c>
      <c r="D1989" s="110">
        <v>2200610.2400000002</v>
      </c>
      <c r="E1989" s="110">
        <v>2199532.2400000002</v>
      </c>
      <c r="I1989" s="110">
        <v>2191757.04</v>
      </c>
      <c r="J1989" s="110">
        <v>2192565.9900000002</v>
      </c>
    </row>
    <row r="1990" spans="1:12" x14ac:dyDescent="0.2">
      <c r="A1990" t="s">
        <v>50</v>
      </c>
      <c r="B1990" t="s">
        <v>107</v>
      </c>
      <c r="C1990" t="s">
        <v>223</v>
      </c>
      <c r="D1990" s="110">
        <v>2181314.85</v>
      </c>
      <c r="I1990" s="110">
        <v>2175606.2999999998</v>
      </c>
    </row>
    <row r="1991" spans="1:12" x14ac:dyDescent="0.2">
      <c r="A1991" t="s">
        <v>50</v>
      </c>
      <c r="B1991" t="s">
        <v>108</v>
      </c>
      <c r="C1991" t="s">
        <v>220</v>
      </c>
      <c r="D1991" s="110">
        <v>547033.56000000006</v>
      </c>
      <c r="E1991" s="110">
        <v>542692.56000000006</v>
      </c>
      <c r="F1991" s="110">
        <v>541525.56000000006</v>
      </c>
      <c r="G1991" s="110">
        <v>539449.56000000006</v>
      </c>
      <c r="I1991" s="110">
        <v>539639.01</v>
      </c>
      <c r="J1991" s="110">
        <v>536947.32999999996</v>
      </c>
      <c r="K1991" s="110">
        <v>535890.32999999996</v>
      </c>
      <c r="L1991" s="110">
        <v>533226.22</v>
      </c>
    </row>
    <row r="1992" spans="1:12" x14ac:dyDescent="0.2">
      <c r="A1992" t="s">
        <v>50</v>
      </c>
      <c r="B1992" t="s">
        <v>108</v>
      </c>
      <c r="C1992" t="s">
        <v>221</v>
      </c>
      <c r="D1992" s="110">
        <v>614074.37</v>
      </c>
      <c r="E1992" s="110">
        <v>608604.87</v>
      </c>
      <c r="F1992" s="110">
        <v>607188.87</v>
      </c>
      <c r="I1992" s="110">
        <v>610875.39</v>
      </c>
      <c r="J1992" s="110">
        <v>606471.47</v>
      </c>
      <c r="K1992" s="110">
        <v>605223.96</v>
      </c>
    </row>
    <row r="1993" spans="1:12" x14ac:dyDescent="0.2">
      <c r="A1993" t="s">
        <v>50</v>
      </c>
      <c r="B1993" t="s">
        <v>108</v>
      </c>
      <c r="C1993" t="s">
        <v>222</v>
      </c>
      <c r="D1993" s="110">
        <v>612171.57999999996</v>
      </c>
      <c r="E1993" s="110">
        <v>606070.57999999996</v>
      </c>
      <c r="I1993" s="110">
        <v>604013.41</v>
      </c>
      <c r="J1993" s="110">
        <v>602508.49</v>
      </c>
    </row>
    <row r="1994" spans="1:12" x14ac:dyDescent="0.2">
      <c r="A1994" t="s">
        <v>50</v>
      </c>
      <c r="B1994" t="s">
        <v>108</v>
      </c>
      <c r="C1994" t="s">
        <v>223</v>
      </c>
      <c r="D1994" s="110">
        <v>568724.19999999995</v>
      </c>
      <c r="I1994" s="110">
        <v>564260.62</v>
      </c>
    </row>
    <row r="1995" spans="1:12" x14ac:dyDescent="0.2">
      <c r="A1995" t="s">
        <v>50</v>
      </c>
      <c r="B1995" t="s">
        <v>70</v>
      </c>
      <c r="C1995" t="s">
        <v>220</v>
      </c>
      <c r="D1995" s="110">
        <v>657996.30000000005</v>
      </c>
      <c r="E1995" s="110">
        <v>654911.30000000005</v>
      </c>
      <c r="F1995" s="110">
        <v>653718.4</v>
      </c>
      <c r="G1995" s="110">
        <v>653699.9</v>
      </c>
      <c r="I1995" s="110">
        <v>631019.99</v>
      </c>
      <c r="J1995" s="110">
        <v>635062.80000000005</v>
      </c>
      <c r="K1995" s="110">
        <v>635534.35</v>
      </c>
      <c r="L1995" s="110">
        <v>636772.48</v>
      </c>
    </row>
    <row r="1996" spans="1:12" x14ac:dyDescent="0.2">
      <c r="A1996" t="s">
        <v>50</v>
      </c>
      <c r="B1996" t="s">
        <v>70</v>
      </c>
      <c r="C1996" t="s">
        <v>221</v>
      </c>
      <c r="D1996" s="110">
        <v>734211.15</v>
      </c>
      <c r="E1996" s="110">
        <v>730707.45</v>
      </c>
      <c r="F1996" s="110">
        <v>730294.85</v>
      </c>
      <c r="I1996" s="110">
        <v>704387.55</v>
      </c>
      <c r="J1996" s="110">
        <v>708436</v>
      </c>
      <c r="K1996" s="110">
        <v>709122.65</v>
      </c>
    </row>
    <row r="1997" spans="1:12" x14ac:dyDescent="0.2">
      <c r="A1997" t="s">
        <v>50</v>
      </c>
      <c r="B1997" t="s">
        <v>70</v>
      </c>
      <c r="C1997" t="s">
        <v>222</v>
      </c>
      <c r="D1997" s="110">
        <v>745482.9</v>
      </c>
      <c r="E1997" s="110">
        <v>741052.55</v>
      </c>
      <c r="I1997" s="110">
        <v>711771.11</v>
      </c>
      <c r="J1997" s="110">
        <v>718657.89</v>
      </c>
    </row>
    <row r="1998" spans="1:12" x14ac:dyDescent="0.2">
      <c r="A1998" t="s">
        <v>50</v>
      </c>
      <c r="B1998" t="s">
        <v>70</v>
      </c>
      <c r="C1998" t="s">
        <v>223</v>
      </c>
      <c r="D1998" s="110">
        <v>705765</v>
      </c>
      <c r="I1998" s="110">
        <v>667945.19999999995</v>
      </c>
    </row>
    <row r="1999" spans="1:12" x14ac:dyDescent="0.2">
      <c r="A1999" t="s">
        <v>50</v>
      </c>
      <c r="B1999" t="s">
        <v>110</v>
      </c>
      <c r="C1999" t="s">
        <v>220</v>
      </c>
      <c r="D1999" s="110">
        <v>5840056.25</v>
      </c>
      <c r="E1999" s="110">
        <v>5305064</v>
      </c>
      <c r="F1999" s="110">
        <v>5261496.55</v>
      </c>
      <c r="G1999" s="110">
        <v>5245868.92</v>
      </c>
      <c r="I1999" s="110">
        <v>2651460.16</v>
      </c>
      <c r="J1999" s="110">
        <v>4335251.16</v>
      </c>
      <c r="K1999" s="110">
        <v>4578663.42</v>
      </c>
      <c r="L1999" s="110">
        <v>4667371.6500000004</v>
      </c>
    </row>
    <row r="2000" spans="1:12" x14ac:dyDescent="0.2">
      <c r="A2000" t="s">
        <v>50</v>
      </c>
      <c r="B2000" t="s">
        <v>110</v>
      </c>
      <c r="C2000" t="s">
        <v>221</v>
      </c>
      <c r="D2000" s="110">
        <v>6379766.8200000003</v>
      </c>
      <c r="E2000" s="110">
        <v>5717305.6200000001</v>
      </c>
      <c r="F2000" s="110">
        <v>5681682.0199999996</v>
      </c>
      <c r="I2000" s="110">
        <v>2967674.61</v>
      </c>
      <c r="J2000" s="110">
        <v>4724392.5999999996</v>
      </c>
      <c r="K2000" s="110">
        <v>4963793.05</v>
      </c>
    </row>
    <row r="2001" spans="1:12" x14ac:dyDescent="0.2">
      <c r="A2001" t="s">
        <v>50</v>
      </c>
      <c r="B2001" t="s">
        <v>110</v>
      </c>
      <c r="C2001" t="s">
        <v>222</v>
      </c>
      <c r="D2001" s="110">
        <v>6935905.5499999998</v>
      </c>
      <c r="E2001" s="110">
        <v>6311736.5499999998</v>
      </c>
      <c r="I2001" s="110">
        <v>3095831.22</v>
      </c>
      <c r="J2001" s="110">
        <v>5113195.59</v>
      </c>
    </row>
    <row r="2002" spans="1:12" x14ac:dyDescent="0.2">
      <c r="A2002" t="s">
        <v>50</v>
      </c>
      <c r="B2002" t="s">
        <v>110</v>
      </c>
      <c r="C2002" t="s">
        <v>223</v>
      </c>
      <c r="D2002" s="110">
        <v>6922949.8099999996</v>
      </c>
      <c r="I2002" s="110">
        <v>2965889.99</v>
      </c>
    </row>
    <row r="2003" spans="1:12" x14ac:dyDescent="0.2">
      <c r="A2003" t="s">
        <v>51</v>
      </c>
      <c r="B2003" t="s">
        <v>104</v>
      </c>
      <c r="C2003" t="s">
        <v>220</v>
      </c>
      <c r="D2003" s="110">
        <v>3497565.71</v>
      </c>
      <c r="E2003" s="110">
        <v>3503452.32</v>
      </c>
      <c r="F2003" s="110">
        <v>3501995.43</v>
      </c>
      <c r="G2003" s="110">
        <v>3499961.53</v>
      </c>
      <c r="I2003" s="110">
        <v>46540.18</v>
      </c>
      <c r="J2003" s="110">
        <v>115269.59</v>
      </c>
      <c r="K2003" s="110">
        <v>160440.78</v>
      </c>
      <c r="L2003" s="110">
        <v>200290.52</v>
      </c>
    </row>
    <row r="2004" spans="1:12" x14ac:dyDescent="0.2">
      <c r="A2004" t="s">
        <v>51</v>
      </c>
      <c r="B2004" t="s">
        <v>104</v>
      </c>
      <c r="C2004" t="s">
        <v>221</v>
      </c>
      <c r="D2004" s="110">
        <v>2159371.5299999998</v>
      </c>
      <c r="E2004" s="110">
        <v>2156759.13</v>
      </c>
      <c r="F2004" s="110">
        <v>2152743.04</v>
      </c>
      <c r="I2004" s="110">
        <v>50368.6</v>
      </c>
      <c r="J2004" s="110">
        <v>114122.25</v>
      </c>
      <c r="K2004" s="110">
        <v>160829.51999999999</v>
      </c>
    </row>
    <row r="2005" spans="1:12" x14ac:dyDescent="0.2">
      <c r="A2005" t="s">
        <v>51</v>
      </c>
      <c r="B2005" t="s">
        <v>104</v>
      </c>
      <c r="C2005" t="s">
        <v>222</v>
      </c>
      <c r="D2005" s="110">
        <v>2259492.1</v>
      </c>
      <c r="E2005" s="110">
        <v>2260864.2799999998</v>
      </c>
      <c r="I2005" s="110">
        <v>53438.47</v>
      </c>
      <c r="J2005" s="110">
        <v>104053.47</v>
      </c>
    </row>
    <row r="2006" spans="1:12" x14ac:dyDescent="0.2">
      <c r="A2006" t="s">
        <v>51</v>
      </c>
      <c r="B2006" t="s">
        <v>104</v>
      </c>
      <c r="C2006" t="s">
        <v>223</v>
      </c>
      <c r="D2006" s="110">
        <v>2172388.79</v>
      </c>
      <c r="I2006" s="110">
        <v>45482.8</v>
      </c>
    </row>
    <row r="2007" spans="1:12" x14ac:dyDescent="0.2">
      <c r="A2007" t="s">
        <v>51</v>
      </c>
      <c r="B2007" t="s">
        <v>140</v>
      </c>
      <c r="C2007" t="s">
        <v>220</v>
      </c>
      <c r="D2007" s="110">
        <v>2151160</v>
      </c>
      <c r="E2007" s="110">
        <v>2151160</v>
      </c>
      <c r="F2007" s="110">
        <v>2151160</v>
      </c>
      <c r="G2007" s="110">
        <v>2151160</v>
      </c>
      <c r="I2007" s="110">
        <v>0</v>
      </c>
      <c r="J2007" s="110">
        <v>0</v>
      </c>
      <c r="K2007" s="110">
        <v>28.85</v>
      </c>
      <c r="L2007" s="110">
        <v>125.01</v>
      </c>
    </row>
    <row r="2008" spans="1:12" x14ac:dyDescent="0.2">
      <c r="A2008" t="s">
        <v>51</v>
      </c>
      <c r="B2008" t="s">
        <v>140</v>
      </c>
      <c r="C2008" t="s">
        <v>221</v>
      </c>
      <c r="D2008" s="110">
        <v>689595</v>
      </c>
      <c r="E2008" s="110">
        <v>689595</v>
      </c>
      <c r="F2008" s="110">
        <v>689679.14</v>
      </c>
      <c r="I2008" s="110">
        <v>99</v>
      </c>
      <c r="J2008" s="110">
        <v>99</v>
      </c>
      <c r="K2008" s="110">
        <v>183.14</v>
      </c>
    </row>
    <row r="2009" spans="1:12" x14ac:dyDescent="0.2">
      <c r="A2009" t="s">
        <v>51</v>
      </c>
      <c r="B2009" t="s">
        <v>140</v>
      </c>
      <c r="C2009" t="s">
        <v>222</v>
      </c>
      <c r="D2009" s="110">
        <v>878221</v>
      </c>
      <c r="E2009" s="110">
        <v>878221</v>
      </c>
      <c r="I2009" s="110">
        <v>139</v>
      </c>
      <c r="J2009" s="110">
        <v>139</v>
      </c>
    </row>
    <row r="2010" spans="1:12" x14ac:dyDescent="0.2">
      <c r="A2010" t="s">
        <v>51</v>
      </c>
      <c r="B2010" t="s">
        <v>140</v>
      </c>
      <c r="C2010" t="s">
        <v>223</v>
      </c>
      <c r="D2010" s="110">
        <v>826958</v>
      </c>
      <c r="I2010" s="110">
        <v>9</v>
      </c>
    </row>
    <row r="2011" spans="1:12" x14ac:dyDescent="0.2">
      <c r="A2011" t="s">
        <v>51</v>
      </c>
      <c r="B2011" t="s">
        <v>105</v>
      </c>
      <c r="C2011" t="s">
        <v>220</v>
      </c>
      <c r="D2011" s="110">
        <v>653939.51</v>
      </c>
      <c r="E2011" s="110">
        <v>654640.55000000005</v>
      </c>
      <c r="F2011" s="110">
        <v>654894.55000000005</v>
      </c>
      <c r="G2011" s="110">
        <v>654251.55000000005</v>
      </c>
      <c r="I2011" s="110">
        <v>150819.01999999999</v>
      </c>
      <c r="J2011" s="110">
        <v>229826.34</v>
      </c>
      <c r="K2011" s="110">
        <v>264073.34000000003</v>
      </c>
      <c r="L2011" s="110">
        <v>289281.59000000003</v>
      </c>
    </row>
    <row r="2012" spans="1:12" x14ac:dyDescent="0.2">
      <c r="A2012" t="s">
        <v>51</v>
      </c>
      <c r="B2012" t="s">
        <v>105</v>
      </c>
      <c r="C2012" t="s">
        <v>221</v>
      </c>
      <c r="D2012" s="110">
        <v>719008.72</v>
      </c>
      <c r="E2012" s="110">
        <v>715990.72</v>
      </c>
      <c r="F2012" s="110">
        <v>715873.72</v>
      </c>
      <c r="I2012" s="110">
        <v>188218.74</v>
      </c>
      <c r="J2012" s="110">
        <v>273258.13</v>
      </c>
      <c r="K2012" s="110">
        <v>301572.13</v>
      </c>
    </row>
    <row r="2013" spans="1:12" x14ac:dyDescent="0.2">
      <c r="A2013" t="s">
        <v>51</v>
      </c>
      <c r="B2013" t="s">
        <v>105</v>
      </c>
      <c r="C2013" t="s">
        <v>222</v>
      </c>
      <c r="D2013" s="110">
        <v>737414.88</v>
      </c>
      <c r="E2013" s="110">
        <v>737849.88</v>
      </c>
      <c r="I2013" s="110">
        <v>187015.21</v>
      </c>
      <c r="J2013" s="110">
        <v>266104.32000000001</v>
      </c>
    </row>
    <row r="2014" spans="1:12" x14ac:dyDescent="0.2">
      <c r="A2014" t="s">
        <v>51</v>
      </c>
      <c r="B2014" t="s">
        <v>105</v>
      </c>
      <c r="C2014" t="s">
        <v>223</v>
      </c>
      <c r="D2014" s="110">
        <v>718205.74</v>
      </c>
      <c r="I2014" s="110">
        <v>170335.19</v>
      </c>
    </row>
    <row r="2015" spans="1:12" x14ac:dyDescent="0.2">
      <c r="A2015" t="s">
        <v>51</v>
      </c>
      <c r="B2015" t="s">
        <v>111</v>
      </c>
      <c r="C2015" t="s">
        <v>220</v>
      </c>
      <c r="D2015" s="110">
        <v>38878.81</v>
      </c>
      <c r="E2015" s="110">
        <v>38728.81</v>
      </c>
      <c r="F2015" s="110">
        <v>38627.81</v>
      </c>
      <c r="G2015" s="110">
        <v>38264.81</v>
      </c>
      <c r="I2015" s="110">
        <v>2021.81</v>
      </c>
      <c r="J2015" s="110">
        <v>4298.3100000000004</v>
      </c>
      <c r="K2015" s="110">
        <v>5105.3100000000004</v>
      </c>
      <c r="L2015" s="110">
        <v>5306.31</v>
      </c>
    </row>
    <row r="2016" spans="1:12" x14ac:dyDescent="0.2">
      <c r="A2016" t="s">
        <v>51</v>
      </c>
      <c r="B2016" t="s">
        <v>111</v>
      </c>
      <c r="C2016" t="s">
        <v>221</v>
      </c>
      <c r="D2016" s="110">
        <v>37830.5</v>
      </c>
      <c r="E2016" s="110">
        <v>37014.980000000003</v>
      </c>
      <c r="F2016" s="110">
        <v>36614.980000000003</v>
      </c>
      <c r="I2016" s="110">
        <v>1692.5</v>
      </c>
      <c r="J2016" s="110">
        <v>4086.5</v>
      </c>
      <c r="K2016" s="110">
        <v>4236.5</v>
      </c>
    </row>
    <row r="2017" spans="1:12" x14ac:dyDescent="0.2">
      <c r="A2017" t="s">
        <v>51</v>
      </c>
      <c r="B2017" t="s">
        <v>111</v>
      </c>
      <c r="C2017" t="s">
        <v>222</v>
      </c>
      <c r="D2017" s="110">
        <v>47377.5</v>
      </c>
      <c r="E2017" s="110">
        <v>45780.42</v>
      </c>
      <c r="I2017" s="110">
        <v>3084</v>
      </c>
      <c r="J2017" s="110">
        <v>5494.48</v>
      </c>
    </row>
    <row r="2018" spans="1:12" x14ac:dyDescent="0.2">
      <c r="A2018" t="s">
        <v>51</v>
      </c>
      <c r="B2018" t="s">
        <v>111</v>
      </c>
      <c r="C2018" t="s">
        <v>223</v>
      </c>
      <c r="D2018" s="110">
        <v>48670.400000000001</v>
      </c>
      <c r="I2018" s="110">
        <v>2577</v>
      </c>
    </row>
    <row r="2019" spans="1:12" x14ac:dyDescent="0.2">
      <c r="A2019" t="s">
        <v>51</v>
      </c>
      <c r="B2019" t="s">
        <v>109</v>
      </c>
      <c r="C2019" t="s">
        <v>220</v>
      </c>
      <c r="D2019" s="110">
        <v>408225.36</v>
      </c>
      <c r="E2019" s="110">
        <v>408971.36</v>
      </c>
      <c r="F2019" s="110">
        <v>409315.31</v>
      </c>
      <c r="G2019" s="110">
        <v>411314.31</v>
      </c>
      <c r="I2019" s="110">
        <v>110061.28</v>
      </c>
      <c r="J2019" s="110">
        <v>187644.86</v>
      </c>
      <c r="K2019" s="110">
        <v>218667.74</v>
      </c>
      <c r="L2019" s="110">
        <v>247908.24</v>
      </c>
    </row>
    <row r="2020" spans="1:12" x14ac:dyDescent="0.2">
      <c r="A2020" t="s">
        <v>51</v>
      </c>
      <c r="B2020" t="s">
        <v>109</v>
      </c>
      <c r="C2020" t="s">
        <v>221</v>
      </c>
      <c r="D2020" s="110">
        <v>448570.66</v>
      </c>
      <c r="E2020" s="110">
        <v>449053.16</v>
      </c>
      <c r="F2020" s="110">
        <v>449540.16</v>
      </c>
      <c r="I2020" s="110">
        <v>147847.85999999999</v>
      </c>
      <c r="J2020" s="110">
        <v>215961.19</v>
      </c>
      <c r="K2020" s="110">
        <v>245385.19</v>
      </c>
    </row>
    <row r="2021" spans="1:12" x14ac:dyDescent="0.2">
      <c r="A2021" t="s">
        <v>51</v>
      </c>
      <c r="B2021" t="s">
        <v>109</v>
      </c>
      <c r="C2021" t="s">
        <v>222</v>
      </c>
      <c r="D2021" s="110">
        <v>477289</v>
      </c>
      <c r="E2021" s="110">
        <v>477788</v>
      </c>
      <c r="I2021" s="110">
        <v>149042.75</v>
      </c>
      <c r="J2021" s="110">
        <v>232414.75</v>
      </c>
    </row>
    <row r="2022" spans="1:12" x14ac:dyDescent="0.2">
      <c r="A2022" t="s">
        <v>51</v>
      </c>
      <c r="B2022" t="s">
        <v>109</v>
      </c>
      <c r="C2022" t="s">
        <v>223</v>
      </c>
      <c r="D2022" s="110">
        <v>439476.28</v>
      </c>
      <c r="I2022" s="110">
        <v>118350.28</v>
      </c>
    </row>
    <row r="2023" spans="1:12" x14ac:dyDescent="0.2">
      <c r="A2023" t="s">
        <v>51</v>
      </c>
      <c r="B2023" t="s">
        <v>106</v>
      </c>
      <c r="C2023" t="s">
        <v>220</v>
      </c>
      <c r="D2023" s="110">
        <v>871648.67</v>
      </c>
      <c r="E2023" s="110">
        <v>872001.97</v>
      </c>
      <c r="F2023" s="110">
        <v>872851.98</v>
      </c>
      <c r="G2023" s="110">
        <v>872569.47</v>
      </c>
      <c r="I2023" s="110">
        <v>847870.69</v>
      </c>
      <c r="J2023" s="110">
        <v>859867.49</v>
      </c>
      <c r="K2023" s="110">
        <v>862499.49</v>
      </c>
      <c r="L2023" s="110">
        <v>862509.39</v>
      </c>
    </row>
    <row r="2024" spans="1:12" x14ac:dyDescent="0.2">
      <c r="A2024" t="s">
        <v>51</v>
      </c>
      <c r="B2024" t="s">
        <v>106</v>
      </c>
      <c r="C2024" t="s">
        <v>221</v>
      </c>
      <c r="D2024" s="110">
        <v>984006.81</v>
      </c>
      <c r="E2024" s="110">
        <v>983380.91</v>
      </c>
      <c r="F2024" s="110">
        <v>983380.91</v>
      </c>
      <c r="I2024" s="110">
        <v>956192.97</v>
      </c>
      <c r="J2024" s="110">
        <v>976709.22</v>
      </c>
      <c r="K2024" s="110">
        <v>976911.22</v>
      </c>
    </row>
    <row r="2025" spans="1:12" x14ac:dyDescent="0.2">
      <c r="A2025" t="s">
        <v>51</v>
      </c>
      <c r="B2025" t="s">
        <v>106</v>
      </c>
      <c r="C2025" t="s">
        <v>222</v>
      </c>
      <c r="D2025" s="110">
        <v>1007185.78</v>
      </c>
      <c r="E2025" s="110">
        <v>1007329.6</v>
      </c>
      <c r="I2025" s="110">
        <v>987799.33</v>
      </c>
      <c r="J2025" s="110">
        <v>996527.35</v>
      </c>
    </row>
    <row r="2026" spans="1:12" x14ac:dyDescent="0.2">
      <c r="A2026" t="s">
        <v>51</v>
      </c>
      <c r="B2026" t="s">
        <v>106</v>
      </c>
      <c r="C2026" t="s">
        <v>223</v>
      </c>
      <c r="D2026" s="110">
        <v>850132.18</v>
      </c>
      <c r="I2026" s="110">
        <v>823335.44</v>
      </c>
    </row>
    <row r="2027" spans="1:12" x14ac:dyDescent="0.2">
      <c r="A2027" t="s">
        <v>51</v>
      </c>
      <c r="B2027" t="s">
        <v>107</v>
      </c>
      <c r="C2027" t="s">
        <v>220</v>
      </c>
      <c r="D2027" s="110">
        <v>712372.99</v>
      </c>
      <c r="E2027" s="110">
        <v>717928.99</v>
      </c>
      <c r="F2027" s="110">
        <v>716935.69</v>
      </c>
      <c r="G2027" s="110">
        <v>716935.69</v>
      </c>
      <c r="I2027" s="110">
        <v>655913.89</v>
      </c>
      <c r="J2027" s="110">
        <v>716981.49</v>
      </c>
      <c r="K2027" s="110">
        <v>716013.19</v>
      </c>
      <c r="L2027" s="110">
        <v>716013.19</v>
      </c>
    </row>
    <row r="2028" spans="1:12" x14ac:dyDescent="0.2">
      <c r="A2028" t="s">
        <v>51</v>
      </c>
      <c r="B2028" t="s">
        <v>107</v>
      </c>
      <c r="C2028" t="s">
        <v>221</v>
      </c>
      <c r="D2028" s="110">
        <v>734016.02</v>
      </c>
      <c r="E2028" s="110">
        <v>733766.02</v>
      </c>
      <c r="F2028" s="110">
        <v>733766.02</v>
      </c>
      <c r="I2028" s="110">
        <v>720385.16</v>
      </c>
      <c r="J2028" s="110">
        <v>730966.02</v>
      </c>
      <c r="K2028" s="110">
        <v>731536.02</v>
      </c>
    </row>
    <row r="2029" spans="1:12" x14ac:dyDescent="0.2">
      <c r="A2029" t="s">
        <v>51</v>
      </c>
      <c r="B2029" t="s">
        <v>107</v>
      </c>
      <c r="C2029" t="s">
        <v>222</v>
      </c>
      <c r="D2029" s="110">
        <v>697961.64</v>
      </c>
      <c r="E2029" s="110">
        <v>697710.64</v>
      </c>
      <c r="I2029" s="110">
        <v>695564.39</v>
      </c>
      <c r="J2029" s="110">
        <v>695849.39</v>
      </c>
    </row>
    <row r="2030" spans="1:12" x14ac:dyDescent="0.2">
      <c r="A2030" t="s">
        <v>51</v>
      </c>
      <c r="B2030" t="s">
        <v>107</v>
      </c>
      <c r="C2030" t="s">
        <v>223</v>
      </c>
      <c r="D2030" s="110">
        <v>780572.76</v>
      </c>
      <c r="I2030" s="110">
        <v>760229.26</v>
      </c>
    </row>
    <row r="2031" spans="1:12" x14ac:dyDescent="0.2">
      <c r="A2031" t="s">
        <v>51</v>
      </c>
      <c r="B2031" t="s">
        <v>108</v>
      </c>
      <c r="C2031" t="s">
        <v>220</v>
      </c>
      <c r="D2031" s="110">
        <v>175577.02</v>
      </c>
      <c r="E2031" s="110">
        <v>174816.32</v>
      </c>
      <c r="F2031" s="110">
        <v>174709.02</v>
      </c>
      <c r="G2031" s="110">
        <v>174309.02</v>
      </c>
      <c r="I2031" s="110">
        <v>171480.92</v>
      </c>
      <c r="J2031" s="110">
        <v>173348.92</v>
      </c>
      <c r="K2031" s="110">
        <v>173472.62</v>
      </c>
      <c r="L2031" s="110">
        <v>173472.62</v>
      </c>
    </row>
    <row r="2032" spans="1:12" x14ac:dyDescent="0.2">
      <c r="A2032" t="s">
        <v>51</v>
      </c>
      <c r="B2032" t="s">
        <v>108</v>
      </c>
      <c r="C2032" t="s">
        <v>221</v>
      </c>
      <c r="D2032" s="110">
        <v>183646.18</v>
      </c>
      <c r="E2032" s="110">
        <v>183652.48000000001</v>
      </c>
      <c r="F2032" s="110">
        <v>183640.48</v>
      </c>
      <c r="I2032" s="110">
        <v>181084.78</v>
      </c>
      <c r="J2032" s="110">
        <v>181969.68</v>
      </c>
      <c r="K2032" s="110">
        <v>182384.58</v>
      </c>
    </row>
    <row r="2033" spans="1:12" x14ac:dyDescent="0.2">
      <c r="A2033" t="s">
        <v>51</v>
      </c>
      <c r="B2033" t="s">
        <v>108</v>
      </c>
      <c r="C2033" t="s">
        <v>222</v>
      </c>
      <c r="D2033" s="110">
        <v>191879.1</v>
      </c>
      <c r="E2033" s="110">
        <v>190416.55</v>
      </c>
      <c r="I2033" s="110">
        <v>189314</v>
      </c>
      <c r="J2033" s="110">
        <v>189937.45</v>
      </c>
    </row>
    <row r="2034" spans="1:12" x14ac:dyDescent="0.2">
      <c r="A2034" t="s">
        <v>51</v>
      </c>
      <c r="B2034" t="s">
        <v>108</v>
      </c>
      <c r="C2034" t="s">
        <v>223</v>
      </c>
      <c r="D2034" s="110">
        <v>188344.27</v>
      </c>
      <c r="I2034" s="110">
        <v>187178.52</v>
      </c>
    </row>
    <row r="2035" spans="1:12" x14ac:dyDescent="0.2">
      <c r="A2035" t="s">
        <v>51</v>
      </c>
      <c r="B2035" t="s">
        <v>70</v>
      </c>
      <c r="C2035" t="s">
        <v>220</v>
      </c>
      <c r="D2035" s="110">
        <v>238747.61</v>
      </c>
      <c r="E2035" s="110">
        <v>239209.61</v>
      </c>
      <c r="F2035" s="110">
        <v>238809.61</v>
      </c>
      <c r="G2035" s="110">
        <v>237304.11</v>
      </c>
      <c r="I2035" s="110">
        <v>210395.65</v>
      </c>
      <c r="J2035" s="110">
        <v>221789.65</v>
      </c>
      <c r="K2035" s="110">
        <v>221989.65</v>
      </c>
      <c r="L2035" s="110">
        <v>222359.65</v>
      </c>
    </row>
    <row r="2036" spans="1:12" x14ac:dyDescent="0.2">
      <c r="A2036" t="s">
        <v>51</v>
      </c>
      <c r="B2036" t="s">
        <v>70</v>
      </c>
      <c r="C2036" t="s">
        <v>221</v>
      </c>
      <c r="D2036" s="110">
        <v>272010.03999999998</v>
      </c>
      <c r="E2036" s="110">
        <v>267831.03999999998</v>
      </c>
      <c r="F2036" s="110">
        <v>268113.03999999998</v>
      </c>
      <c r="I2036" s="110">
        <v>241227.44</v>
      </c>
      <c r="J2036" s="110">
        <v>249004.29</v>
      </c>
      <c r="K2036" s="110">
        <v>249459.79</v>
      </c>
    </row>
    <row r="2037" spans="1:12" x14ac:dyDescent="0.2">
      <c r="A2037" t="s">
        <v>51</v>
      </c>
      <c r="B2037" t="s">
        <v>70</v>
      </c>
      <c r="C2037" t="s">
        <v>222</v>
      </c>
      <c r="D2037" s="110">
        <v>291047.12</v>
      </c>
      <c r="E2037" s="110">
        <v>289296.02</v>
      </c>
      <c r="I2037" s="110">
        <v>266964.42</v>
      </c>
      <c r="J2037" s="110">
        <v>270420.67</v>
      </c>
    </row>
    <row r="2038" spans="1:12" x14ac:dyDescent="0.2">
      <c r="A2038" t="s">
        <v>51</v>
      </c>
      <c r="B2038" t="s">
        <v>70</v>
      </c>
      <c r="C2038" t="s">
        <v>223</v>
      </c>
      <c r="D2038" s="110">
        <v>256936.47</v>
      </c>
      <c r="I2038" s="110">
        <v>238941.81</v>
      </c>
    </row>
    <row r="2039" spans="1:12" x14ac:dyDescent="0.2">
      <c r="A2039" t="s">
        <v>51</v>
      </c>
      <c r="B2039" t="s">
        <v>110</v>
      </c>
      <c r="C2039" t="s">
        <v>220</v>
      </c>
      <c r="D2039" s="110">
        <v>1240833.1399999999</v>
      </c>
      <c r="E2039" s="110">
        <v>1497020.76</v>
      </c>
      <c r="F2039" s="110">
        <v>1493250.56</v>
      </c>
      <c r="G2039" s="110">
        <v>1473419.76</v>
      </c>
      <c r="I2039" s="110">
        <v>504225.6</v>
      </c>
      <c r="J2039" s="110">
        <v>919569.66</v>
      </c>
      <c r="K2039" s="110">
        <v>1129745.46</v>
      </c>
      <c r="L2039" s="110">
        <v>1204670.01</v>
      </c>
    </row>
    <row r="2040" spans="1:12" x14ac:dyDescent="0.2">
      <c r="A2040" t="s">
        <v>51</v>
      </c>
      <c r="B2040" t="s">
        <v>110</v>
      </c>
      <c r="C2040" t="s">
        <v>221</v>
      </c>
      <c r="D2040" s="110">
        <v>1328567.1000000001</v>
      </c>
      <c r="E2040" s="110">
        <v>1408907.95</v>
      </c>
      <c r="F2040" s="110">
        <v>1380894.52</v>
      </c>
      <c r="I2040" s="110">
        <v>598185.99</v>
      </c>
      <c r="J2040" s="110">
        <v>984844.4</v>
      </c>
      <c r="K2040" s="110">
        <v>1114572.29</v>
      </c>
    </row>
    <row r="2041" spans="1:12" x14ac:dyDescent="0.2">
      <c r="A2041" t="s">
        <v>51</v>
      </c>
      <c r="B2041" t="s">
        <v>110</v>
      </c>
      <c r="C2041" t="s">
        <v>222</v>
      </c>
      <c r="D2041" s="110">
        <v>1436155.13</v>
      </c>
      <c r="E2041" s="110">
        <v>1379363.25</v>
      </c>
      <c r="I2041" s="110">
        <v>593591.25</v>
      </c>
      <c r="J2041" s="110">
        <v>973874.05</v>
      </c>
    </row>
    <row r="2042" spans="1:12" x14ac:dyDescent="0.2">
      <c r="A2042" t="s">
        <v>51</v>
      </c>
      <c r="B2042" t="s">
        <v>110</v>
      </c>
      <c r="C2042" t="s">
        <v>223</v>
      </c>
      <c r="D2042" s="110">
        <v>1586839.97</v>
      </c>
      <c r="I2042" s="110">
        <v>565533.04</v>
      </c>
    </row>
    <row r="2043" spans="1:12" x14ac:dyDescent="0.2">
      <c r="A2043" t="s">
        <v>52</v>
      </c>
      <c r="B2043" t="s">
        <v>104</v>
      </c>
      <c r="C2043" t="s">
        <v>220</v>
      </c>
      <c r="D2043" s="110">
        <v>3899492</v>
      </c>
      <c r="E2043" s="110">
        <v>3882272</v>
      </c>
      <c r="F2043" s="110">
        <v>3871915</v>
      </c>
      <c r="G2043" s="110">
        <v>3864856</v>
      </c>
      <c r="I2043" s="110">
        <v>97501</v>
      </c>
      <c r="J2043" s="110">
        <v>163535</v>
      </c>
      <c r="K2043" s="110">
        <v>213277</v>
      </c>
      <c r="L2043" s="110">
        <v>254623</v>
      </c>
    </row>
    <row r="2044" spans="1:12" x14ac:dyDescent="0.2">
      <c r="A2044" t="s">
        <v>52</v>
      </c>
      <c r="B2044" t="s">
        <v>104</v>
      </c>
      <c r="C2044" t="s">
        <v>221</v>
      </c>
      <c r="D2044" s="110">
        <v>3751415</v>
      </c>
      <c r="E2044" s="110">
        <v>3729967</v>
      </c>
      <c r="F2044" s="110">
        <v>3721082</v>
      </c>
      <c r="I2044" s="110">
        <v>104519</v>
      </c>
      <c r="J2044" s="110">
        <v>171328</v>
      </c>
      <c r="K2044" s="110">
        <v>231409</v>
      </c>
    </row>
    <row r="2045" spans="1:12" x14ac:dyDescent="0.2">
      <c r="A2045" t="s">
        <v>52</v>
      </c>
      <c r="B2045" t="s">
        <v>104</v>
      </c>
      <c r="C2045" t="s">
        <v>222</v>
      </c>
      <c r="D2045" s="110">
        <v>3776841</v>
      </c>
      <c r="E2045" s="110">
        <v>3752274</v>
      </c>
      <c r="I2045" s="110">
        <v>117056</v>
      </c>
      <c r="J2045" s="110">
        <v>179056</v>
      </c>
    </row>
    <row r="2046" spans="1:12" x14ac:dyDescent="0.2">
      <c r="A2046" t="s">
        <v>52</v>
      </c>
      <c r="B2046" t="s">
        <v>104</v>
      </c>
      <c r="C2046" t="s">
        <v>223</v>
      </c>
      <c r="D2046" s="110">
        <v>4077307</v>
      </c>
      <c r="I2046" s="110">
        <v>113225</v>
      </c>
    </row>
    <row r="2047" spans="1:12" x14ac:dyDescent="0.2">
      <c r="A2047" t="s">
        <v>52</v>
      </c>
      <c r="B2047" t="s">
        <v>140</v>
      </c>
      <c r="C2047" t="s">
        <v>220</v>
      </c>
      <c r="D2047" s="110">
        <v>2010273</v>
      </c>
      <c r="E2047" s="110">
        <v>2010223</v>
      </c>
      <c r="F2047" s="110">
        <v>2010173</v>
      </c>
      <c r="G2047" s="110">
        <v>2010073</v>
      </c>
      <c r="I2047" s="110">
        <v>0</v>
      </c>
      <c r="J2047" s="110">
        <v>0</v>
      </c>
      <c r="K2047" s="110">
        <v>0</v>
      </c>
      <c r="L2047" s="110">
        <v>0</v>
      </c>
    </row>
    <row r="2048" spans="1:12" x14ac:dyDescent="0.2">
      <c r="A2048" t="s">
        <v>52</v>
      </c>
      <c r="B2048" t="s">
        <v>140</v>
      </c>
      <c r="C2048" t="s">
        <v>221</v>
      </c>
      <c r="D2048" s="110">
        <v>1695053</v>
      </c>
      <c r="E2048" s="110">
        <v>1694953</v>
      </c>
      <c r="F2048" s="110">
        <v>1694853</v>
      </c>
      <c r="I2048" s="110">
        <v>0</v>
      </c>
      <c r="J2048" s="110">
        <v>0</v>
      </c>
      <c r="K2048" s="110">
        <v>0</v>
      </c>
    </row>
    <row r="2049" spans="1:12" x14ac:dyDescent="0.2">
      <c r="A2049" t="s">
        <v>52</v>
      </c>
      <c r="B2049" t="s">
        <v>140</v>
      </c>
      <c r="C2049" t="s">
        <v>222</v>
      </c>
      <c r="D2049" s="110">
        <v>1799683</v>
      </c>
      <c r="E2049" s="110">
        <v>1799233</v>
      </c>
      <c r="I2049" s="110">
        <v>0</v>
      </c>
      <c r="J2049" s="110">
        <v>0</v>
      </c>
    </row>
    <row r="2050" spans="1:12" x14ac:dyDescent="0.2">
      <c r="A2050" t="s">
        <v>52</v>
      </c>
      <c r="B2050" t="s">
        <v>140</v>
      </c>
      <c r="C2050" t="s">
        <v>223</v>
      </c>
      <c r="D2050" s="110">
        <v>2059313</v>
      </c>
      <c r="I2050" s="110">
        <v>0</v>
      </c>
    </row>
    <row r="2051" spans="1:12" x14ac:dyDescent="0.2">
      <c r="A2051" t="s">
        <v>52</v>
      </c>
      <c r="B2051" t="s">
        <v>105</v>
      </c>
      <c r="C2051" t="s">
        <v>220</v>
      </c>
      <c r="D2051" s="110">
        <v>1485452</v>
      </c>
      <c r="E2051" s="110">
        <v>1408861</v>
      </c>
      <c r="F2051" s="110">
        <v>1400324</v>
      </c>
      <c r="G2051" s="110">
        <v>1392701</v>
      </c>
      <c r="I2051" s="110">
        <v>233549</v>
      </c>
      <c r="J2051" s="110">
        <v>335400</v>
      </c>
      <c r="K2051" s="110">
        <v>386491</v>
      </c>
      <c r="L2051" s="110">
        <v>417064</v>
      </c>
    </row>
    <row r="2052" spans="1:12" x14ac:dyDescent="0.2">
      <c r="A2052" t="s">
        <v>52</v>
      </c>
      <c r="B2052" t="s">
        <v>105</v>
      </c>
      <c r="C2052" t="s">
        <v>221</v>
      </c>
      <c r="D2052" s="110">
        <v>1371278</v>
      </c>
      <c r="E2052" s="110">
        <v>1308726</v>
      </c>
      <c r="F2052" s="110">
        <v>1298256</v>
      </c>
      <c r="I2052" s="110">
        <v>196932</v>
      </c>
      <c r="J2052" s="110">
        <v>274663</v>
      </c>
      <c r="K2052" s="110">
        <v>311124</v>
      </c>
    </row>
    <row r="2053" spans="1:12" x14ac:dyDescent="0.2">
      <c r="A2053" t="s">
        <v>52</v>
      </c>
      <c r="B2053" t="s">
        <v>105</v>
      </c>
      <c r="C2053" t="s">
        <v>222</v>
      </c>
      <c r="D2053" s="110">
        <v>1634487</v>
      </c>
      <c r="E2053" s="110">
        <v>1522310</v>
      </c>
      <c r="I2053" s="110">
        <v>245592</v>
      </c>
      <c r="J2053" s="110">
        <v>337655</v>
      </c>
    </row>
    <row r="2054" spans="1:12" x14ac:dyDescent="0.2">
      <c r="A2054" t="s">
        <v>52</v>
      </c>
      <c r="B2054" t="s">
        <v>105</v>
      </c>
      <c r="C2054" t="s">
        <v>223</v>
      </c>
      <c r="D2054" s="110">
        <v>1660560</v>
      </c>
      <c r="I2054" s="110">
        <v>230479</v>
      </c>
    </row>
    <row r="2055" spans="1:12" x14ac:dyDescent="0.2">
      <c r="A2055" t="s">
        <v>52</v>
      </c>
      <c r="B2055" t="s">
        <v>111</v>
      </c>
      <c r="C2055" t="s">
        <v>220</v>
      </c>
      <c r="D2055" s="110">
        <v>37240</v>
      </c>
      <c r="E2055" s="110">
        <v>36493</v>
      </c>
      <c r="F2055" s="110">
        <v>33692</v>
      </c>
      <c r="G2055" s="110">
        <v>33614</v>
      </c>
      <c r="I2055" s="110">
        <v>1562</v>
      </c>
      <c r="J2055" s="110">
        <v>2562</v>
      </c>
      <c r="K2055" s="110">
        <v>2599</v>
      </c>
      <c r="L2055" s="110">
        <v>2967</v>
      </c>
    </row>
    <row r="2056" spans="1:12" x14ac:dyDescent="0.2">
      <c r="A2056" t="s">
        <v>52</v>
      </c>
      <c r="B2056" t="s">
        <v>111</v>
      </c>
      <c r="C2056" t="s">
        <v>221</v>
      </c>
      <c r="D2056" s="110">
        <v>38024</v>
      </c>
      <c r="E2056" s="110">
        <v>37086</v>
      </c>
      <c r="F2056" s="110">
        <v>35324</v>
      </c>
      <c r="I2056" s="110">
        <v>1376</v>
      </c>
      <c r="J2056" s="110">
        <v>1994</v>
      </c>
      <c r="K2056" s="110">
        <v>2137</v>
      </c>
    </row>
    <row r="2057" spans="1:12" x14ac:dyDescent="0.2">
      <c r="A2057" t="s">
        <v>52</v>
      </c>
      <c r="B2057" t="s">
        <v>111</v>
      </c>
      <c r="C2057" t="s">
        <v>222</v>
      </c>
      <c r="D2057" s="110">
        <v>37611</v>
      </c>
      <c r="E2057" s="110">
        <v>37397</v>
      </c>
      <c r="I2057" s="110">
        <v>1631</v>
      </c>
      <c r="J2057" s="110">
        <v>1884</v>
      </c>
    </row>
    <row r="2058" spans="1:12" x14ac:dyDescent="0.2">
      <c r="A2058" t="s">
        <v>52</v>
      </c>
      <c r="B2058" t="s">
        <v>111</v>
      </c>
      <c r="C2058" t="s">
        <v>223</v>
      </c>
      <c r="D2058" s="110">
        <v>36343</v>
      </c>
      <c r="I2058" s="110">
        <v>1719</v>
      </c>
    </row>
    <row r="2059" spans="1:12" x14ac:dyDescent="0.2">
      <c r="A2059" t="s">
        <v>52</v>
      </c>
      <c r="B2059" t="s">
        <v>109</v>
      </c>
      <c r="C2059" t="s">
        <v>220</v>
      </c>
      <c r="D2059" s="110">
        <v>1912282</v>
      </c>
      <c r="E2059" s="110">
        <v>1901411</v>
      </c>
      <c r="F2059" s="110">
        <v>1895323</v>
      </c>
      <c r="G2059" s="110">
        <v>1891521</v>
      </c>
      <c r="I2059" s="110">
        <v>702939</v>
      </c>
      <c r="J2059" s="110">
        <v>992907</v>
      </c>
      <c r="K2059" s="110">
        <v>1143195</v>
      </c>
      <c r="L2059" s="110">
        <v>1236887</v>
      </c>
    </row>
    <row r="2060" spans="1:12" x14ac:dyDescent="0.2">
      <c r="A2060" t="s">
        <v>52</v>
      </c>
      <c r="B2060" t="s">
        <v>109</v>
      </c>
      <c r="C2060" t="s">
        <v>221</v>
      </c>
      <c r="D2060" s="110">
        <v>1878667</v>
      </c>
      <c r="E2060" s="110">
        <v>1870751</v>
      </c>
      <c r="F2060" s="110">
        <v>1866358</v>
      </c>
      <c r="I2060" s="110">
        <v>875160</v>
      </c>
      <c r="J2060" s="110">
        <v>1019226</v>
      </c>
      <c r="K2060" s="110">
        <v>1146506</v>
      </c>
    </row>
    <row r="2061" spans="1:12" x14ac:dyDescent="0.2">
      <c r="A2061" t="s">
        <v>52</v>
      </c>
      <c r="B2061" t="s">
        <v>109</v>
      </c>
      <c r="C2061" t="s">
        <v>222</v>
      </c>
      <c r="D2061" s="110">
        <v>1904967</v>
      </c>
      <c r="E2061" s="110">
        <v>1892131</v>
      </c>
      <c r="I2061" s="110">
        <v>766398</v>
      </c>
      <c r="J2061" s="110">
        <v>1009528</v>
      </c>
    </row>
    <row r="2062" spans="1:12" x14ac:dyDescent="0.2">
      <c r="A2062" t="s">
        <v>52</v>
      </c>
      <c r="B2062" t="s">
        <v>109</v>
      </c>
      <c r="C2062" t="s">
        <v>223</v>
      </c>
      <c r="D2062" s="110">
        <v>1786780</v>
      </c>
      <c r="I2062" s="110">
        <v>713649</v>
      </c>
    </row>
    <row r="2063" spans="1:12" x14ac:dyDescent="0.2">
      <c r="A2063" t="s">
        <v>52</v>
      </c>
      <c r="B2063" t="s">
        <v>106</v>
      </c>
      <c r="C2063" t="s">
        <v>220</v>
      </c>
      <c r="D2063" s="110">
        <v>1619014</v>
      </c>
      <c r="E2063" s="110">
        <v>1611300</v>
      </c>
      <c r="F2063" s="110">
        <v>1610523</v>
      </c>
      <c r="G2063" s="110">
        <v>1610523</v>
      </c>
      <c r="I2063" s="110">
        <v>1598644</v>
      </c>
      <c r="J2063" s="110">
        <v>1607602</v>
      </c>
      <c r="K2063" s="110">
        <v>1607021</v>
      </c>
      <c r="L2063" s="110">
        <v>1607021</v>
      </c>
    </row>
    <row r="2064" spans="1:12" x14ac:dyDescent="0.2">
      <c r="A2064" t="s">
        <v>52</v>
      </c>
      <c r="B2064" t="s">
        <v>106</v>
      </c>
      <c r="C2064" t="s">
        <v>221</v>
      </c>
      <c r="D2064" s="110">
        <v>1627191</v>
      </c>
      <c r="E2064" s="110">
        <v>1622580</v>
      </c>
      <c r="F2064" s="110">
        <v>1621255</v>
      </c>
      <c r="I2064" s="110">
        <v>1608520</v>
      </c>
      <c r="J2064" s="110">
        <v>1617024</v>
      </c>
      <c r="K2064" s="110">
        <v>1618209</v>
      </c>
    </row>
    <row r="2065" spans="1:12" x14ac:dyDescent="0.2">
      <c r="A2065" t="s">
        <v>52</v>
      </c>
      <c r="B2065" t="s">
        <v>106</v>
      </c>
      <c r="C2065" t="s">
        <v>222</v>
      </c>
      <c r="D2065" s="110">
        <v>1605270</v>
      </c>
      <c r="E2065" s="110">
        <v>1601928</v>
      </c>
      <c r="I2065" s="110">
        <v>1583488</v>
      </c>
      <c r="J2065" s="110">
        <v>1599682</v>
      </c>
    </row>
    <row r="2066" spans="1:12" x14ac:dyDescent="0.2">
      <c r="A2066" t="s">
        <v>52</v>
      </c>
      <c r="B2066" t="s">
        <v>106</v>
      </c>
      <c r="C2066" t="s">
        <v>223</v>
      </c>
      <c r="D2066" s="110">
        <v>144540</v>
      </c>
      <c r="I2066" s="110">
        <v>1432166</v>
      </c>
    </row>
    <row r="2067" spans="1:12" x14ac:dyDescent="0.2">
      <c r="A2067" t="s">
        <v>52</v>
      </c>
      <c r="B2067" t="s">
        <v>107</v>
      </c>
      <c r="C2067" t="s">
        <v>220</v>
      </c>
      <c r="D2067" s="110">
        <v>1208720</v>
      </c>
      <c r="E2067" s="110">
        <v>1208317</v>
      </c>
      <c r="F2067" s="110">
        <v>1208268</v>
      </c>
      <c r="G2067" s="110">
        <v>1208268</v>
      </c>
      <c r="I2067" s="110">
        <v>1207692</v>
      </c>
      <c r="J2067" s="110">
        <v>1207377</v>
      </c>
      <c r="K2067" s="110">
        <v>1207328</v>
      </c>
      <c r="L2067" s="110">
        <v>1207328</v>
      </c>
    </row>
    <row r="2068" spans="1:12" x14ac:dyDescent="0.2">
      <c r="A2068" t="s">
        <v>52</v>
      </c>
      <c r="B2068" t="s">
        <v>107</v>
      </c>
      <c r="C2068" t="s">
        <v>221</v>
      </c>
      <c r="D2068" s="110">
        <v>1336359</v>
      </c>
      <c r="E2068" s="110">
        <v>1335985</v>
      </c>
      <c r="F2068" s="110">
        <v>1335985</v>
      </c>
      <c r="I2068" s="110">
        <v>1333944</v>
      </c>
      <c r="J2068" s="110">
        <v>1334014</v>
      </c>
      <c r="K2068" s="110">
        <v>1334014</v>
      </c>
    </row>
    <row r="2069" spans="1:12" x14ac:dyDescent="0.2">
      <c r="A2069" t="s">
        <v>52</v>
      </c>
      <c r="B2069" t="s">
        <v>107</v>
      </c>
      <c r="C2069" t="s">
        <v>222</v>
      </c>
      <c r="D2069" s="110">
        <v>1240977</v>
      </c>
      <c r="E2069" s="110">
        <v>1240627</v>
      </c>
      <c r="I2069" s="110">
        <v>1237276</v>
      </c>
      <c r="J2069" s="110">
        <v>1239599</v>
      </c>
    </row>
    <row r="2070" spans="1:12" x14ac:dyDescent="0.2">
      <c r="A2070" t="s">
        <v>52</v>
      </c>
      <c r="B2070" t="s">
        <v>107</v>
      </c>
      <c r="C2070" t="s">
        <v>223</v>
      </c>
      <c r="D2070" s="110">
        <v>1451323</v>
      </c>
      <c r="I2070" s="110">
        <v>1447984</v>
      </c>
    </row>
    <row r="2071" spans="1:12" x14ac:dyDescent="0.2">
      <c r="A2071" t="s">
        <v>52</v>
      </c>
      <c r="B2071" t="s">
        <v>108</v>
      </c>
      <c r="C2071" t="s">
        <v>220</v>
      </c>
      <c r="D2071" s="110">
        <v>390734</v>
      </c>
      <c r="E2071" s="110">
        <v>390734</v>
      </c>
      <c r="F2071" s="110">
        <v>390256</v>
      </c>
      <c r="G2071" s="110">
        <v>389981</v>
      </c>
      <c r="I2071" s="110">
        <v>387816</v>
      </c>
      <c r="J2071" s="110">
        <v>388088</v>
      </c>
      <c r="K2071" s="110">
        <v>388718</v>
      </c>
      <c r="L2071" s="110">
        <v>388718</v>
      </c>
    </row>
    <row r="2072" spans="1:12" x14ac:dyDescent="0.2">
      <c r="A2072" t="s">
        <v>52</v>
      </c>
      <c r="B2072" t="s">
        <v>108</v>
      </c>
      <c r="C2072" t="s">
        <v>221</v>
      </c>
      <c r="D2072" s="110">
        <v>436814</v>
      </c>
      <c r="E2072" s="110">
        <v>436645</v>
      </c>
      <c r="F2072" s="110">
        <v>436345</v>
      </c>
      <c r="I2072" s="110">
        <v>433414</v>
      </c>
      <c r="J2072" s="110">
        <v>434118</v>
      </c>
      <c r="K2072" s="110">
        <v>434118</v>
      </c>
    </row>
    <row r="2073" spans="1:12" x14ac:dyDescent="0.2">
      <c r="A2073" t="s">
        <v>52</v>
      </c>
      <c r="B2073" t="s">
        <v>108</v>
      </c>
      <c r="C2073" t="s">
        <v>222</v>
      </c>
      <c r="D2073" s="110">
        <v>431303</v>
      </c>
      <c r="E2073" s="110">
        <v>431242</v>
      </c>
      <c r="I2073" s="110">
        <v>428299</v>
      </c>
      <c r="J2073" s="110">
        <v>429282</v>
      </c>
    </row>
    <row r="2074" spans="1:12" x14ac:dyDescent="0.2">
      <c r="A2074" t="s">
        <v>52</v>
      </c>
      <c r="B2074" t="s">
        <v>108</v>
      </c>
      <c r="C2074" t="s">
        <v>223</v>
      </c>
      <c r="D2074" s="110">
        <v>450720</v>
      </c>
      <c r="I2074" s="110">
        <v>448475</v>
      </c>
    </row>
    <row r="2075" spans="1:12" x14ac:dyDescent="0.2">
      <c r="A2075" t="s">
        <v>52</v>
      </c>
      <c r="B2075" t="s">
        <v>70</v>
      </c>
      <c r="C2075" t="s">
        <v>220</v>
      </c>
      <c r="D2075" s="110">
        <v>484049</v>
      </c>
      <c r="E2075" s="110">
        <v>483641</v>
      </c>
      <c r="F2075" s="110">
        <v>483393</v>
      </c>
      <c r="G2075" s="110">
        <v>483393</v>
      </c>
      <c r="I2075" s="110">
        <v>474992</v>
      </c>
      <c r="J2075" s="110">
        <v>475812</v>
      </c>
      <c r="K2075" s="110">
        <v>479467</v>
      </c>
      <c r="L2075" s="110">
        <v>479477</v>
      </c>
    </row>
    <row r="2076" spans="1:12" x14ac:dyDescent="0.2">
      <c r="A2076" t="s">
        <v>52</v>
      </c>
      <c r="B2076" t="s">
        <v>70</v>
      </c>
      <c r="C2076" t="s">
        <v>221</v>
      </c>
      <c r="D2076" s="110">
        <v>535216</v>
      </c>
      <c r="E2076" s="110">
        <v>534800</v>
      </c>
      <c r="F2076" s="110">
        <v>534786</v>
      </c>
      <c r="I2076" s="110">
        <v>530050</v>
      </c>
      <c r="J2076" s="110">
        <v>531086</v>
      </c>
      <c r="K2076" s="110">
        <v>531149</v>
      </c>
    </row>
    <row r="2077" spans="1:12" x14ac:dyDescent="0.2">
      <c r="A2077" t="s">
        <v>52</v>
      </c>
      <c r="B2077" t="s">
        <v>70</v>
      </c>
      <c r="C2077" t="s">
        <v>222</v>
      </c>
      <c r="D2077" s="110">
        <v>535138</v>
      </c>
      <c r="E2077" s="110">
        <v>53458</v>
      </c>
      <c r="I2077" s="110">
        <v>528545</v>
      </c>
      <c r="J2077" s="110">
        <v>532262</v>
      </c>
    </row>
    <row r="2078" spans="1:12" x14ac:dyDescent="0.2">
      <c r="A2078" t="s">
        <v>52</v>
      </c>
      <c r="B2078" t="s">
        <v>70</v>
      </c>
      <c r="C2078" t="s">
        <v>223</v>
      </c>
      <c r="D2078" s="110">
        <v>522863</v>
      </c>
      <c r="I2078" s="110">
        <v>518116</v>
      </c>
    </row>
    <row r="2079" spans="1:12" x14ac:dyDescent="0.2">
      <c r="A2079" t="s">
        <v>52</v>
      </c>
      <c r="B2079" t="s">
        <v>110</v>
      </c>
      <c r="C2079" t="s">
        <v>220</v>
      </c>
      <c r="D2079" s="110">
        <v>4473454</v>
      </c>
      <c r="E2079" s="110">
        <v>3853311</v>
      </c>
      <c r="F2079" s="110">
        <v>3693863</v>
      </c>
      <c r="G2079" s="110">
        <v>394851</v>
      </c>
      <c r="I2079" s="110">
        <v>2394462</v>
      </c>
      <c r="J2079" s="110">
        <v>3044998</v>
      </c>
      <c r="K2079" s="110">
        <v>3167744</v>
      </c>
      <c r="L2079" s="110">
        <v>3203430</v>
      </c>
    </row>
    <row r="2080" spans="1:12" x14ac:dyDescent="0.2">
      <c r="A2080" t="s">
        <v>52</v>
      </c>
      <c r="B2080" t="s">
        <v>110</v>
      </c>
      <c r="C2080" t="s">
        <v>221</v>
      </c>
      <c r="D2080" s="110">
        <v>4296742</v>
      </c>
      <c r="E2080" s="110">
        <v>3784272</v>
      </c>
      <c r="F2080" s="110">
        <v>3780352</v>
      </c>
      <c r="I2080" s="110">
        <v>2320940</v>
      </c>
      <c r="J2080" s="110">
        <v>3114891</v>
      </c>
      <c r="K2080" s="110">
        <v>3327322</v>
      </c>
    </row>
    <row r="2081" spans="1:12" x14ac:dyDescent="0.2">
      <c r="A2081" t="s">
        <v>52</v>
      </c>
      <c r="B2081" t="s">
        <v>110</v>
      </c>
      <c r="C2081" t="s">
        <v>222</v>
      </c>
      <c r="D2081" s="110">
        <v>4534254</v>
      </c>
      <c r="E2081" s="110">
        <v>3904715</v>
      </c>
      <c r="I2081" s="110">
        <v>2410672</v>
      </c>
      <c r="J2081" s="110">
        <v>3109964</v>
      </c>
    </row>
    <row r="2082" spans="1:12" x14ac:dyDescent="0.2">
      <c r="A2082" t="s">
        <v>52</v>
      </c>
      <c r="B2082" t="s">
        <v>110</v>
      </c>
      <c r="C2082" t="s">
        <v>223</v>
      </c>
      <c r="D2082" s="110">
        <v>4326789</v>
      </c>
      <c r="I2082" s="110">
        <v>2096894</v>
      </c>
    </row>
    <row r="2083" spans="1:12" x14ac:dyDescent="0.2">
      <c r="A2083" t="s">
        <v>53</v>
      </c>
      <c r="B2083" t="s">
        <v>104</v>
      </c>
      <c r="C2083" t="s">
        <v>220</v>
      </c>
      <c r="D2083" s="110">
        <v>3913109.49</v>
      </c>
      <c r="E2083" s="110">
        <v>3911373.87</v>
      </c>
      <c r="F2083" s="110">
        <v>3907858.15</v>
      </c>
      <c r="G2083" s="110">
        <v>3899667.01</v>
      </c>
      <c r="I2083" s="110">
        <v>53595.06</v>
      </c>
      <c r="J2083" s="110">
        <v>135099.28</v>
      </c>
      <c r="K2083" s="110">
        <v>175373.09</v>
      </c>
      <c r="L2083" s="110">
        <v>207307.26</v>
      </c>
    </row>
    <row r="2084" spans="1:12" x14ac:dyDescent="0.2">
      <c r="A2084" t="s">
        <v>53</v>
      </c>
      <c r="B2084" t="s">
        <v>104</v>
      </c>
      <c r="C2084" t="s">
        <v>221</v>
      </c>
      <c r="D2084" s="110">
        <v>6166792.7400000002</v>
      </c>
      <c r="E2084" s="110">
        <v>6268281.0999999996</v>
      </c>
      <c r="F2084" s="110">
        <v>6262432.8499999996</v>
      </c>
      <c r="I2084" s="110">
        <v>93288.27</v>
      </c>
      <c r="J2084" s="110">
        <v>179812.83</v>
      </c>
      <c r="K2084" s="110">
        <v>226104.11</v>
      </c>
    </row>
    <row r="2085" spans="1:12" x14ac:dyDescent="0.2">
      <c r="A2085" t="s">
        <v>53</v>
      </c>
      <c r="B2085" t="s">
        <v>104</v>
      </c>
      <c r="C2085" t="s">
        <v>222</v>
      </c>
      <c r="D2085" s="110">
        <v>4783431.5199999996</v>
      </c>
      <c r="E2085" s="110">
        <v>4775208.43</v>
      </c>
      <c r="I2085" s="110">
        <v>70834.649999999994</v>
      </c>
      <c r="J2085" s="110">
        <v>144532.66</v>
      </c>
    </row>
    <row r="2086" spans="1:12" x14ac:dyDescent="0.2">
      <c r="A2086" t="s">
        <v>53</v>
      </c>
      <c r="B2086" t="s">
        <v>104</v>
      </c>
      <c r="C2086" t="s">
        <v>223</v>
      </c>
      <c r="D2086" s="110">
        <v>4535394.6500000004</v>
      </c>
      <c r="I2086" s="110">
        <v>74849.25</v>
      </c>
    </row>
    <row r="2087" spans="1:12" x14ac:dyDescent="0.2">
      <c r="A2087" t="s">
        <v>53</v>
      </c>
      <c r="B2087" t="s">
        <v>140</v>
      </c>
      <c r="C2087" t="s">
        <v>220</v>
      </c>
      <c r="D2087" s="110">
        <v>2430465</v>
      </c>
      <c r="E2087" s="110">
        <v>2430465</v>
      </c>
      <c r="F2087" s="110">
        <v>2430465</v>
      </c>
      <c r="G2087" s="110">
        <v>2430465</v>
      </c>
      <c r="I2087" s="110">
        <v>200</v>
      </c>
      <c r="J2087" s="110">
        <v>200</v>
      </c>
      <c r="K2087" s="110">
        <v>200</v>
      </c>
      <c r="L2087" s="110">
        <v>200</v>
      </c>
    </row>
    <row r="2088" spans="1:12" x14ac:dyDescent="0.2">
      <c r="A2088" t="s">
        <v>53</v>
      </c>
      <c r="B2088" t="s">
        <v>140</v>
      </c>
      <c r="C2088" t="s">
        <v>221</v>
      </c>
      <c r="D2088" s="110">
        <v>4475917</v>
      </c>
      <c r="E2088" s="110">
        <v>4580917</v>
      </c>
      <c r="F2088" s="110">
        <v>4580917</v>
      </c>
      <c r="I2088" s="110">
        <v>413</v>
      </c>
      <c r="J2088" s="110">
        <v>413</v>
      </c>
      <c r="K2088" s="110">
        <v>413</v>
      </c>
    </row>
    <row r="2089" spans="1:12" x14ac:dyDescent="0.2">
      <c r="A2089" t="s">
        <v>53</v>
      </c>
      <c r="B2089" t="s">
        <v>140</v>
      </c>
      <c r="C2089" t="s">
        <v>222</v>
      </c>
      <c r="D2089" s="110">
        <v>3164682</v>
      </c>
      <c r="E2089" s="110">
        <v>3164682</v>
      </c>
      <c r="I2089" s="110">
        <v>3</v>
      </c>
      <c r="J2089" s="110">
        <v>3</v>
      </c>
    </row>
    <row r="2090" spans="1:12" x14ac:dyDescent="0.2">
      <c r="A2090" t="s">
        <v>53</v>
      </c>
      <c r="B2090" t="s">
        <v>140</v>
      </c>
      <c r="C2090" t="s">
        <v>223</v>
      </c>
      <c r="D2090" s="110">
        <v>2386392</v>
      </c>
      <c r="I2090" s="110">
        <v>925.82</v>
      </c>
    </row>
    <row r="2091" spans="1:12" x14ac:dyDescent="0.2">
      <c r="A2091" t="s">
        <v>53</v>
      </c>
      <c r="B2091" t="s">
        <v>105</v>
      </c>
      <c r="C2091" t="s">
        <v>220</v>
      </c>
      <c r="D2091" s="110">
        <v>926328.52</v>
      </c>
      <c r="E2091" s="110">
        <v>916908.48</v>
      </c>
      <c r="F2091" s="110">
        <v>911422.77</v>
      </c>
      <c r="G2091" s="110">
        <v>908116.81</v>
      </c>
      <c r="I2091" s="110">
        <v>185170.46</v>
      </c>
      <c r="J2091" s="110">
        <v>290131.63</v>
      </c>
      <c r="K2091" s="110">
        <v>337603.7</v>
      </c>
      <c r="L2091" s="110">
        <v>357417.66</v>
      </c>
    </row>
    <row r="2092" spans="1:12" x14ac:dyDescent="0.2">
      <c r="A2092" t="s">
        <v>53</v>
      </c>
      <c r="B2092" t="s">
        <v>105</v>
      </c>
      <c r="C2092" t="s">
        <v>221</v>
      </c>
      <c r="D2092" s="110">
        <v>874886.55</v>
      </c>
      <c r="E2092" s="110">
        <v>855352.65</v>
      </c>
      <c r="F2092" s="110">
        <v>850881.99</v>
      </c>
      <c r="I2092" s="110">
        <v>201272.52</v>
      </c>
      <c r="J2092" s="110">
        <v>292592.64000000001</v>
      </c>
      <c r="K2092" s="110">
        <v>333026.67</v>
      </c>
    </row>
    <row r="2093" spans="1:12" x14ac:dyDescent="0.2">
      <c r="A2093" t="s">
        <v>53</v>
      </c>
      <c r="B2093" t="s">
        <v>105</v>
      </c>
      <c r="C2093" t="s">
        <v>222</v>
      </c>
      <c r="D2093" s="110">
        <v>1019203.6</v>
      </c>
      <c r="E2093" s="110">
        <v>1001827.36</v>
      </c>
      <c r="I2093" s="110">
        <v>191424.99</v>
      </c>
      <c r="J2093" s="110">
        <v>303068.69</v>
      </c>
    </row>
    <row r="2094" spans="1:12" x14ac:dyDescent="0.2">
      <c r="A2094" t="s">
        <v>53</v>
      </c>
      <c r="B2094" t="s">
        <v>105</v>
      </c>
      <c r="C2094" t="s">
        <v>223</v>
      </c>
      <c r="D2094" s="110">
        <v>1101224.21</v>
      </c>
      <c r="I2094" s="110">
        <v>222892.36</v>
      </c>
    </row>
    <row r="2095" spans="1:12" x14ac:dyDescent="0.2">
      <c r="A2095" t="s">
        <v>53</v>
      </c>
      <c r="B2095" t="s">
        <v>111</v>
      </c>
      <c r="C2095" t="s">
        <v>220</v>
      </c>
      <c r="D2095" s="110">
        <v>116629.93</v>
      </c>
      <c r="E2095" s="110">
        <v>115201.51</v>
      </c>
      <c r="F2095" s="110">
        <v>114167.51</v>
      </c>
      <c r="G2095" s="110">
        <v>110819.37</v>
      </c>
      <c r="I2095" s="110">
        <v>5304.82</v>
      </c>
      <c r="J2095" s="110">
        <v>12002.54</v>
      </c>
      <c r="K2095" s="110">
        <v>15210.28</v>
      </c>
      <c r="L2095" s="110">
        <v>19277.939999999999</v>
      </c>
    </row>
    <row r="2096" spans="1:12" x14ac:dyDescent="0.2">
      <c r="A2096" t="s">
        <v>53</v>
      </c>
      <c r="B2096" t="s">
        <v>111</v>
      </c>
      <c r="C2096" t="s">
        <v>221</v>
      </c>
      <c r="D2096" s="110">
        <v>122341.69</v>
      </c>
      <c r="E2096" s="110">
        <v>119917.69</v>
      </c>
      <c r="F2096" s="110">
        <v>118820.69</v>
      </c>
      <c r="I2096" s="110">
        <v>9307.08</v>
      </c>
      <c r="J2096" s="110">
        <v>15102.24</v>
      </c>
      <c r="K2096" s="110">
        <v>18723.48</v>
      </c>
    </row>
    <row r="2097" spans="1:12" x14ac:dyDescent="0.2">
      <c r="A2097" t="s">
        <v>53</v>
      </c>
      <c r="B2097" t="s">
        <v>111</v>
      </c>
      <c r="C2097" t="s">
        <v>222</v>
      </c>
      <c r="D2097" s="110">
        <v>125383.36</v>
      </c>
      <c r="E2097" s="110">
        <v>124015.1</v>
      </c>
      <c r="I2097" s="110">
        <v>5317.6</v>
      </c>
      <c r="J2097" s="110">
        <v>14908.66</v>
      </c>
    </row>
    <row r="2098" spans="1:12" x14ac:dyDescent="0.2">
      <c r="A2098" t="s">
        <v>53</v>
      </c>
      <c r="B2098" t="s">
        <v>111</v>
      </c>
      <c r="C2098" t="s">
        <v>223</v>
      </c>
      <c r="D2098" s="110">
        <v>127921.24</v>
      </c>
      <c r="I2098" s="110">
        <v>4575.34</v>
      </c>
    </row>
    <row r="2099" spans="1:12" x14ac:dyDescent="0.2">
      <c r="A2099" t="s">
        <v>53</v>
      </c>
      <c r="B2099" t="s">
        <v>109</v>
      </c>
      <c r="C2099" t="s">
        <v>220</v>
      </c>
      <c r="D2099" s="110">
        <v>702835.19999999995</v>
      </c>
      <c r="E2099" s="110">
        <v>692640.43</v>
      </c>
      <c r="F2099" s="110">
        <v>688579.05</v>
      </c>
      <c r="G2099" s="110">
        <v>685638.57</v>
      </c>
      <c r="I2099" s="110">
        <v>181888.63</v>
      </c>
      <c r="J2099" s="110">
        <v>279698.38</v>
      </c>
      <c r="K2099" s="110">
        <v>321183.09000000003</v>
      </c>
      <c r="L2099" s="110">
        <v>348730.55</v>
      </c>
    </row>
    <row r="2100" spans="1:12" x14ac:dyDescent="0.2">
      <c r="A2100" t="s">
        <v>53</v>
      </c>
      <c r="B2100" t="s">
        <v>109</v>
      </c>
      <c r="C2100" t="s">
        <v>221</v>
      </c>
      <c r="D2100" s="110">
        <v>748547.69</v>
      </c>
      <c r="E2100" s="110">
        <v>741194.03</v>
      </c>
      <c r="F2100" s="110">
        <v>741792.85</v>
      </c>
      <c r="I2100" s="110">
        <v>242402.98</v>
      </c>
      <c r="J2100" s="110">
        <v>344623.75</v>
      </c>
      <c r="K2100" s="110">
        <v>388712.17</v>
      </c>
    </row>
    <row r="2101" spans="1:12" x14ac:dyDescent="0.2">
      <c r="A2101" t="s">
        <v>53</v>
      </c>
      <c r="B2101" t="s">
        <v>109</v>
      </c>
      <c r="C2101" t="s">
        <v>222</v>
      </c>
      <c r="D2101" s="110">
        <v>891494.51</v>
      </c>
      <c r="E2101" s="110">
        <v>880267.67</v>
      </c>
      <c r="I2101" s="110">
        <v>251894.04</v>
      </c>
      <c r="J2101" s="110">
        <v>354212.38</v>
      </c>
    </row>
    <row r="2102" spans="1:12" x14ac:dyDescent="0.2">
      <c r="A2102" t="s">
        <v>53</v>
      </c>
      <c r="B2102" t="s">
        <v>109</v>
      </c>
      <c r="C2102" t="s">
        <v>223</v>
      </c>
      <c r="D2102" s="110">
        <v>814599</v>
      </c>
      <c r="I2102" s="110">
        <v>212012.75</v>
      </c>
    </row>
    <row r="2103" spans="1:12" x14ac:dyDescent="0.2">
      <c r="A2103" t="s">
        <v>53</v>
      </c>
      <c r="B2103" t="s">
        <v>106</v>
      </c>
      <c r="C2103" t="s">
        <v>220</v>
      </c>
      <c r="D2103" s="110">
        <v>923727.92</v>
      </c>
      <c r="E2103" s="110">
        <v>923727.92</v>
      </c>
      <c r="F2103" s="110">
        <v>923727.92</v>
      </c>
      <c r="G2103" s="110">
        <v>923727.92</v>
      </c>
      <c r="I2103" s="110">
        <v>912413.82</v>
      </c>
      <c r="J2103" s="110">
        <v>915633.82</v>
      </c>
      <c r="K2103" s="110">
        <v>915633.82</v>
      </c>
      <c r="L2103" s="110">
        <v>916078.82</v>
      </c>
    </row>
    <row r="2104" spans="1:12" x14ac:dyDescent="0.2">
      <c r="A2104" t="s">
        <v>53</v>
      </c>
      <c r="B2104" t="s">
        <v>106</v>
      </c>
      <c r="C2104" t="s">
        <v>221</v>
      </c>
      <c r="D2104" s="110">
        <v>940326.78</v>
      </c>
      <c r="E2104" s="110">
        <v>940326.78</v>
      </c>
      <c r="F2104" s="110">
        <v>939926.78</v>
      </c>
      <c r="I2104" s="110">
        <v>927763.28</v>
      </c>
      <c r="J2104" s="110">
        <v>928980.78</v>
      </c>
      <c r="K2104" s="110">
        <v>929030.78</v>
      </c>
    </row>
    <row r="2105" spans="1:12" x14ac:dyDescent="0.2">
      <c r="A2105" t="s">
        <v>53</v>
      </c>
      <c r="B2105" t="s">
        <v>106</v>
      </c>
      <c r="C2105" t="s">
        <v>222</v>
      </c>
      <c r="D2105" s="110">
        <v>877800.51</v>
      </c>
      <c r="E2105" s="110">
        <v>877800.51</v>
      </c>
      <c r="I2105" s="110">
        <v>868460.92</v>
      </c>
      <c r="J2105" s="110">
        <v>869595.92</v>
      </c>
    </row>
    <row r="2106" spans="1:12" x14ac:dyDescent="0.2">
      <c r="A2106" t="s">
        <v>53</v>
      </c>
      <c r="B2106" t="s">
        <v>106</v>
      </c>
      <c r="C2106" t="s">
        <v>223</v>
      </c>
      <c r="D2106" s="110">
        <v>957504.65</v>
      </c>
      <c r="I2106" s="110">
        <v>947717.15</v>
      </c>
    </row>
    <row r="2107" spans="1:12" x14ac:dyDescent="0.2">
      <c r="A2107" t="s">
        <v>53</v>
      </c>
      <c r="B2107" t="s">
        <v>107</v>
      </c>
      <c r="C2107" t="s">
        <v>220</v>
      </c>
      <c r="D2107" s="110">
        <v>1048494.15</v>
      </c>
      <c r="E2107" s="110">
        <v>1048494.15</v>
      </c>
      <c r="F2107" s="110">
        <v>1048494.15</v>
      </c>
      <c r="G2107" s="110">
        <v>1048494.15</v>
      </c>
      <c r="I2107" s="110">
        <v>1046754.15</v>
      </c>
      <c r="J2107" s="110">
        <v>1046754.15</v>
      </c>
      <c r="K2107" s="110">
        <v>1047054.15</v>
      </c>
      <c r="L2107" s="110">
        <v>1047054.15</v>
      </c>
    </row>
    <row r="2108" spans="1:12" x14ac:dyDescent="0.2">
      <c r="A2108" t="s">
        <v>53</v>
      </c>
      <c r="B2108" t="s">
        <v>107</v>
      </c>
      <c r="C2108" t="s">
        <v>221</v>
      </c>
      <c r="D2108" s="110">
        <v>1149542.71</v>
      </c>
      <c r="E2108" s="110">
        <v>1149542.71</v>
      </c>
      <c r="F2108" s="110">
        <v>1149542.71</v>
      </c>
      <c r="I2108" s="110">
        <v>1147399.71</v>
      </c>
      <c r="J2108" s="110">
        <v>1148094.71</v>
      </c>
      <c r="K2108" s="110">
        <v>1148094.71</v>
      </c>
    </row>
    <row r="2109" spans="1:12" x14ac:dyDescent="0.2">
      <c r="A2109" t="s">
        <v>53</v>
      </c>
      <c r="B2109" t="s">
        <v>107</v>
      </c>
      <c r="C2109" t="s">
        <v>222</v>
      </c>
      <c r="D2109" s="110">
        <v>1075465.6599999999</v>
      </c>
      <c r="E2109" s="110">
        <v>1075350.6599999999</v>
      </c>
      <c r="I2109" s="110">
        <v>1073296.6599999999</v>
      </c>
      <c r="J2109" s="110">
        <v>1073787.1599999999</v>
      </c>
    </row>
    <row r="2110" spans="1:12" x14ac:dyDescent="0.2">
      <c r="A2110" t="s">
        <v>53</v>
      </c>
      <c r="B2110" t="s">
        <v>107</v>
      </c>
      <c r="C2110" t="s">
        <v>223</v>
      </c>
      <c r="D2110" s="110">
        <v>1250895.07</v>
      </c>
      <c r="I2110" s="110">
        <v>1248740.07</v>
      </c>
    </row>
    <row r="2111" spans="1:12" x14ac:dyDescent="0.2">
      <c r="A2111" t="s">
        <v>53</v>
      </c>
      <c r="B2111" t="s">
        <v>108</v>
      </c>
      <c r="C2111" t="s">
        <v>220</v>
      </c>
      <c r="D2111" s="110">
        <v>197167.84</v>
      </c>
      <c r="E2111" s="110">
        <v>197167.84</v>
      </c>
      <c r="F2111" s="110">
        <v>197167.84</v>
      </c>
      <c r="G2111" s="110">
        <v>196136.84</v>
      </c>
      <c r="I2111" s="110">
        <v>195850.84</v>
      </c>
      <c r="J2111" s="110">
        <v>195985.84</v>
      </c>
      <c r="K2111" s="110">
        <v>195985.84</v>
      </c>
      <c r="L2111" s="110">
        <v>196040.84</v>
      </c>
    </row>
    <row r="2112" spans="1:12" x14ac:dyDescent="0.2">
      <c r="A2112" t="s">
        <v>53</v>
      </c>
      <c r="B2112" t="s">
        <v>108</v>
      </c>
      <c r="C2112" t="s">
        <v>221</v>
      </c>
      <c r="D2112" s="110">
        <v>204141.25</v>
      </c>
      <c r="E2112" s="110">
        <v>204141.25</v>
      </c>
      <c r="F2112" s="110">
        <v>202248.25</v>
      </c>
      <c r="I2112" s="110">
        <v>199407.25</v>
      </c>
      <c r="J2112" s="110">
        <v>201178.25</v>
      </c>
      <c r="K2112" s="110">
        <v>201178.25</v>
      </c>
    </row>
    <row r="2113" spans="1:12" x14ac:dyDescent="0.2">
      <c r="A2113" t="s">
        <v>53</v>
      </c>
      <c r="B2113" t="s">
        <v>108</v>
      </c>
      <c r="C2113" t="s">
        <v>222</v>
      </c>
      <c r="D2113" s="110">
        <v>223329.13</v>
      </c>
      <c r="E2113" s="110">
        <v>221436.13</v>
      </c>
      <c r="I2113" s="110">
        <v>218086.13</v>
      </c>
      <c r="J2113" s="110">
        <v>219282.13</v>
      </c>
    </row>
    <row r="2114" spans="1:12" x14ac:dyDescent="0.2">
      <c r="A2114" t="s">
        <v>53</v>
      </c>
      <c r="B2114" t="s">
        <v>108</v>
      </c>
      <c r="C2114" t="s">
        <v>223</v>
      </c>
      <c r="D2114" s="110">
        <v>208060.9</v>
      </c>
      <c r="I2114" s="110">
        <v>206735.9</v>
      </c>
    </row>
    <row r="2115" spans="1:12" x14ac:dyDescent="0.2">
      <c r="A2115" t="s">
        <v>53</v>
      </c>
      <c r="B2115" t="s">
        <v>70</v>
      </c>
      <c r="C2115" t="s">
        <v>220</v>
      </c>
      <c r="D2115" s="110">
        <v>266863.28999999998</v>
      </c>
      <c r="E2115" s="110">
        <v>266150.28999999998</v>
      </c>
      <c r="F2115" s="110">
        <v>266150.28999999998</v>
      </c>
      <c r="G2115" s="110">
        <v>266150.28999999998</v>
      </c>
      <c r="I2115" s="110">
        <v>262150.28999999998</v>
      </c>
      <c r="J2115" s="110">
        <v>262738.28999999998</v>
      </c>
      <c r="K2115" s="110">
        <v>262788.28999999998</v>
      </c>
      <c r="L2115" s="110">
        <v>262788.28999999998</v>
      </c>
    </row>
    <row r="2116" spans="1:12" x14ac:dyDescent="0.2">
      <c r="A2116" t="s">
        <v>53</v>
      </c>
      <c r="B2116" t="s">
        <v>70</v>
      </c>
      <c r="C2116" t="s">
        <v>221</v>
      </c>
      <c r="D2116" s="110">
        <v>300003.05</v>
      </c>
      <c r="E2116" s="110">
        <v>299708.05</v>
      </c>
      <c r="F2116" s="110">
        <v>299708.05</v>
      </c>
      <c r="I2116" s="110">
        <v>296437.55</v>
      </c>
      <c r="J2116" s="110">
        <v>296762.55</v>
      </c>
      <c r="K2116" s="110">
        <v>297182.55</v>
      </c>
    </row>
    <row r="2117" spans="1:12" x14ac:dyDescent="0.2">
      <c r="A2117" t="s">
        <v>53</v>
      </c>
      <c r="B2117" t="s">
        <v>70</v>
      </c>
      <c r="C2117" t="s">
        <v>222</v>
      </c>
      <c r="D2117" s="110">
        <v>302292.45</v>
      </c>
      <c r="E2117" s="110">
        <v>302292.45</v>
      </c>
      <c r="I2117" s="110">
        <v>297448.45</v>
      </c>
      <c r="J2117" s="110">
        <v>297916.45</v>
      </c>
    </row>
    <row r="2118" spans="1:12" x14ac:dyDescent="0.2">
      <c r="A2118" t="s">
        <v>53</v>
      </c>
      <c r="B2118" t="s">
        <v>70</v>
      </c>
      <c r="C2118" t="s">
        <v>223</v>
      </c>
      <c r="D2118" s="110">
        <v>284433.75</v>
      </c>
      <c r="I2118" s="110">
        <v>278916.28000000003</v>
      </c>
    </row>
    <row r="2119" spans="1:12" x14ac:dyDescent="0.2">
      <c r="A2119" t="s">
        <v>53</v>
      </c>
      <c r="B2119" t="s">
        <v>110</v>
      </c>
      <c r="C2119" t="s">
        <v>220</v>
      </c>
      <c r="D2119" s="110">
        <v>4194849.3</v>
      </c>
      <c r="E2119" s="110">
        <v>4183348.76</v>
      </c>
      <c r="F2119" s="110">
        <v>4180891.18</v>
      </c>
      <c r="G2119" s="110">
        <v>4179260.82</v>
      </c>
      <c r="I2119" s="110">
        <v>1834133.79</v>
      </c>
      <c r="J2119" s="110">
        <v>3279262.78</v>
      </c>
      <c r="K2119" s="110">
        <v>3561077.59</v>
      </c>
      <c r="L2119" s="110">
        <v>3642214.01</v>
      </c>
    </row>
    <row r="2120" spans="1:12" x14ac:dyDescent="0.2">
      <c r="A2120" t="s">
        <v>53</v>
      </c>
      <c r="B2120" t="s">
        <v>110</v>
      </c>
      <c r="C2120" t="s">
        <v>221</v>
      </c>
      <c r="D2120" s="110">
        <v>3993763.57</v>
      </c>
      <c r="E2120" s="110">
        <v>3917790.68</v>
      </c>
      <c r="F2120" s="110">
        <v>3912009.18</v>
      </c>
      <c r="I2120" s="110">
        <v>1953329.39</v>
      </c>
      <c r="J2120" s="110">
        <v>3126255.01</v>
      </c>
      <c r="K2120" s="110">
        <v>3348767.51</v>
      </c>
    </row>
    <row r="2121" spans="1:12" x14ac:dyDescent="0.2">
      <c r="A2121" t="s">
        <v>53</v>
      </c>
      <c r="B2121" t="s">
        <v>110</v>
      </c>
      <c r="C2121" t="s">
        <v>222</v>
      </c>
      <c r="D2121" s="110">
        <v>3956223.86</v>
      </c>
      <c r="E2121" s="110">
        <v>3877008.37</v>
      </c>
      <c r="I2121" s="110">
        <v>1802071.98</v>
      </c>
      <c r="J2121" s="110">
        <v>2955428.43</v>
      </c>
    </row>
    <row r="2122" spans="1:12" x14ac:dyDescent="0.2">
      <c r="A2122" t="s">
        <v>53</v>
      </c>
      <c r="B2122" t="s">
        <v>110</v>
      </c>
      <c r="C2122" t="s">
        <v>223</v>
      </c>
      <c r="D2122" s="110">
        <v>3649623.15</v>
      </c>
      <c r="I2122" s="110">
        <v>1621531.74</v>
      </c>
    </row>
    <row r="2123" spans="1:12" x14ac:dyDescent="0.2">
      <c r="A2123" t="s">
        <v>54</v>
      </c>
      <c r="B2123" t="s">
        <v>104</v>
      </c>
      <c r="C2123" t="s">
        <v>220</v>
      </c>
      <c r="D2123" s="110">
        <v>462872.98</v>
      </c>
      <c r="E2123" s="110">
        <v>462872.98</v>
      </c>
      <c r="F2123" s="110">
        <v>462872.98</v>
      </c>
      <c r="G2123" s="110">
        <v>462872.98</v>
      </c>
      <c r="I2123" s="110">
        <v>3656.19</v>
      </c>
      <c r="J2123" s="110">
        <v>6515.53</v>
      </c>
      <c r="K2123" s="110">
        <v>11717.08</v>
      </c>
      <c r="L2123" s="110">
        <v>15202.01</v>
      </c>
    </row>
    <row r="2124" spans="1:12" x14ac:dyDescent="0.2">
      <c r="A2124" t="s">
        <v>54</v>
      </c>
      <c r="B2124" t="s">
        <v>104</v>
      </c>
      <c r="C2124" t="s">
        <v>221</v>
      </c>
      <c r="D2124" s="110">
        <v>521424.6</v>
      </c>
      <c r="E2124" s="110">
        <v>521424.6</v>
      </c>
      <c r="F2124" s="110">
        <v>521424.6</v>
      </c>
      <c r="I2124" s="110">
        <v>3464.64</v>
      </c>
      <c r="J2124" s="110">
        <v>8232.61</v>
      </c>
      <c r="K2124" s="110">
        <v>10342.469999999999</v>
      </c>
    </row>
    <row r="2125" spans="1:12" x14ac:dyDescent="0.2">
      <c r="A2125" t="s">
        <v>54</v>
      </c>
      <c r="B2125" t="s">
        <v>104</v>
      </c>
      <c r="C2125" t="s">
        <v>222</v>
      </c>
      <c r="D2125" s="110">
        <v>283145.26</v>
      </c>
      <c r="E2125" s="110">
        <v>293145.26</v>
      </c>
      <c r="I2125" s="110">
        <v>1471.05</v>
      </c>
      <c r="J2125" s="110">
        <v>4280.03</v>
      </c>
    </row>
    <row r="2126" spans="1:12" x14ac:dyDescent="0.2">
      <c r="A2126" t="s">
        <v>54</v>
      </c>
      <c r="B2126" t="s">
        <v>104</v>
      </c>
      <c r="C2126" t="s">
        <v>223</v>
      </c>
      <c r="D2126" s="110">
        <v>408933</v>
      </c>
      <c r="I2126" s="110">
        <v>2171.81</v>
      </c>
    </row>
    <row r="2127" spans="1:12" x14ac:dyDescent="0.2">
      <c r="A2127" t="s">
        <v>54</v>
      </c>
      <c r="B2127" t="s">
        <v>140</v>
      </c>
      <c r="C2127" t="s">
        <v>220</v>
      </c>
      <c r="D2127" s="110">
        <v>212075</v>
      </c>
      <c r="E2127" s="110">
        <v>212075</v>
      </c>
      <c r="F2127" s="110">
        <v>212075</v>
      </c>
      <c r="G2127" s="110">
        <v>212075</v>
      </c>
      <c r="I2127" s="110">
        <v>0</v>
      </c>
      <c r="J2127" s="110">
        <v>0</v>
      </c>
      <c r="K2127" s="110">
        <v>0</v>
      </c>
      <c r="L2127" s="110">
        <v>0</v>
      </c>
    </row>
    <row r="2128" spans="1:12" x14ac:dyDescent="0.2">
      <c r="A2128" t="s">
        <v>54</v>
      </c>
      <c r="B2128" t="s">
        <v>140</v>
      </c>
      <c r="C2128" t="s">
        <v>221</v>
      </c>
      <c r="D2128" s="110">
        <v>317290</v>
      </c>
      <c r="E2128" s="110">
        <v>317290</v>
      </c>
      <c r="F2128" s="110">
        <v>317290</v>
      </c>
      <c r="I2128" s="110">
        <v>0</v>
      </c>
      <c r="J2128" s="110">
        <v>0</v>
      </c>
      <c r="K2128" s="110">
        <v>0</v>
      </c>
    </row>
    <row r="2129" spans="1:12" x14ac:dyDescent="0.2">
      <c r="A2129" t="s">
        <v>54</v>
      </c>
      <c r="B2129" t="s">
        <v>140</v>
      </c>
      <c r="C2129" t="s">
        <v>222</v>
      </c>
      <c r="D2129" s="110">
        <v>0</v>
      </c>
      <c r="E2129" s="110">
        <v>0</v>
      </c>
      <c r="I2129" s="110">
        <v>0</v>
      </c>
      <c r="J2129" s="110">
        <v>0</v>
      </c>
    </row>
    <row r="2130" spans="1:12" x14ac:dyDescent="0.2">
      <c r="A2130" t="s">
        <v>54</v>
      </c>
      <c r="B2130" t="s">
        <v>140</v>
      </c>
      <c r="C2130" t="s">
        <v>223</v>
      </c>
      <c r="D2130" s="110">
        <v>159540</v>
      </c>
      <c r="I2130" s="110">
        <v>0</v>
      </c>
    </row>
    <row r="2131" spans="1:12" x14ac:dyDescent="0.2">
      <c r="A2131" t="s">
        <v>54</v>
      </c>
      <c r="B2131" t="s">
        <v>105</v>
      </c>
      <c r="C2131" t="s">
        <v>220</v>
      </c>
      <c r="D2131" s="110">
        <v>83979</v>
      </c>
      <c r="E2131" s="110">
        <v>83979</v>
      </c>
      <c r="F2131" s="110">
        <v>83979</v>
      </c>
      <c r="G2131" s="110">
        <v>83979</v>
      </c>
      <c r="I2131" s="110">
        <v>7565</v>
      </c>
      <c r="J2131" s="110">
        <v>19295.25</v>
      </c>
      <c r="K2131" s="110">
        <v>26475</v>
      </c>
      <c r="L2131" s="110">
        <v>27294.5</v>
      </c>
    </row>
    <row r="2132" spans="1:12" x14ac:dyDescent="0.2">
      <c r="A2132" t="s">
        <v>54</v>
      </c>
      <c r="B2132" t="s">
        <v>105</v>
      </c>
      <c r="C2132" t="s">
        <v>221</v>
      </c>
      <c r="D2132" s="110">
        <v>70679.94</v>
      </c>
      <c r="E2132" s="110">
        <v>70679.94</v>
      </c>
      <c r="F2132" s="110">
        <v>70679.94</v>
      </c>
      <c r="I2132" s="110">
        <v>7782</v>
      </c>
      <c r="J2132" s="110">
        <v>16034</v>
      </c>
      <c r="K2132" s="110">
        <v>22947</v>
      </c>
    </row>
    <row r="2133" spans="1:12" x14ac:dyDescent="0.2">
      <c r="A2133" t="s">
        <v>54</v>
      </c>
      <c r="B2133" t="s">
        <v>105</v>
      </c>
      <c r="C2133" t="s">
        <v>222</v>
      </c>
      <c r="D2133" s="110">
        <v>100338.16</v>
      </c>
      <c r="E2133" s="110">
        <v>100338.16</v>
      </c>
      <c r="I2133" s="110">
        <v>11860.5</v>
      </c>
      <c r="J2133" s="110">
        <v>26516.25</v>
      </c>
    </row>
    <row r="2134" spans="1:12" x14ac:dyDescent="0.2">
      <c r="A2134" t="s">
        <v>54</v>
      </c>
      <c r="B2134" t="s">
        <v>105</v>
      </c>
      <c r="C2134" t="s">
        <v>223</v>
      </c>
      <c r="D2134" s="110">
        <v>83794</v>
      </c>
      <c r="I2134" s="110">
        <v>7942.38</v>
      </c>
    </row>
    <row r="2135" spans="1:12" x14ac:dyDescent="0.2">
      <c r="A2135" t="s">
        <v>54</v>
      </c>
      <c r="B2135" t="s">
        <v>111</v>
      </c>
      <c r="C2135" t="s">
        <v>220</v>
      </c>
      <c r="D2135" s="110">
        <v>1900</v>
      </c>
      <c r="E2135" s="110">
        <v>1900</v>
      </c>
      <c r="F2135" s="110">
        <v>1900</v>
      </c>
      <c r="G2135" s="110">
        <v>1900</v>
      </c>
      <c r="I2135" s="110">
        <v>50</v>
      </c>
      <c r="J2135" s="110">
        <v>50</v>
      </c>
      <c r="K2135" s="110">
        <v>50</v>
      </c>
      <c r="L2135" s="110">
        <v>50</v>
      </c>
    </row>
    <row r="2136" spans="1:12" x14ac:dyDescent="0.2">
      <c r="A2136" t="s">
        <v>54</v>
      </c>
      <c r="B2136" t="s">
        <v>111</v>
      </c>
      <c r="C2136" t="s">
        <v>221</v>
      </c>
      <c r="D2136" s="110">
        <v>3890</v>
      </c>
      <c r="E2136" s="110">
        <v>3890</v>
      </c>
      <c r="F2136" s="110">
        <v>3890</v>
      </c>
      <c r="I2136" s="110">
        <v>0</v>
      </c>
      <c r="J2136" s="110">
        <v>0</v>
      </c>
      <c r="K2136" s="110">
        <v>0</v>
      </c>
    </row>
    <row r="2137" spans="1:12" x14ac:dyDescent="0.2">
      <c r="A2137" t="s">
        <v>54</v>
      </c>
      <c r="B2137" t="s">
        <v>111</v>
      </c>
      <c r="C2137" t="s">
        <v>222</v>
      </c>
      <c r="D2137" s="110">
        <v>1300</v>
      </c>
      <c r="E2137" s="110">
        <v>1300</v>
      </c>
      <c r="I2137" s="110">
        <v>0</v>
      </c>
      <c r="J2137" s="110">
        <v>0</v>
      </c>
    </row>
    <row r="2138" spans="1:12" x14ac:dyDescent="0.2">
      <c r="A2138" t="s">
        <v>54</v>
      </c>
      <c r="B2138" t="s">
        <v>111</v>
      </c>
      <c r="C2138" t="s">
        <v>223</v>
      </c>
      <c r="D2138" s="110">
        <v>400</v>
      </c>
      <c r="I2138" s="110">
        <v>0</v>
      </c>
    </row>
    <row r="2139" spans="1:12" x14ac:dyDescent="0.2">
      <c r="A2139" t="s">
        <v>54</v>
      </c>
      <c r="B2139" t="s">
        <v>109</v>
      </c>
      <c r="C2139" t="s">
        <v>220</v>
      </c>
      <c r="D2139" s="110">
        <v>62837.5</v>
      </c>
      <c r="E2139" s="110">
        <v>62837.5</v>
      </c>
      <c r="F2139" s="110">
        <v>62837.5</v>
      </c>
      <c r="G2139" s="110">
        <v>62837.5</v>
      </c>
      <c r="I2139" s="110">
        <v>13285.1</v>
      </c>
      <c r="J2139" s="110">
        <v>31319.5</v>
      </c>
      <c r="K2139" s="110">
        <v>38398.5</v>
      </c>
      <c r="L2139" s="110">
        <v>40627.5</v>
      </c>
    </row>
    <row r="2140" spans="1:12" x14ac:dyDescent="0.2">
      <c r="A2140" t="s">
        <v>54</v>
      </c>
      <c r="B2140" t="s">
        <v>109</v>
      </c>
      <c r="C2140" t="s">
        <v>221</v>
      </c>
      <c r="D2140" s="110">
        <v>70423.5</v>
      </c>
      <c r="E2140" s="110">
        <v>70423.5</v>
      </c>
      <c r="F2140" s="110">
        <v>70423.5</v>
      </c>
      <c r="I2140" s="110">
        <v>16550</v>
      </c>
      <c r="J2140" s="110">
        <v>36563</v>
      </c>
      <c r="K2140" s="110">
        <v>41238</v>
      </c>
    </row>
    <row r="2141" spans="1:12" x14ac:dyDescent="0.2">
      <c r="A2141" t="s">
        <v>54</v>
      </c>
      <c r="B2141" t="s">
        <v>109</v>
      </c>
      <c r="C2141" t="s">
        <v>222</v>
      </c>
      <c r="D2141" s="110">
        <v>94781</v>
      </c>
      <c r="E2141" s="110">
        <v>94781</v>
      </c>
      <c r="I2141" s="110">
        <v>22686</v>
      </c>
      <c r="J2141" s="110">
        <v>44635.58</v>
      </c>
    </row>
    <row r="2142" spans="1:12" x14ac:dyDescent="0.2">
      <c r="A2142" t="s">
        <v>54</v>
      </c>
      <c r="B2142" t="s">
        <v>109</v>
      </c>
      <c r="C2142" t="s">
        <v>223</v>
      </c>
      <c r="D2142" s="110">
        <v>77984</v>
      </c>
      <c r="I2142" s="110">
        <v>17879</v>
      </c>
    </row>
    <row r="2143" spans="1:12" x14ac:dyDescent="0.2">
      <c r="A2143" t="s">
        <v>54</v>
      </c>
      <c r="B2143" t="s">
        <v>106</v>
      </c>
      <c r="C2143" t="s">
        <v>220</v>
      </c>
      <c r="D2143" s="110">
        <v>76199.100000000006</v>
      </c>
      <c r="E2143" s="110">
        <v>76199.100000000006</v>
      </c>
      <c r="F2143" s="110">
        <v>76199.100000000006</v>
      </c>
      <c r="G2143" s="110">
        <v>76199.100000000006</v>
      </c>
      <c r="I2143" s="110">
        <v>73575.600000000006</v>
      </c>
      <c r="J2143" s="110">
        <v>76688.100000000006</v>
      </c>
      <c r="K2143" s="110">
        <v>76688.100000000006</v>
      </c>
      <c r="L2143" s="110">
        <v>76128.100000000006</v>
      </c>
    </row>
    <row r="2144" spans="1:12" x14ac:dyDescent="0.2">
      <c r="A2144" t="s">
        <v>54</v>
      </c>
      <c r="B2144" t="s">
        <v>106</v>
      </c>
      <c r="C2144" t="s">
        <v>221</v>
      </c>
      <c r="D2144" s="110">
        <v>96188.65</v>
      </c>
      <c r="E2144" s="110">
        <v>96155.65</v>
      </c>
      <c r="F2144" s="110">
        <v>96155.65</v>
      </c>
      <c r="I2144" s="110">
        <v>91786.65</v>
      </c>
      <c r="J2144" s="110">
        <v>95461.65</v>
      </c>
      <c r="K2144" s="110">
        <v>95461.65</v>
      </c>
    </row>
    <row r="2145" spans="1:12" x14ac:dyDescent="0.2">
      <c r="A2145" t="s">
        <v>54</v>
      </c>
      <c r="B2145" t="s">
        <v>106</v>
      </c>
      <c r="C2145" t="s">
        <v>222</v>
      </c>
      <c r="D2145" s="110">
        <v>100607.81</v>
      </c>
      <c r="E2145" s="110">
        <v>100607.81</v>
      </c>
      <c r="I2145" s="110">
        <v>100197.81</v>
      </c>
      <c r="J2145" s="110">
        <v>100607.81</v>
      </c>
    </row>
    <row r="2146" spans="1:12" x14ac:dyDescent="0.2">
      <c r="A2146" t="s">
        <v>54</v>
      </c>
      <c r="B2146" t="s">
        <v>106</v>
      </c>
      <c r="C2146" t="s">
        <v>223</v>
      </c>
      <c r="D2146" s="110">
        <v>81232.06</v>
      </c>
      <c r="I2146" s="110">
        <v>80227.06</v>
      </c>
    </row>
    <row r="2147" spans="1:12" x14ac:dyDescent="0.2">
      <c r="A2147" t="s">
        <v>54</v>
      </c>
      <c r="B2147" t="s">
        <v>107</v>
      </c>
      <c r="C2147" t="s">
        <v>220</v>
      </c>
      <c r="D2147" s="110">
        <v>91780.73</v>
      </c>
      <c r="E2147" s="110">
        <v>91780.73</v>
      </c>
      <c r="F2147" s="110">
        <v>91780.73</v>
      </c>
      <c r="G2147" s="110">
        <v>91535.72</v>
      </c>
      <c r="I2147" s="110">
        <v>91420.73</v>
      </c>
      <c r="J2147" s="110">
        <v>91420.73</v>
      </c>
      <c r="K2147" s="110">
        <v>91420.73</v>
      </c>
      <c r="L2147" s="110">
        <v>91175.73</v>
      </c>
    </row>
    <row r="2148" spans="1:12" x14ac:dyDescent="0.2">
      <c r="A2148" t="s">
        <v>54</v>
      </c>
      <c r="B2148" t="s">
        <v>107</v>
      </c>
      <c r="C2148" t="s">
        <v>221</v>
      </c>
      <c r="D2148" s="110">
        <v>71396.81</v>
      </c>
      <c r="E2148" s="110">
        <v>71396.81</v>
      </c>
      <c r="F2148" s="110">
        <v>71396.81</v>
      </c>
      <c r="I2148" s="110">
        <v>69565.81</v>
      </c>
      <c r="J2148" s="110">
        <v>70425.81</v>
      </c>
      <c r="K2148" s="110">
        <v>70425.81</v>
      </c>
    </row>
    <row r="2149" spans="1:12" x14ac:dyDescent="0.2">
      <c r="A2149" t="s">
        <v>54</v>
      </c>
      <c r="B2149" t="s">
        <v>107</v>
      </c>
      <c r="C2149" t="s">
        <v>222</v>
      </c>
      <c r="D2149" s="110">
        <v>83246.080000000002</v>
      </c>
      <c r="E2149" s="110">
        <v>83116.08</v>
      </c>
      <c r="I2149" s="110">
        <v>82588.58</v>
      </c>
      <c r="J2149" s="110">
        <v>82621.08</v>
      </c>
    </row>
    <row r="2150" spans="1:12" x14ac:dyDescent="0.2">
      <c r="A2150" t="s">
        <v>54</v>
      </c>
      <c r="B2150" t="s">
        <v>107</v>
      </c>
      <c r="C2150" t="s">
        <v>223</v>
      </c>
      <c r="D2150" s="110">
        <v>83127.5</v>
      </c>
      <c r="I2150" s="110">
        <v>81662.5</v>
      </c>
    </row>
    <row r="2151" spans="1:12" x14ac:dyDescent="0.2">
      <c r="A2151" t="s">
        <v>54</v>
      </c>
      <c r="B2151" t="s">
        <v>108</v>
      </c>
      <c r="C2151" t="s">
        <v>220</v>
      </c>
      <c r="D2151" s="110">
        <v>27951</v>
      </c>
      <c r="E2151" s="110">
        <v>27951</v>
      </c>
      <c r="F2151" s="110">
        <v>27951</v>
      </c>
      <c r="G2151" s="110">
        <v>27951</v>
      </c>
      <c r="I2151" s="110">
        <v>27951</v>
      </c>
      <c r="J2151" s="110">
        <v>27951</v>
      </c>
      <c r="K2151" s="110">
        <v>27951</v>
      </c>
      <c r="L2151" s="110">
        <v>27951</v>
      </c>
    </row>
    <row r="2152" spans="1:12" x14ac:dyDescent="0.2">
      <c r="A2152" t="s">
        <v>54</v>
      </c>
      <c r="B2152" t="s">
        <v>108</v>
      </c>
      <c r="C2152" t="s">
        <v>221</v>
      </c>
      <c r="D2152" s="110">
        <v>23874</v>
      </c>
      <c r="E2152" s="110">
        <v>23874</v>
      </c>
      <c r="F2152" s="110">
        <v>23874</v>
      </c>
      <c r="I2152" s="110">
        <v>23012</v>
      </c>
      <c r="J2152" s="110">
        <v>23643</v>
      </c>
      <c r="K2152" s="110">
        <v>23643</v>
      </c>
    </row>
    <row r="2153" spans="1:12" x14ac:dyDescent="0.2">
      <c r="A2153" t="s">
        <v>54</v>
      </c>
      <c r="B2153" t="s">
        <v>108</v>
      </c>
      <c r="C2153" t="s">
        <v>222</v>
      </c>
      <c r="D2153" s="110">
        <v>33021</v>
      </c>
      <c r="E2153" s="110">
        <v>33021</v>
      </c>
      <c r="I2153" s="110">
        <v>32676</v>
      </c>
      <c r="J2153" s="110">
        <v>33021</v>
      </c>
    </row>
    <row r="2154" spans="1:12" x14ac:dyDescent="0.2">
      <c r="A2154" t="s">
        <v>54</v>
      </c>
      <c r="B2154" t="s">
        <v>108</v>
      </c>
      <c r="C2154" t="s">
        <v>223</v>
      </c>
      <c r="D2154" s="110">
        <v>27777</v>
      </c>
      <c r="I2154" s="110">
        <v>26801</v>
      </c>
    </row>
    <row r="2155" spans="1:12" x14ac:dyDescent="0.2">
      <c r="A2155" t="s">
        <v>54</v>
      </c>
      <c r="B2155" t="s">
        <v>70</v>
      </c>
      <c r="C2155" t="s">
        <v>220</v>
      </c>
      <c r="D2155" s="110">
        <v>31958.25</v>
      </c>
      <c r="E2155" s="110">
        <v>31958.25</v>
      </c>
      <c r="F2155" s="110">
        <v>31958.25</v>
      </c>
      <c r="G2155" s="110">
        <v>31958.25</v>
      </c>
      <c r="I2155" s="110">
        <v>28950.25</v>
      </c>
      <c r="J2155" s="110">
        <v>28052.25</v>
      </c>
      <c r="K2155" s="110">
        <v>29507.29</v>
      </c>
      <c r="L2155" s="110">
        <v>29573.96</v>
      </c>
    </row>
    <row r="2156" spans="1:12" x14ac:dyDescent="0.2">
      <c r="A2156" t="s">
        <v>54</v>
      </c>
      <c r="B2156" t="s">
        <v>70</v>
      </c>
      <c r="C2156" t="s">
        <v>221</v>
      </c>
      <c r="D2156" s="110">
        <v>42411.75</v>
      </c>
      <c r="E2156" s="110">
        <v>42411.75</v>
      </c>
      <c r="F2156" s="110">
        <v>42411.75</v>
      </c>
      <c r="I2156" s="110">
        <v>36293.08</v>
      </c>
      <c r="J2156" s="110">
        <v>38917.410000000003</v>
      </c>
      <c r="K2156" s="110">
        <v>39253.410000000003</v>
      </c>
    </row>
    <row r="2157" spans="1:12" x14ac:dyDescent="0.2">
      <c r="A2157" t="s">
        <v>54</v>
      </c>
      <c r="B2157" t="s">
        <v>70</v>
      </c>
      <c r="C2157" t="s">
        <v>222</v>
      </c>
      <c r="D2157" s="110">
        <v>35334.25</v>
      </c>
      <c r="E2157" s="110">
        <v>34926.25</v>
      </c>
      <c r="I2157" s="110">
        <v>32022.25</v>
      </c>
      <c r="J2157" s="110">
        <v>33113.25</v>
      </c>
    </row>
    <row r="2158" spans="1:12" x14ac:dyDescent="0.2">
      <c r="A2158" t="s">
        <v>54</v>
      </c>
      <c r="B2158" t="s">
        <v>70</v>
      </c>
      <c r="C2158" t="s">
        <v>223</v>
      </c>
      <c r="D2158" s="110">
        <v>41827</v>
      </c>
      <c r="I2158" s="110">
        <v>36308</v>
      </c>
    </row>
    <row r="2159" spans="1:12" x14ac:dyDescent="0.2">
      <c r="A2159" t="s">
        <v>54</v>
      </c>
      <c r="B2159" t="s">
        <v>110</v>
      </c>
      <c r="C2159" t="s">
        <v>220</v>
      </c>
      <c r="D2159" s="110">
        <v>100123.65</v>
      </c>
      <c r="E2159" s="110">
        <v>100123.65</v>
      </c>
      <c r="F2159" s="110">
        <v>100123.65</v>
      </c>
      <c r="G2159" s="110">
        <v>100123.65</v>
      </c>
      <c r="I2159" s="110">
        <v>29169</v>
      </c>
      <c r="J2159" s="110">
        <v>63991.9</v>
      </c>
      <c r="K2159" s="110">
        <v>77602.399999999994</v>
      </c>
      <c r="L2159" s="110">
        <v>78970.39</v>
      </c>
    </row>
    <row r="2160" spans="1:12" x14ac:dyDescent="0.2">
      <c r="A2160" t="s">
        <v>54</v>
      </c>
      <c r="B2160" t="s">
        <v>110</v>
      </c>
      <c r="C2160" t="s">
        <v>221</v>
      </c>
      <c r="D2160" s="110">
        <v>153966.81</v>
      </c>
      <c r="E2160" s="110">
        <v>140096.81</v>
      </c>
      <c r="F2160" s="110">
        <v>138255.91</v>
      </c>
      <c r="I2160" s="110">
        <v>40735.620000000003</v>
      </c>
      <c r="J2160" s="110">
        <v>86607.37</v>
      </c>
      <c r="K2160" s="110">
        <v>99669.07</v>
      </c>
    </row>
    <row r="2161" spans="1:12" x14ac:dyDescent="0.2">
      <c r="A2161" t="s">
        <v>54</v>
      </c>
      <c r="B2161" t="s">
        <v>110</v>
      </c>
      <c r="C2161" t="s">
        <v>222</v>
      </c>
      <c r="D2161" s="110">
        <v>210763.1</v>
      </c>
      <c r="E2161" s="110">
        <v>199988.75</v>
      </c>
      <c r="I2161" s="110">
        <v>57961.35</v>
      </c>
      <c r="J2161" s="110">
        <v>120091.91</v>
      </c>
    </row>
    <row r="2162" spans="1:12" x14ac:dyDescent="0.2">
      <c r="A2162" t="s">
        <v>54</v>
      </c>
      <c r="B2162" t="s">
        <v>110</v>
      </c>
      <c r="C2162" t="s">
        <v>223</v>
      </c>
      <c r="D2162" s="110">
        <v>162281.85</v>
      </c>
      <c r="I2162" s="110">
        <v>50172.2</v>
      </c>
    </row>
    <row r="2163" spans="1:12" x14ac:dyDescent="0.2">
      <c r="A2163" s="56" t="s">
        <v>77</v>
      </c>
      <c r="B2163" t="s">
        <v>104</v>
      </c>
      <c r="C2163" t="s">
        <v>220</v>
      </c>
      <c r="D2163" s="110">
        <v>419375.5</v>
      </c>
      <c r="E2163" s="110">
        <v>419260.5</v>
      </c>
      <c r="F2163" s="110">
        <v>419160.5</v>
      </c>
      <c r="G2163" s="110">
        <v>419648.5</v>
      </c>
      <c r="I2163" s="110">
        <v>10192.76</v>
      </c>
      <c r="J2163" s="110">
        <v>20111.96</v>
      </c>
      <c r="K2163" s="110">
        <v>28959.87</v>
      </c>
      <c r="L2163" s="110">
        <v>36788.31</v>
      </c>
    </row>
    <row r="2164" spans="1:12" x14ac:dyDescent="0.2">
      <c r="A2164" t="s">
        <v>77</v>
      </c>
      <c r="B2164" t="s">
        <v>104</v>
      </c>
      <c r="C2164" t="s">
        <v>221</v>
      </c>
      <c r="D2164" s="110">
        <v>378824</v>
      </c>
      <c r="E2164" s="110">
        <v>378156</v>
      </c>
      <c r="F2164" s="110">
        <v>377323</v>
      </c>
      <c r="I2164" s="110">
        <v>11715.32</v>
      </c>
      <c r="J2164" s="110">
        <v>16463.84</v>
      </c>
      <c r="K2164" s="110">
        <v>24609.83</v>
      </c>
    </row>
    <row r="2165" spans="1:12" x14ac:dyDescent="0.2">
      <c r="A2165" t="s">
        <v>77</v>
      </c>
      <c r="B2165" t="s">
        <v>104</v>
      </c>
      <c r="C2165" t="s">
        <v>222</v>
      </c>
      <c r="D2165" s="110">
        <v>304980</v>
      </c>
      <c r="E2165" s="110">
        <v>304544.5</v>
      </c>
      <c r="I2165" s="110">
        <v>9597.14</v>
      </c>
      <c r="J2165" s="110">
        <v>24641.93</v>
      </c>
    </row>
    <row r="2166" spans="1:12" x14ac:dyDescent="0.2">
      <c r="A2166" t="s">
        <v>77</v>
      </c>
      <c r="B2166" t="s">
        <v>104</v>
      </c>
      <c r="C2166" t="s">
        <v>223</v>
      </c>
      <c r="D2166" s="110">
        <v>718275.75</v>
      </c>
      <c r="I2166" s="110">
        <v>14951.51</v>
      </c>
    </row>
    <row r="2167" spans="1:12" x14ac:dyDescent="0.2">
      <c r="A2167" t="s">
        <v>77</v>
      </c>
      <c r="B2167" t="s">
        <v>140</v>
      </c>
      <c r="C2167" t="s">
        <v>220</v>
      </c>
      <c r="D2167" s="110">
        <v>159613</v>
      </c>
      <c r="E2167" s="110">
        <v>159613</v>
      </c>
      <c r="F2167" s="110">
        <v>159563</v>
      </c>
      <c r="G2167" s="110">
        <v>159513</v>
      </c>
      <c r="I2167" s="110">
        <v>50</v>
      </c>
      <c r="J2167" s="110">
        <v>50</v>
      </c>
      <c r="K2167" s="110">
        <v>50</v>
      </c>
      <c r="L2167" s="110">
        <v>50</v>
      </c>
    </row>
    <row r="2168" spans="1:12" x14ac:dyDescent="0.2">
      <c r="A2168" t="s">
        <v>77</v>
      </c>
      <c r="B2168" t="s">
        <v>140</v>
      </c>
      <c r="C2168" t="s">
        <v>221</v>
      </c>
      <c r="D2168" s="110">
        <v>159957</v>
      </c>
      <c r="E2168" s="110">
        <v>159957</v>
      </c>
      <c r="F2168" s="110">
        <v>159957</v>
      </c>
      <c r="I2168" s="110">
        <v>107</v>
      </c>
      <c r="J2168" s="110">
        <v>107</v>
      </c>
      <c r="K2168" s="110">
        <v>107</v>
      </c>
    </row>
    <row r="2169" spans="1:12" x14ac:dyDescent="0.2">
      <c r="A2169" t="s">
        <v>77</v>
      </c>
      <c r="B2169" t="s">
        <v>140</v>
      </c>
      <c r="C2169" t="s">
        <v>222</v>
      </c>
      <c r="D2169" s="110">
        <v>105946</v>
      </c>
      <c r="E2169" s="110">
        <v>105946</v>
      </c>
      <c r="I2169" s="110">
        <v>12</v>
      </c>
      <c r="J2169" s="110">
        <v>26</v>
      </c>
    </row>
    <row r="2170" spans="1:12" x14ac:dyDescent="0.2">
      <c r="A2170" t="s">
        <v>77</v>
      </c>
      <c r="B2170" t="s">
        <v>140</v>
      </c>
      <c r="C2170" t="s">
        <v>223</v>
      </c>
      <c r="D2170" s="110">
        <v>477550</v>
      </c>
      <c r="I2170" s="110">
        <v>50</v>
      </c>
    </row>
    <row r="2171" spans="1:12" x14ac:dyDescent="0.2">
      <c r="A2171" t="s">
        <v>77</v>
      </c>
      <c r="B2171" t="s">
        <v>105</v>
      </c>
      <c r="C2171" t="s">
        <v>220</v>
      </c>
      <c r="D2171" s="110">
        <v>184662.75</v>
      </c>
      <c r="E2171" s="110">
        <v>178186.75</v>
      </c>
      <c r="F2171" s="110">
        <v>176519.75</v>
      </c>
      <c r="G2171" s="110">
        <v>174735.75</v>
      </c>
      <c r="I2171" s="110">
        <v>34308.910000000003</v>
      </c>
      <c r="J2171" s="110">
        <v>48431.34</v>
      </c>
      <c r="K2171" s="110">
        <v>59051.25</v>
      </c>
      <c r="L2171" s="110">
        <v>67405.41</v>
      </c>
    </row>
    <row r="2172" spans="1:12" x14ac:dyDescent="0.2">
      <c r="A2172" t="s">
        <v>77</v>
      </c>
      <c r="B2172" t="s">
        <v>105</v>
      </c>
      <c r="C2172" t="s">
        <v>221</v>
      </c>
      <c r="D2172" s="110">
        <v>175222.89</v>
      </c>
      <c r="E2172" s="110">
        <v>173544.89</v>
      </c>
      <c r="F2172" s="110">
        <v>171276.89</v>
      </c>
      <c r="I2172" s="110">
        <v>27414.54</v>
      </c>
      <c r="J2172" s="110">
        <v>40972.870000000003</v>
      </c>
      <c r="K2172" s="110">
        <v>50826.14</v>
      </c>
    </row>
    <row r="2173" spans="1:12" x14ac:dyDescent="0.2">
      <c r="A2173" t="s">
        <v>77</v>
      </c>
      <c r="B2173" t="s">
        <v>105</v>
      </c>
      <c r="C2173" t="s">
        <v>222</v>
      </c>
      <c r="D2173" s="110">
        <v>153096.85999999999</v>
      </c>
      <c r="E2173" s="110">
        <v>152929.35999999999</v>
      </c>
      <c r="I2173" s="110">
        <v>32488.61</v>
      </c>
      <c r="J2173" s="110">
        <v>43584.27</v>
      </c>
    </row>
    <row r="2174" spans="1:12" x14ac:dyDescent="0.2">
      <c r="A2174" t="s">
        <v>77</v>
      </c>
      <c r="B2174" t="s">
        <v>105</v>
      </c>
      <c r="C2174" t="s">
        <v>223</v>
      </c>
      <c r="D2174" s="110">
        <v>153358.23000000001</v>
      </c>
      <c r="I2174" s="110">
        <v>29714.43</v>
      </c>
    </row>
    <row r="2175" spans="1:12" x14ac:dyDescent="0.2">
      <c r="A2175" t="s">
        <v>77</v>
      </c>
      <c r="B2175" t="s">
        <v>111</v>
      </c>
      <c r="C2175" t="s">
        <v>220</v>
      </c>
      <c r="D2175" s="110">
        <v>4829</v>
      </c>
      <c r="E2175" s="110">
        <v>4714</v>
      </c>
      <c r="F2175" s="110">
        <v>4464</v>
      </c>
      <c r="G2175" s="110">
        <v>4264</v>
      </c>
      <c r="I2175" s="110">
        <v>1019</v>
      </c>
      <c r="J2175" s="110">
        <v>1394</v>
      </c>
      <c r="K2175" s="110">
        <v>1494</v>
      </c>
      <c r="L2175" s="110">
        <v>1659</v>
      </c>
    </row>
    <row r="2176" spans="1:12" x14ac:dyDescent="0.2">
      <c r="A2176" t="s">
        <v>77</v>
      </c>
      <c r="B2176" t="s">
        <v>111</v>
      </c>
      <c r="C2176" t="s">
        <v>221</v>
      </c>
      <c r="D2176" s="110">
        <v>4212</v>
      </c>
      <c r="E2176" s="110">
        <v>3847</v>
      </c>
      <c r="F2176" s="110">
        <v>3482</v>
      </c>
      <c r="I2176" s="110">
        <v>899</v>
      </c>
      <c r="J2176" s="110">
        <v>1044</v>
      </c>
      <c r="K2176" s="110">
        <v>1279</v>
      </c>
    </row>
    <row r="2177" spans="1:12" x14ac:dyDescent="0.2">
      <c r="A2177" t="s">
        <v>77</v>
      </c>
      <c r="B2177" t="s">
        <v>111</v>
      </c>
      <c r="C2177" t="s">
        <v>222</v>
      </c>
      <c r="D2177" s="110">
        <v>3368</v>
      </c>
      <c r="E2177" s="110">
        <v>2388</v>
      </c>
      <c r="I2177" s="110">
        <v>855</v>
      </c>
      <c r="J2177" s="110">
        <v>1105</v>
      </c>
    </row>
    <row r="2178" spans="1:12" x14ac:dyDescent="0.2">
      <c r="A2178" t="s">
        <v>77</v>
      </c>
      <c r="B2178" t="s">
        <v>111</v>
      </c>
      <c r="C2178" t="s">
        <v>223</v>
      </c>
      <c r="D2178" s="110">
        <v>3757</v>
      </c>
      <c r="I2178" s="110">
        <v>330</v>
      </c>
    </row>
    <row r="2179" spans="1:12" x14ac:dyDescent="0.2">
      <c r="A2179" t="s">
        <v>77</v>
      </c>
      <c r="B2179" t="s">
        <v>109</v>
      </c>
      <c r="C2179" t="s">
        <v>220</v>
      </c>
      <c r="D2179" s="110">
        <v>247569.25</v>
      </c>
      <c r="E2179" s="110">
        <v>245835.25</v>
      </c>
      <c r="F2179" s="110">
        <v>242889.75</v>
      </c>
      <c r="G2179" s="110">
        <v>242275.69</v>
      </c>
      <c r="I2179" s="110">
        <v>76825.33</v>
      </c>
      <c r="J2179" s="110">
        <v>108680.83</v>
      </c>
      <c r="K2179" s="110">
        <v>140373.01999999999</v>
      </c>
      <c r="L2179" s="110">
        <v>165635.85</v>
      </c>
    </row>
    <row r="2180" spans="1:12" x14ac:dyDescent="0.2">
      <c r="A2180" t="s">
        <v>77</v>
      </c>
      <c r="B2180" t="s">
        <v>109</v>
      </c>
      <c r="C2180" t="s">
        <v>221</v>
      </c>
      <c r="D2180" s="110">
        <v>284935.8</v>
      </c>
      <c r="E2180" s="110">
        <v>282991.55</v>
      </c>
      <c r="F2180" s="110">
        <v>279520.55</v>
      </c>
      <c r="I2180" s="110">
        <v>118450.99</v>
      </c>
      <c r="J2180" s="110">
        <v>153578.62</v>
      </c>
      <c r="K2180" s="110">
        <v>194812.98</v>
      </c>
    </row>
    <row r="2181" spans="1:12" x14ac:dyDescent="0.2">
      <c r="A2181" t="s">
        <v>77</v>
      </c>
      <c r="B2181" t="s">
        <v>109</v>
      </c>
      <c r="C2181" t="s">
        <v>222</v>
      </c>
      <c r="D2181" s="110">
        <v>262355.25</v>
      </c>
      <c r="E2181" s="110">
        <v>261469.25</v>
      </c>
      <c r="I2181" s="110">
        <v>91626.09</v>
      </c>
      <c r="J2181" s="110">
        <v>120119.76</v>
      </c>
    </row>
    <row r="2182" spans="1:12" x14ac:dyDescent="0.2">
      <c r="A2182" t="s">
        <v>77</v>
      </c>
      <c r="B2182" t="s">
        <v>109</v>
      </c>
      <c r="C2182" t="s">
        <v>223</v>
      </c>
      <c r="D2182" s="110">
        <v>288911</v>
      </c>
      <c r="I2182" s="110">
        <v>94596.66</v>
      </c>
    </row>
    <row r="2183" spans="1:12" x14ac:dyDescent="0.2">
      <c r="A2183" t="s">
        <v>77</v>
      </c>
      <c r="B2183" t="s">
        <v>106</v>
      </c>
      <c r="C2183" t="s">
        <v>220</v>
      </c>
      <c r="D2183" s="110">
        <v>268746.36</v>
      </c>
      <c r="E2183" s="110">
        <v>267736.36</v>
      </c>
      <c r="F2183" s="110">
        <v>267736.36</v>
      </c>
      <c r="G2183" s="110">
        <v>268736.36</v>
      </c>
      <c r="I2183" s="110">
        <v>262528.36</v>
      </c>
      <c r="J2183" s="110">
        <v>267640.36</v>
      </c>
      <c r="K2183" s="110">
        <v>267640.36</v>
      </c>
      <c r="L2183" s="110">
        <v>267640.36</v>
      </c>
    </row>
    <row r="2184" spans="1:12" x14ac:dyDescent="0.2">
      <c r="A2184" t="s">
        <v>77</v>
      </c>
      <c r="B2184" t="s">
        <v>106</v>
      </c>
      <c r="C2184" t="s">
        <v>221</v>
      </c>
      <c r="D2184" s="110">
        <v>322834.03000000003</v>
      </c>
      <c r="E2184" s="110">
        <v>321520.75</v>
      </c>
      <c r="F2184" s="110">
        <v>320212.46999999997</v>
      </c>
      <c r="I2184" s="110">
        <v>314941.43</v>
      </c>
      <c r="J2184" s="110">
        <v>318255.43</v>
      </c>
      <c r="K2184" s="110">
        <v>317420.43</v>
      </c>
    </row>
    <row r="2185" spans="1:12" x14ac:dyDescent="0.2">
      <c r="A2185" t="s">
        <v>77</v>
      </c>
      <c r="B2185" t="s">
        <v>106</v>
      </c>
      <c r="C2185" t="s">
        <v>222</v>
      </c>
      <c r="D2185" s="110">
        <v>357388.25</v>
      </c>
      <c r="E2185" s="110">
        <v>355508.25</v>
      </c>
      <c r="I2185" s="110">
        <v>351216.9</v>
      </c>
      <c r="J2185" s="110">
        <v>355098.25</v>
      </c>
    </row>
    <row r="2186" spans="1:12" x14ac:dyDescent="0.2">
      <c r="A2186" t="s">
        <v>77</v>
      </c>
      <c r="B2186" t="s">
        <v>106</v>
      </c>
      <c r="C2186" t="s">
        <v>223</v>
      </c>
      <c r="D2186" s="110">
        <v>354044.26</v>
      </c>
      <c r="I2186" s="110">
        <v>334149.78999999998</v>
      </c>
    </row>
    <row r="2187" spans="1:12" x14ac:dyDescent="0.2">
      <c r="A2187" t="s">
        <v>77</v>
      </c>
      <c r="B2187" t="s">
        <v>107</v>
      </c>
      <c r="C2187" t="s">
        <v>220</v>
      </c>
      <c r="D2187" s="110">
        <v>237257.57</v>
      </c>
      <c r="E2187" s="110">
        <v>237062.57</v>
      </c>
      <c r="F2187" s="110">
        <v>237062.57</v>
      </c>
      <c r="G2187" s="110">
        <v>237062.57</v>
      </c>
      <c r="I2187" s="110">
        <v>231877.57</v>
      </c>
      <c r="J2187" s="110">
        <v>236582.57</v>
      </c>
      <c r="K2187" s="110">
        <v>236582.57</v>
      </c>
      <c r="L2187" s="110">
        <v>236582.57</v>
      </c>
    </row>
    <row r="2188" spans="1:12" x14ac:dyDescent="0.2">
      <c r="A2188" t="s">
        <v>77</v>
      </c>
      <c r="B2188" t="s">
        <v>107</v>
      </c>
      <c r="C2188" t="s">
        <v>221</v>
      </c>
      <c r="D2188" s="110">
        <v>207757.9</v>
      </c>
      <c r="E2188" s="110">
        <v>207757.9</v>
      </c>
      <c r="F2188" s="110">
        <v>207757.9</v>
      </c>
      <c r="I2188" s="110">
        <v>202182.9</v>
      </c>
      <c r="J2188" s="110">
        <v>207447.9</v>
      </c>
      <c r="K2188" s="110">
        <v>207447.9</v>
      </c>
    </row>
    <row r="2189" spans="1:12" x14ac:dyDescent="0.2">
      <c r="A2189" t="s">
        <v>77</v>
      </c>
      <c r="B2189" t="s">
        <v>107</v>
      </c>
      <c r="C2189" t="s">
        <v>222</v>
      </c>
      <c r="D2189" s="110">
        <v>193562.3</v>
      </c>
      <c r="E2189" s="110">
        <v>193562.3</v>
      </c>
      <c r="I2189" s="110">
        <v>192112.3</v>
      </c>
      <c r="J2189" s="110">
        <v>193252.3</v>
      </c>
    </row>
    <row r="2190" spans="1:12" x14ac:dyDescent="0.2">
      <c r="A2190" t="s">
        <v>77</v>
      </c>
      <c r="B2190" t="s">
        <v>107</v>
      </c>
      <c r="C2190" t="s">
        <v>223</v>
      </c>
      <c r="D2190" s="110">
        <v>212933.35</v>
      </c>
      <c r="I2190" s="110">
        <v>200648.35</v>
      </c>
    </row>
    <row r="2191" spans="1:12" x14ac:dyDescent="0.2">
      <c r="A2191" t="s">
        <v>77</v>
      </c>
      <c r="B2191" t="s">
        <v>108</v>
      </c>
      <c r="C2191" t="s">
        <v>220</v>
      </c>
      <c r="D2191" s="110">
        <v>71285</v>
      </c>
      <c r="E2191" s="110">
        <v>70540</v>
      </c>
      <c r="F2191" s="110">
        <v>70540</v>
      </c>
      <c r="G2191" s="110">
        <v>70540</v>
      </c>
      <c r="I2191" s="110">
        <v>68231</v>
      </c>
      <c r="J2191" s="110">
        <v>70540</v>
      </c>
      <c r="K2191" s="110">
        <v>70540</v>
      </c>
      <c r="L2191" s="110">
        <v>70540</v>
      </c>
    </row>
    <row r="2192" spans="1:12" x14ac:dyDescent="0.2">
      <c r="A2192" t="s">
        <v>77</v>
      </c>
      <c r="B2192" t="s">
        <v>108</v>
      </c>
      <c r="C2192" t="s">
        <v>221</v>
      </c>
      <c r="D2192" s="110">
        <v>79834.39</v>
      </c>
      <c r="E2192" s="110">
        <v>79603.39</v>
      </c>
      <c r="F2192" s="110">
        <v>79603.39</v>
      </c>
      <c r="I2192" s="110">
        <v>78618.39</v>
      </c>
      <c r="J2192" s="110">
        <v>79603.39</v>
      </c>
      <c r="K2192" s="110">
        <v>79603.39</v>
      </c>
    </row>
    <row r="2193" spans="1:13" x14ac:dyDescent="0.2">
      <c r="A2193" t="s">
        <v>77</v>
      </c>
      <c r="B2193" t="s">
        <v>108</v>
      </c>
      <c r="C2193" t="s">
        <v>222</v>
      </c>
      <c r="D2193" s="110">
        <v>78756</v>
      </c>
      <c r="E2193" s="110">
        <v>78525</v>
      </c>
      <c r="I2193" s="110">
        <v>77726</v>
      </c>
      <c r="J2193" s="110">
        <v>78525</v>
      </c>
    </row>
    <row r="2194" spans="1:13" x14ac:dyDescent="0.2">
      <c r="A2194" t="s">
        <v>77</v>
      </c>
      <c r="B2194" t="s">
        <v>108</v>
      </c>
      <c r="C2194" t="s">
        <v>223</v>
      </c>
      <c r="D2194" s="110">
        <v>74431.5</v>
      </c>
      <c r="I2194" s="110">
        <v>73150.5</v>
      </c>
    </row>
    <row r="2195" spans="1:13" x14ac:dyDescent="0.2">
      <c r="A2195" t="s">
        <v>77</v>
      </c>
      <c r="B2195" t="s">
        <v>70</v>
      </c>
      <c r="C2195" t="s">
        <v>220</v>
      </c>
      <c r="D2195" s="110">
        <v>130237.45</v>
      </c>
      <c r="E2195" s="110">
        <v>128600.95</v>
      </c>
      <c r="F2195" s="110">
        <v>128600.95</v>
      </c>
      <c r="G2195" s="110">
        <v>128600.95</v>
      </c>
      <c r="I2195" s="110">
        <v>125956.45</v>
      </c>
      <c r="J2195" s="110">
        <v>127250.45</v>
      </c>
      <c r="K2195" s="110">
        <v>127250.45</v>
      </c>
      <c r="L2195" s="110">
        <v>127250.45</v>
      </c>
    </row>
    <row r="2196" spans="1:13" x14ac:dyDescent="0.2">
      <c r="A2196" t="s">
        <v>77</v>
      </c>
      <c r="B2196" t="s">
        <v>70</v>
      </c>
      <c r="C2196" t="s">
        <v>221</v>
      </c>
      <c r="D2196" s="110">
        <v>150323.25</v>
      </c>
      <c r="E2196" s="110">
        <v>150323.25</v>
      </c>
      <c r="F2196" s="110">
        <v>150323.25</v>
      </c>
      <c r="I2196" s="110">
        <v>148399.25</v>
      </c>
      <c r="J2196" s="110">
        <v>150123.25</v>
      </c>
      <c r="K2196" s="110">
        <v>150123.25</v>
      </c>
    </row>
    <row r="2197" spans="1:13" x14ac:dyDescent="0.2">
      <c r="A2197" t="s">
        <v>77</v>
      </c>
      <c r="B2197" t="s">
        <v>70</v>
      </c>
      <c r="C2197" t="s">
        <v>222</v>
      </c>
      <c r="D2197" s="110">
        <v>158139.5</v>
      </c>
      <c r="E2197" s="110">
        <v>157721.5</v>
      </c>
      <c r="I2197" s="110">
        <v>155002.5</v>
      </c>
      <c r="J2197" s="110">
        <v>155342.5</v>
      </c>
    </row>
    <row r="2198" spans="1:13" x14ac:dyDescent="0.2">
      <c r="A2198" t="s">
        <v>77</v>
      </c>
      <c r="B2198" t="s">
        <v>70</v>
      </c>
      <c r="C2198" t="s">
        <v>223</v>
      </c>
      <c r="D2198" s="110">
        <v>144144.4</v>
      </c>
      <c r="I2198" s="110">
        <v>136929.4</v>
      </c>
    </row>
    <row r="2199" spans="1:13" x14ac:dyDescent="0.2">
      <c r="A2199" t="s">
        <v>77</v>
      </c>
      <c r="B2199" t="s">
        <v>110</v>
      </c>
      <c r="C2199" t="s">
        <v>220</v>
      </c>
      <c r="D2199" s="110">
        <v>662516.4</v>
      </c>
      <c r="E2199" s="110">
        <v>615824.44999999995</v>
      </c>
      <c r="F2199" s="110">
        <v>601943.80000000005</v>
      </c>
      <c r="G2199" s="110">
        <v>599470.30000000005</v>
      </c>
      <c r="I2199" s="110">
        <v>261345.95</v>
      </c>
      <c r="J2199" s="110">
        <v>487195.5</v>
      </c>
      <c r="K2199" s="110">
        <v>542152.5</v>
      </c>
      <c r="L2199" s="110">
        <v>555203.5</v>
      </c>
    </row>
    <row r="2200" spans="1:13" x14ac:dyDescent="0.2">
      <c r="A2200" t="s">
        <v>77</v>
      </c>
      <c r="B2200" t="s">
        <v>110</v>
      </c>
      <c r="C2200" t="s">
        <v>221</v>
      </c>
      <c r="D2200" s="110">
        <v>703819.4</v>
      </c>
      <c r="E2200" s="110">
        <v>672960.65</v>
      </c>
      <c r="F2200" s="110">
        <v>661740.4</v>
      </c>
      <c r="I2200" s="110">
        <v>319141.51</v>
      </c>
      <c r="J2200" s="110">
        <v>541101.44999999995</v>
      </c>
      <c r="K2200" s="110">
        <v>592865.15</v>
      </c>
    </row>
    <row r="2201" spans="1:13" x14ac:dyDescent="0.2">
      <c r="A2201" t="s">
        <v>77</v>
      </c>
      <c r="B2201" t="s">
        <v>110</v>
      </c>
      <c r="C2201" t="s">
        <v>222</v>
      </c>
      <c r="D2201" s="110">
        <v>761059.15</v>
      </c>
      <c r="E2201" s="110">
        <v>733779.95</v>
      </c>
      <c r="I2201" s="110">
        <v>323508.90000000002</v>
      </c>
      <c r="J2201" s="110">
        <v>559225.5</v>
      </c>
    </row>
    <row r="2202" spans="1:13" x14ac:dyDescent="0.2">
      <c r="A2202" t="s">
        <v>77</v>
      </c>
      <c r="B2202" t="s">
        <v>110</v>
      </c>
      <c r="C2202" t="s">
        <v>223</v>
      </c>
      <c r="D2202" s="110">
        <v>657650.6</v>
      </c>
      <c r="I2202" s="110">
        <v>268077.34999999998</v>
      </c>
    </row>
    <row r="2203" spans="1:13" x14ac:dyDescent="0.2">
      <c r="A2203" s="111" t="s">
        <v>78</v>
      </c>
      <c r="B2203" s="112" t="s">
        <v>104</v>
      </c>
      <c r="C2203" s="112" t="s">
        <v>220</v>
      </c>
      <c r="D2203" s="113">
        <v>1113346.22</v>
      </c>
      <c r="E2203" s="113">
        <v>1004820.72</v>
      </c>
      <c r="F2203" s="113">
        <v>1004989.53</v>
      </c>
      <c r="G2203" s="113">
        <v>1003863.97</v>
      </c>
      <c r="H2203" s="113"/>
      <c r="I2203" s="113">
        <v>20361.12</v>
      </c>
      <c r="J2203" s="113">
        <v>50007.92</v>
      </c>
      <c r="K2203" s="113">
        <v>78033.84</v>
      </c>
      <c r="L2203" s="113">
        <v>102636.95</v>
      </c>
      <c r="M2203" s="113"/>
    </row>
    <row r="2204" spans="1:13" x14ac:dyDescent="0.2">
      <c r="A2204" s="111" t="s">
        <v>78</v>
      </c>
      <c r="B2204" s="112" t="s">
        <v>104</v>
      </c>
      <c r="C2204" s="112" t="s">
        <v>221</v>
      </c>
      <c r="D2204" s="113">
        <v>1129228.3899999999</v>
      </c>
      <c r="E2204" s="113">
        <v>1123852.01</v>
      </c>
      <c r="F2204" s="113">
        <v>1120869.68</v>
      </c>
      <c r="G2204" s="113"/>
      <c r="H2204" s="113"/>
      <c r="I2204" s="113">
        <v>18010.310000000001</v>
      </c>
      <c r="J2204" s="113">
        <v>52284.79</v>
      </c>
      <c r="K2204" s="113">
        <v>88179.45</v>
      </c>
      <c r="L2204" s="113"/>
      <c r="M2204" s="113"/>
    </row>
    <row r="2205" spans="1:13" x14ac:dyDescent="0.2">
      <c r="A2205" s="111" t="s">
        <v>78</v>
      </c>
      <c r="B2205" s="112" t="s">
        <v>104</v>
      </c>
      <c r="C2205" s="112" t="s">
        <v>222</v>
      </c>
      <c r="D2205" s="113">
        <v>700172.53</v>
      </c>
      <c r="E2205" s="113">
        <v>699953.03</v>
      </c>
      <c r="F2205" s="113"/>
      <c r="G2205" s="113"/>
      <c r="H2205" s="113"/>
      <c r="I2205" s="113">
        <v>18550.02</v>
      </c>
      <c r="J2205" s="113">
        <v>42209.88</v>
      </c>
      <c r="K2205" s="113"/>
      <c r="L2205" s="113"/>
      <c r="M2205" s="113"/>
    </row>
    <row r="2206" spans="1:13" x14ac:dyDescent="0.2">
      <c r="A2206" s="111" t="s">
        <v>78</v>
      </c>
      <c r="B2206" s="112" t="s">
        <v>104</v>
      </c>
      <c r="C2206" s="112" t="s">
        <v>223</v>
      </c>
      <c r="D2206" s="113">
        <v>958188.39</v>
      </c>
      <c r="E2206" s="113"/>
      <c r="F2206" s="113"/>
      <c r="G2206" s="113"/>
      <c r="H2206" s="113"/>
      <c r="I2206" s="113">
        <v>17530.53</v>
      </c>
      <c r="J2206" s="113"/>
      <c r="K2206" s="113"/>
      <c r="L2206" s="113"/>
      <c r="M2206" s="113"/>
    </row>
    <row r="2207" spans="1:13" x14ac:dyDescent="0.2">
      <c r="A2207" s="111" t="s">
        <v>78</v>
      </c>
      <c r="B2207" s="112" t="s">
        <v>140</v>
      </c>
      <c r="C2207" s="112" t="s">
        <v>220</v>
      </c>
      <c r="D2207" s="113">
        <v>507615</v>
      </c>
      <c r="E2207" s="113">
        <v>402565</v>
      </c>
      <c r="F2207" s="113">
        <v>402515</v>
      </c>
      <c r="G2207" s="113">
        <v>402515</v>
      </c>
      <c r="H2207" s="113"/>
      <c r="I2207" s="113">
        <v>75.36</v>
      </c>
      <c r="J2207" s="113">
        <v>76.42</v>
      </c>
      <c r="K2207" s="113">
        <v>77.459999999999994</v>
      </c>
      <c r="L2207" s="113">
        <v>307.72000000000003</v>
      </c>
      <c r="M2207" s="113"/>
    </row>
    <row r="2208" spans="1:13" x14ac:dyDescent="0.2">
      <c r="A2208" s="111" t="s">
        <v>78</v>
      </c>
      <c r="B2208" s="112" t="s">
        <v>140</v>
      </c>
      <c r="C2208" s="112" t="s">
        <v>221</v>
      </c>
      <c r="D2208" s="113">
        <v>533054</v>
      </c>
      <c r="E2208" s="113">
        <v>533004</v>
      </c>
      <c r="F2208" s="113">
        <v>532954</v>
      </c>
      <c r="G2208" s="113"/>
      <c r="H2208" s="113"/>
      <c r="I2208" s="113">
        <v>125.21</v>
      </c>
      <c r="J2208" s="113">
        <v>125.34</v>
      </c>
      <c r="K2208" s="113">
        <v>125.34</v>
      </c>
      <c r="L2208" s="113"/>
      <c r="M2208" s="113"/>
    </row>
    <row r="2209" spans="1:13" x14ac:dyDescent="0.2">
      <c r="A2209" s="111" t="s">
        <v>78</v>
      </c>
      <c r="B2209" s="112" t="s">
        <v>140</v>
      </c>
      <c r="C2209" s="112" t="s">
        <v>222</v>
      </c>
      <c r="D2209" s="113">
        <v>106911</v>
      </c>
      <c r="E2209" s="113">
        <v>106911</v>
      </c>
      <c r="F2209" s="113"/>
      <c r="G2209" s="113"/>
      <c r="H2209" s="113"/>
      <c r="I2209" s="113">
        <v>50.22</v>
      </c>
      <c r="J2209" s="113">
        <v>50.3</v>
      </c>
      <c r="K2209" s="113"/>
      <c r="L2209" s="113"/>
      <c r="M2209" s="113"/>
    </row>
    <row r="2210" spans="1:13" x14ac:dyDescent="0.2">
      <c r="A2210" s="111" t="s">
        <v>78</v>
      </c>
      <c r="B2210" s="112" t="s">
        <v>140</v>
      </c>
      <c r="C2210" s="112" t="s">
        <v>223</v>
      </c>
      <c r="D2210" s="113">
        <v>320633</v>
      </c>
      <c r="E2210" s="113"/>
      <c r="F2210" s="113"/>
      <c r="G2210" s="113"/>
      <c r="H2210" s="113"/>
      <c r="I2210" s="113">
        <v>50</v>
      </c>
      <c r="J2210" s="113"/>
      <c r="K2210" s="113"/>
      <c r="L2210" s="113"/>
      <c r="M2210" s="113"/>
    </row>
    <row r="2211" spans="1:13" x14ac:dyDescent="0.2">
      <c r="A2211" s="111" t="s">
        <v>78</v>
      </c>
      <c r="B2211" s="112" t="s">
        <v>105</v>
      </c>
      <c r="C2211" s="112" t="s">
        <v>220</v>
      </c>
      <c r="D2211" s="113">
        <v>290450.23</v>
      </c>
      <c r="E2211" s="113">
        <v>281148.79999999999</v>
      </c>
      <c r="F2211" s="113">
        <v>278598.67</v>
      </c>
      <c r="G2211" s="113">
        <v>275134.44</v>
      </c>
      <c r="H2211" s="113"/>
      <c r="I2211" s="113">
        <v>35809.08</v>
      </c>
      <c r="J2211" s="113">
        <v>69906.62</v>
      </c>
      <c r="K2211" s="113">
        <v>89620.9</v>
      </c>
      <c r="L2211" s="113">
        <v>106205.81</v>
      </c>
      <c r="M2211" s="113"/>
    </row>
    <row r="2212" spans="1:13" x14ac:dyDescent="0.2">
      <c r="A2212" s="111" t="s">
        <v>78</v>
      </c>
      <c r="B2212" s="112" t="s">
        <v>105</v>
      </c>
      <c r="C2212" s="112" t="s">
        <v>221</v>
      </c>
      <c r="D2212" s="113">
        <v>294664.71000000002</v>
      </c>
      <c r="E2212" s="113">
        <v>291851.71000000002</v>
      </c>
      <c r="F2212" s="113">
        <v>277897.67</v>
      </c>
      <c r="G2212" s="113"/>
      <c r="H2212" s="113"/>
      <c r="I2212" s="113">
        <v>35772.400000000001</v>
      </c>
      <c r="J2212" s="113">
        <v>62534.81</v>
      </c>
      <c r="K2212" s="113">
        <v>81344.710000000006</v>
      </c>
      <c r="L2212" s="113"/>
      <c r="M2212" s="113"/>
    </row>
    <row r="2213" spans="1:13" x14ac:dyDescent="0.2">
      <c r="A2213" s="111" t="s">
        <v>78</v>
      </c>
      <c r="B2213" s="112" t="s">
        <v>105</v>
      </c>
      <c r="C2213" s="112" t="s">
        <v>222</v>
      </c>
      <c r="D2213" s="113">
        <v>319272.44</v>
      </c>
      <c r="E2213" s="113">
        <v>307943.26</v>
      </c>
      <c r="F2213" s="113"/>
      <c r="G2213" s="113"/>
      <c r="H2213" s="113"/>
      <c r="I2213" s="113">
        <v>43445</v>
      </c>
      <c r="J2213" s="113">
        <v>77386.080000000002</v>
      </c>
      <c r="K2213" s="113"/>
      <c r="L2213" s="113"/>
      <c r="M2213" s="113"/>
    </row>
    <row r="2214" spans="1:13" x14ac:dyDescent="0.2">
      <c r="A2214" s="111" t="s">
        <v>78</v>
      </c>
      <c r="B2214" s="112" t="s">
        <v>105</v>
      </c>
      <c r="C2214" s="112" t="s">
        <v>223</v>
      </c>
      <c r="D2214" s="113">
        <v>313759.12</v>
      </c>
      <c r="E2214" s="113"/>
      <c r="F2214" s="113"/>
      <c r="G2214" s="113"/>
      <c r="H2214" s="113"/>
      <c r="I2214" s="113">
        <v>42719.33</v>
      </c>
      <c r="J2214" s="113"/>
      <c r="K2214" s="113"/>
      <c r="L2214" s="113"/>
      <c r="M2214" s="113"/>
    </row>
    <row r="2215" spans="1:13" x14ac:dyDescent="0.2">
      <c r="A2215" s="111" t="s">
        <v>78</v>
      </c>
      <c r="B2215" s="112" t="s">
        <v>111</v>
      </c>
      <c r="C2215" s="112" t="s">
        <v>220</v>
      </c>
      <c r="D2215" s="113">
        <v>80147</v>
      </c>
      <c r="E2215" s="113">
        <v>79895.28</v>
      </c>
      <c r="F2215" s="113">
        <v>79845.279999999999</v>
      </c>
      <c r="G2215" s="113">
        <v>79831.53</v>
      </c>
      <c r="H2215" s="113"/>
      <c r="I2215" s="113">
        <v>4076.03</v>
      </c>
      <c r="J2215" s="113">
        <v>12158.05</v>
      </c>
      <c r="K2215" s="113">
        <v>15390.91</v>
      </c>
      <c r="L2215" s="113">
        <v>17090.439999999999</v>
      </c>
      <c r="M2215" s="113"/>
    </row>
    <row r="2216" spans="1:13" x14ac:dyDescent="0.2">
      <c r="A2216" s="111" t="s">
        <v>78</v>
      </c>
      <c r="B2216" s="112" t="s">
        <v>111</v>
      </c>
      <c r="C2216" s="112" t="s">
        <v>221</v>
      </c>
      <c r="D2216" s="113">
        <v>48697</v>
      </c>
      <c r="E2216" s="113">
        <v>48647</v>
      </c>
      <c r="F2216" s="113">
        <v>48638.86</v>
      </c>
      <c r="G2216" s="113"/>
      <c r="H2216" s="113"/>
      <c r="I2216" s="113">
        <v>5406.63</v>
      </c>
      <c r="J2216" s="113">
        <v>8725.94</v>
      </c>
      <c r="K2216" s="113">
        <v>10450.120000000001</v>
      </c>
      <c r="L2216" s="113"/>
      <c r="M2216" s="113"/>
    </row>
    <row r="2217" spans="1:13" x14ac:dyDescent="0.2">
      <c r="A2217" s="111" t="s">
        <v>78</v>
      </c>
      <c r="B2217" s="112" t="s">
        <v>111</v>
      </c>
      <c r="C2217" s="112" t="s">
        <v>222</v>
      </c>
      <c r="D2217" s="113">
        <v>91031</v>
      </c>
      <c r="E2217" s="113">
        <v>90931</v>
      </c>
      <c r="F2217" s="113"/>
      <c r="G2217" s="113"/>
      <c r="H2217" s="113"/>
      <c r="I2217" s="113">
        <v>8405.92</v>
      </c>
      <c r="J2217" s="113">
        <v>14517.77</v>
      </c>
      <c r="K2217" s="113"/>
      <c r="L2217" s="113"/>
      <c r="M2217" s="113"/>
    </row>
    <row r="2218" spans="1:13" x14ac:dyDescent="0.2">
      <c r="A2218" s="111" t="s">
        <v>78</v>
      </c>
      <c r="B2218" s="112" t="s">
        <v>111</v>
      </c>
      <c r="C2218" s="112" t="s">
        <v>223</v>
      </c>
      <c r="D2218" s="113">
        <v>50048.93</v>
      </c>
      <c r="E2218" s="113"/>
      <c r="F2218" s="113"/>
      <c r="G2218" s="113"/>
      <c r="H2218" s="113"/>
      <c r="I2218" s="113">
        <v>3540.47</v>
      </c>
      <c r="J2218" s="113"/>
      <c r="K2218" s="113"/>
      <c r="L2218" s="113"/>
      <c r="M2218" s="113"/>
    </row>
    <row r="2219" spans="1:13" x14ac:dyDescent="0.2">
      <c r="A2219" s="111" t="s">
        <v>78</v>
      </c>
      <c r="B2219" s="112" t="s">
        <v>109</v>
      </c>
      <c r="C2219" s="112" t="s">
        <v>220</v>
      </c>
      <c r="D2219" s="113">
        <v>312644.40999999997</v>
      </c>
      <c r="E2219" s="113">
        <v>307440.57</v>
      </c>
      <c r="F2219" s="113">
        <v>298005.59999999998</v>
      </c>
      <c r="G2219" s="113">
        <v>293233.83</v>
      </c>
      <c r="H2219" s="113"/>
      <c r="I2219" s="113">
        <v>82792.56</v>
      </c>
      <c r="J2219" s="113">
        <v>123913.94</v>
      </c>
      <c r="K2219" s="113">
        <v>148064.51</v>
      </c>
      <c r="L2219" s="113">
        <v>165292.65</v>
      </c>
      <c r="M2219" s="113"/>
    </row>
    <row r="2220" spans="1:13" x14ac:dyDescent="0.2">
      <c r="A2220" s="111" t="s">
        <v>78</v>
      </c>
      <c r="B2220" s="112" t="s">
        <v>109</v>
      </c>
      <c r="C2220" s="112" t="s">
        <v>221</v>
      </c>
      <c r="D2220" s="113">
        <v>320322.78999999998</v>
      </c>
      <c r="E2220" s="113">
        <v>320617.78999999998</v>
      </c>
      <c r="F2220" s="113">
        <v>315548.95</v>
      </c>
      <c r="G2220" s="113"/>
      <c r="H2220" s="113"/>
      <c r="I2220" s="113">
        <v>98893.69</v>
      </c>
      <c r="J2220" s="113">
        <v>133245.03</v>
      </c>
      <c r="K2220" s="113">
        <v>161153.34</v>
      </c>
      <c r="L2220" s="113"/>
      <c r="M2220" s="113"/>
    </row>
    <row r="2221" spans="1:13" x14ac:dyDescent="0.2">
      <c r="A2221" s="111" t="s">
        <v>78</v>
      </c>
      <c r="B2221" s="112" t="s">
        <v>109</v>
      </c>
      <c r="C2221" s="112" t="s">
        <v>222</v>
      </c>
      <c r="D2221" s="113">
        <v>309767.25</v>
      </c>
      <c r="E2221" s="113">
        <v>309303.81</v>
      </c>
      <c r="F2221" s="113"/>
      <c r="G2221" s="113"/>
      <c r="H2221" s="113"/>
      <c r="I2221" s="113">
        <v>80190.17</v>
      </c>
      <c r="J2221" s="113">
        <v>118994.16</v>
      </c>
      <c r="K2221" s="113"/>
      <c r="L2221" s="113"/>
      <c r="M2221" s="113"/>
    </row>
    <row r="2222" spans="1:13" x14ac:dyDescent="0.2">
      <c r="A2222" s="111" t="s">
        <v>78</v>
      </c>
      <c r="B2222" s="112" t="s">
        <v>109</v>
      </c>
      <c r="C2222" s="112" t="s">
        <v>223</v>
      </c>
      <c r="D2222" s="113">
        <v>293276.74</v>
      </c>
      <c r="E2222" s="113"/>
      <c r="F2222" s="113"/>
      <c r="G2222" s="113"/>
      <c r="H2222" s="113"/>
      <c r="I2222" s="113">
        <v>77935</v>
      </c>
      <c r="J2222" s="113"/>
      <c r="K2222" s="113"/>
      <c r="L2222" s="113"/>
      <c r="M2222" s="113"/>
    </row>
    <row r="2223" spans="1:13" x14ac:dyDescent="0.2">
      <c r="A2223" s="111" t="s">
        <v>78</v>
      </c>
      <c r="B2223" s="112" t="s">
        <v>106</v>
      </c>
      <c r="C2223" s="112" t="s">
        <v>220</v>
      </c>
      <c r="D2223" s="113">
        <v>462205.4</v>
      </c>
      <c r="E2223" s="113">
        <v>461405.4</v>
      </c>
      <c r="F2223" s="113">
        <v>459595.4</v>
      </c>
      <c r="G2223" s="113">
        <v>456925.4</v>
      </c>
      <c r="H2223" s="113"/>
      <c r="I2223" s="113">
        <v>457520.65</v>
      </c>
      <c r="J2223" s="113">
        <v>458922.9</v>
      </c>
      <c r="K2223" s="113">
        <v>457112.9</v>
      </c>
      <c r="L2223" s="113">
        <v>455302.15</v>
      </c>
      <c r="M2223" s="113"/>
    </row>
    <row r="2224" spans="1:13" x14ac:dyDescent="0.2">
      <c r="A2224" s="111" t="s">
        <v>78</v>
      </c>
      <c r="B2224" s="112" t="s">
        <v>106</v>
      </c>
      <c r="C2224" s="112" t="s">
        <v>221</v>
      </c>
      <c r="D2224" s="113">
        <v>507704.41</v>
      </c>
      <c r="E2224" s="113">
        <v>504228.59</v>
      </c>
      <c r="F2224" s="113">
        <v>502303.59</v>
      </c>
      <c r="G2224" s="113"/>
      <c r="H2224" s="113"/>
      <c r="I2224" s="113">
        <v>488644.65</v>
      </c>
      <c r="J2224" s="113">
        <v>504228.59</v>
      </c>
      <c r="K2224" s="113">
        <v>502573.59</v>
      </c>
      <c r="L2224" s="113"/>
      <c r="M2224" s="113"/>
    </row>
    <row r="2225" spans="1:13" x14ac:dyDescent="0.2">
      <c r="A2225" s="111" t="s">
        <v>78</v>
      </c>
      <c r="B2225" s="112" t="s">
        <v>106</v>
      </c>
      <c r="C2225" s="112" t="s">
        <v>222</v>
      </c>
      <c r="D2225" s="113">
        <v>520470.06</v>
      </c>
      <c r="E2225" s="113">
        <v>516633.68</v>
      </c>
      <c r="F2225" s="113"/>
      <c r="G2225" s="113"/>
      <c r="H2225" s="113"/>
      <c r="I2225" s="113">
        <v>504503.91</v>
      </c>
      <c r="J2225" s="113">
        <v>514567.2</v>
      </c>
      <c r="K2225" s="113"/>
      <c r="L2225" s="113"/>
      <c r="M2225" s="113"/>
    </row>
    <row r="2226" spans="1:13" x14ac:dyDescent="0.2">
      <c r="A2226" s="111" t="s">
        <v>78</v>
      </c>
      <c r="B2226" s="112" t="s">
        <v>106</v>
      </c>
      <c r="C2226" s="112" t="s">
        <v>223</v>
      </c>
      <c r="D2226" s="113">
        <v>432309.62</v>
      </c>
      <c r="E2226" s="113"/>
      <c r="F2226" s="113"/>
      <c r="G2226" s="113"/>
      <c r="H2226" s="113"/>
      <c r="I2226" s="113">
        <v>429020.7</v>
      </c>
      <c r="J2226" s="113"/>
      <c r="K2226" s="113"/>
      <c r="L2226" s="113"/>
      <c r="M2226" s="113"/>
    </row>
    <row r="2227" spans="1:13" x14ac:dyDescent="0.2">
      <c r="A2227" s="111" t="s">
        <v>78</v>
      </c>
      <c r="B2227" s="112" t="s">
        <v>107</v>
      </c>
      <c r="C2227" s="112" t="s">
        <v>220</v>
      </c>
      <c r="D2227" s="113">
        <v>464170.94</v>
      </c>
      <c r="E2227" s="113">
        <v>463870.94</v>
      </c>
      <c r="F2227" s="113">
        <v>463508.43</v>
      </c>
      <c r="G2227" s="113">
        <v>463508.43</v>
      </c>
      <c r="H2227" s="113"/>
      <c r="I2227" s="113">
        <v>463498.25</v>
      </c>
      <c r="J2227" s="113">
        <v>463508.43</v>
      </c>
      <c r="K2227" s="113">
        <v>463508.43</v>
      </c>
      <c r="L2227" s="113">
        <v>463508.43</v>
      </c>
      <c r="M2227" s="113"/>
    </row>
    <row r="2228" spans="1:13" x14ac:dyDescent="0.2">
      <c r="A2228" s="111" t="s">
        <v>78</v>
      </c>
      <c r="B2228" s="112" t="s">
        <v>107</v>
      </c>
      <c r="C2228" s="112" t="s">
        <v>221</v>
      </c>
      <c r="D2228" s="113">
        <v>472108.77</v>
      </c>
      <c r="E2228" s="113">
        <v>472108.77</v>
      </c>
      <c r="F2228" s="113">
        <v>471940.38</v>
      </c>
      <c r="G2228" s="113"/>
      <c r="H2228" s="113"/>
      <c r="I2228" s="113">
        <v>464837.09</v>
      </c>
      <c r="J2228" s="113">
        <v>471932.09</v>
      </c>
      <c r="K2228" s="113">
        <v>471940.38</v>
      </c>
      <c r="L2228" s="113"/>
      <c r="M2228" s="113"/>
    </row>
    <row r="2229" spans="1:13" x14ac:dyDescent="0.2">
      <c r="A2229" s="111" t="s">
        <v>78</v>
      </c>
      <c r="B2229" s="112" t="s">
        <v>107</v>
      </c>
      <c r="C2229" s="112" t="s">
        <v>222</v>
      </c>
      <c r="D2229" s="113">
        <v>477098.22</v>
      </c>
      <c r="E2229" s="113">
        <v>476653.22</v>
      </c>
      <c r="F2229" s="113"/>
      <c r="G2229" s="113"/>
      <c r="H2229" s="113"/>
      <c r="I2229" s="113">
        <v>468303.22</v>
      </c>
      <c r="J2229" s="113">
        <v>476913.22</v>
      </c>
      <c r="K2229" s="113"/>
      <c r="L2229" s="113"/>
      <c r="M2229" s="113"/>
    </row>
    <row r="2230" spans="1:13" x14ac:dyDescent="0.2">
      <c r="A2230" s="111" t="s">
        <v>78</v>
      </c>
      <c r="B2230" s="112" t="s">
        <v>107</v>
      </c>
      <c r="C2230" s="112" t="s">
        <v>223</v>
      </c>
      <c r="D2230" s="113">
        <v>461321.88</v>
      </c>
      <c r="E2230" s="113"/>
      <c r="F2230" s="113"/>
      <c r="G2230" s="113"/>
      <c r="H2230" s="113"/>
      <c r="I2230" s="113">
        <v>442131.88</v>
      </c>
      <c r="J2230" s="113"/>
      <c r="K2230" s="113"/>
      <c r="L2230" s="113"/>
      <c r="M2230" s="113"/>
    </row>
    <row r="2231" spans="1:13" x14ac:dyDescent="0.2">
      <c r="A2231" s="111" t="s">
        <v>78</v>
      </c>
      <c r="B2231" s="112" t="s">
        <v>108</v>
      </c>
      <c r="C2231" s="112" t="s">
        <v>220</v>
      </c>
      <c r="D2231" s="113">
        <v>96294</v>
      </c>
      <c r="E2231" s="113">
        <v>96694</v>
      </c>
      <c r="F2231" s="113">
        <v>95947</v>
      </c>
      <c r="G2231" s="113">
        <v>95931</v>
      </c>
      <c r="H2231" s="113"/>
      <c r="I2231" s="113">
        <v>95131</v>
      </c>
      <c r="J2231" s="113">
        <v>95533.4</v>
      </c>
      <c r="K2231" s="113">
        <v>95533.4</v>
      </c>
      <c r="L2231" s="113">
        <v>95531</v>
      </c>
      <c r="M2231" s="113"/>
    </row>
    <row r="2232" spans="1:13" x14ac:dyDescent="0.2">
      <c r="A2232" s="111" t="s">
        <v>78</v>
      </c>
      <c r="B2232" s="112" t="s">
        <v>108</v>
      </c>
      <c r="C2232" s="112" t="s">
        <v>221</v>
      </c>
      <c r="D2232" s="113">
        <v>128750.77</v>
      </c>
      <c r="E2232" s="113">
        <v>128170.77</v>
      </c>
      <c r="F2232" s="113">
        <v>128170.77</v>
      </c>
      <c r="G2232" s="113"/>
      <c r="H2232" s="113"/>
      <c r="I2232" s="113">
        <v>127196.37</v>
      </c>
      <c r="J2232" s="113">
        <v>128168.37</v>
      </c>
      <c r="K2232" s="113">
        <v>128170.77</v>
      </c>
      <c r="L2232" s="113"/>
      <c r="M2232" s="113"/>
    </row>
    <row r="2233" spans="1:13" x14ac:dyDescent="0.2">
      <c r="A2233" s="111" t="s">
        <v>78</v>
      </c>
      <c r="B2233" s="112" t="s">
        <v>108</v>
      </c>
      <c r="C2233" s="112" t="s">
        <v>222</v>
      </c>
      <c r="D2233" s="113">
        <v>122156.83</v>
      </c>
      <c r="E2233" s="113">
        <v>121470.83</v>
      </c>
      <c r="F2233" s="113"/>
      <c r="G2233" s="113"/>
      <c r="H2233" s="113"/>
      <c r="I2233" s="113">
        <v>120173.83</v>
      </c>
      <c r="J2233" s="113">
        <v>121424.83</v>
      </c>
      <c r="K2233" s="113"/>
      <c r="L2233" s="113"/>
      <c r="M2233" s="113"/>
    </row>
    <row r="2234" spans="1:13" x14ac:dyDescent="0.2">
      <c r="A2234" s="111" t="s">
        <v>78</v>
      </c>
      <c r="B2234" s="112" t="s">
        <v>108</v>
      </c>
      <c r="C2234" s="112" t="s">
        <v>223</v>
      </c>
      <c r="D2234" s="113">
        <v>122541.98</v>
      </c>
      <c r="E2234" s="113"/>
      <c r="F2234" s="113"/>
      <c r="G2234" s="113"/>
      <c r="H2234" s="113"/>
      <c r="I2234" s="113">
        <v>120471.98</v>
      </c>
      <c r="J2234" s="113"/>
      <c r="K2234" s="113"/>
      <c r="L2234" s="113"/>
      <c r="M2234" s="113"/>
    </row>
    <row r="2235" spans="1:13" x14ac:dyDescent="0.2">
      <c r="A2235" s="111" t="s">
        <v>78</v>
      </c>
      <c r="B2235" s="112" t="s">
        <v>70</v>
      </c>
      <c r="C2235" s="112" t="s">
        <v>220</v>
      </c>
      <c r="D2235" s="113">
        <v>121196.42</v>
      </c>
      <c r="E2235" s="113">
        <v>121136.42</v>
      </c>
      <c r="F2235" s="113">
        <v>121136.42</v>
      </c>
      <c r="G2235" s="113">
        <v>121136.42</v>
      </c>
      <c r="H2235" s="113"/>
      <c r="I2235" s="113">
        <v>119837.72</v>
      </c>
      <c r="J2235" s="113">
        <v>120255.92</v>
      </c>
      <c r="K2235" s="113">
        <v>120255.92</v>
      </c>
      <c r="L2235" s="113">
        <v>120255.92</v>
      </c>
      <c r="M2235" s="113"/>
    </row>
    <row r="2236" spans="1:13" x14ac:dyDescent="0.2">
      <c r="A2236" s="111" t="s">
        <v>78</v>
      </c>
      <c r="B2236" s="112" t="s">
        <v>70</v>
      </c>
      <c r="C2236" s="112" t="s">
        <v>221</v>
      </c>
      <c r="D2236" s="113">
        <v>151102.70000000001</v>
      </c>
      <c r="E2236" s="113">
        <v>150274.20000000001</v>
      </c>
      <c r="F2236" s="113">
        <v>149974.20000000001</v>
      </c>
      <c r="G2236" s="113"/>
      <c r="H2236" s="113"/>
      <c r="I2236" s="113">
        <v>146615.92000000001</v>
      </c>
      <c r="J2236" s="113">
        <v>147776.92000000001</v>
      </c>
      <c r="K2236" s="113">
        <v>147803.12</v>
      </c>
      <c r="L2236" s="113"/>
      <c r="M2236" s="113"/>
    </row>
    <row r="2237" spans="1:13" x14ac:dyDescent="0.2">
      <c r="A2237" s="111" t="s">
        <v>78</v>
      </c>
      <c r="B2237" s="112" t="s">
        <v>70</v>
      </c>
      <c r="C2237" s="112" t="s">
        <v>222</v>
      </c>
      <c r="D2237" s="113">
        <v>146210.03</v>
      </c>
      <c r="E2237" s="113">
        <v>146210.03</v>
      </c>
      <c r="F2237" s="113"/>
      <c r="G2237" s="113"/>
      <c r="H2237" s="113"/>
      <c r="I2237" s="113">
        <v>141615.45000000001</v>
      </c>
      <c r="J2237" s="113">
        <v>145461.15</v>
      </c>
      <c r="K2237" s="113"/>
      <c r="L2237" s="113"/>
      <c r="M2237" s="113"/>
    </row>
    <row r="2238" spans="1:13" x14ac:dyDescent="0.2">
      <c r="A2238" s="111" t="s">
        <v>78</v>
      </c>
      <c r="B2238" s="112" t="s">
        <v>70</v>
      </c>
      <c r="C2238" s="112" t="s">
        <v>223</v>
      </c>
      <c r="D2238" s="113">
        <v>139585.51</v>
      </c>
      <c r="E2238" s="113"/>
      <c r="F2238" s="113"/>
      <c r="G2238" s="113"/>
      <c r="H2238" s="113"/>
      <c r="I2238" s="113">
        <v>136162.74</v>
      </c>
      <c r="J2238" s="113"/>
      <c r="K2238" s="113"/>
      <c r="L2238" s="113"/>
      <c r="M2238" s="113"/>
    </row>
    <row r="2239" spans="1:13" x14ac:dyDescent="0.2">
      <c r="A2239" s="111" t="s">
        <v>78</v>
      </c>
      <c r="B2239" s="112" t="s">
        <v>110</v>
      </c>
      <c r="C2239" s="112" t="s">
        <v>220</v>
      </c>
      <c r="D2239" s="113">
        <v>1273772.95</v>
      </c>
      <c r="E2239" s="113">
        <v>1261363.33</v>
      </c>
      <c r="F2239" s="113">
        <v>1254942.31</v>
      </c>
      <c r="G2239" s="113">
        <v>1252465.31</v>
      </c>
      <c r="H2239" s="113"/>
      <c r="I2239" s="113">
        <v>693853.49</v>
      </c>
      <c r="J2239" s="113">
        <v>1109085.78</v>
      </c>
      <c r="K2239" s="113">
        <v>1139120.3600000001</v>
      </c>
      <c r="L2239" s="113">
        <v>1149853.07</v>
      </c>
      <c r="M2239" s="113"/>
    </row>
    <row r="2240" spans="1:13" x14ac:dyDescent="0.2">
      <c r="A2240" s="111" t="s">
        <v>78</v>
      </c>
      <c r="B2240" s="112" t="s">
        <v>110</v>
      </c>
      <c r="C2240" s="112" t="s">
        <v>221</v>
      </c>
      <c r="D2240" s="113">
        <v>1619408.85</v>
      </c>
      <c r="E2240" s="113">
        <v>1549714.25</v>
      </c>
      <c r="F2240" s="113">
        <v>1543746.24</v>
      </c>
      <c r="G2240" s="113"/>
      <c r="H2240" s="113"/>
      <c r="I2240" s="113">
        <v>897108.63</v>
      </c>
      <c r="J2240" s="113">
        <v>1357973.54</v>
      </c>
      <c r="K2240" s="113">
        <v>1398648.88</v>
      </c>
      <c r="L2240" s="113"/>
      <c r="M2240" s="113"/>
    </row>
    <row r="2241" spans="1:13" x14ac:dyDescent="0.2">
      <c r="A2241" s="111" t="s">
        <v>78</v>
      </c>
      <c r="B2241" s="112" t="s">
        <v>110</v>
      </c>
      <c r="C2241" s="112" t="s">
        <v>222</v>
      </c>
      <c r="D2241" s="113">
        <v>1594261.15</v>
      </c>
      <c r="E2241" s="113">
        <v>1539618.4</v>
      </c>
      <c r="F2241" s="113"/>
      <c r="G2241" s="113"/>
      <c r="H2241" s="113"/>
      <c r="I2241" s="113">
        <v>897211.57</v>
      </c>
      <c r="J2241" s="113">
        <v>1346518.06</v>
      </c>
      <c r="K2241" s="113"/>
      <c r="L2241" s="113"/>
      <c r="M2241" s="113"/>
    </row>
    <row r="2242" spans="1:13" x14ac:dyDescent="0.2">
      <c r="A2242" s="111" t="s">
        <v>78</v>
      </c>
      <c r="B2242" s="112" t="s">
        <v>110</v>
      </c>
      <c r="C2242" s="112" t="s">
        <v>223</v>
      </c>
      <c r="D2242" s="113">
        <v>1588926.05</v>
      </c>
      <c r="E2242" s="113"/>
      <c r="F2242" s="113"/>
      <c r="G2242" s="113"/>
      <c r="H2242" s="113"/>
      <c r="I2242" s="113">
        <v>865648.06</v>
      </c>
      <c r="J2242" s="113"/>
      <c r="K2242" s="113"/>
      <c r="L2242" s="113"/>
      <c r="M2242" s="113"/>
    </row>
    <row r="2243" spans="1:13" x14ac:dyDescent="0.2">
      <c r="A2243" t="s">
        <v>55</v>
      </c>
      <c r="B2243" t="s">
        <v>104</v>
      </c>
      <c r="C2243" t="s">
        <v>220</v>
      </c>
      <c r="D2243" s="110">
        <v>781131.48</v>
      </c>
      <c r="E2243" s="110">
        <v>789669.48</v>
      </c>
      <c r="F2243" s="110">
        <v>789007.48</v>
      </c>
      <c r="G2243" s="110">
        <v>786844.48</v>
      </c>
      <c r="I2243" s="110">
        <v>22940.57</v>
      </c>
      <c r="J2243" s="110">
        <v>45922.2</v>
      </c>
      <c r="K2243" s="110">
        <v>61019.47</v>
      </c>
      <c r="L2243" s="110">
        <v>77677.98</v>
      </c>
    </row>
    <row r="2244" spans="1:13" x14ac:dyDescent="0.2">
      <c r="A2244" t="s">
        <v>55</v>
      </c>
      <c r="B2244" t="s">
        <v>104</v>
      </c>
      <c r="C2244" t="s">
        <v>221</v>
      </c>
      <c r="D2244" s="110">
        <v>475078.21</v>
      </c>
      <c r="E2244" s="110">
        <v>474387.21</v>
      </c>
      <c r="F2244" s="110">
        <v>473015.67</v>
      </c>
      <c r="I2244" s="110">
        <v>26276.43</v>
      </c>
      <c r="J2244" s="110">
        <v>48468.14</v>
      </c>
      <c r="K2244" s="110">
        <v>62433.51</v>
      </c>
    </row>
    <row r="2245" spans="1:13" x14ac:dyDescent="0.2">
      <c r="A2245" t="s">
        <v>55</v>
      </c>
      <c r="B2245" t="s">
        <v>104</v>
      </c>
      <c r="C2245" t="s">
        <v>222</v>
      </c>
      <c r="D2245" s="110">
        <v>413112.15</v>
      </c>
      <c r="E2245" s="110">
        <v>412404.15</v>
      </c>
      <c r="I2245" s="110">
        <v>17740.22</v>
      </c>
      <c r="J2245" s="110">
        <v>36589</v>
      </c>
    </row>
    <row r="2246" spans="1:13" x14ac:dyDescent="0.2">
      <c r="A2246" t="s">
        <v>55</v>
      </c>
      <c r="B2246" t="s">
        <v>104</v>
      </c>
      <c r="C2246" t="s">
        <v>223</v>
      </c>
      <c r="D2246" s="110">
        <v>516090.5</v>
      </c>
      <c r="I2246" s="110">
        <v>28250.38</v>
      </c>
    </row>
    <row r="2247" spans="1:13" x14ac:dyDescent="0.2">
      <c r="A2247" t="s">
        <v>55</v>
      </c>
      <c r="B2247" t="s">
        <v>140</v>
      </c>
      <c r="C2247" t="s">
        <v>220</v>
      </c>
      <c r="D2247" s="110">
        <v>320586</v>
      </c>
      <c r="E2247" s="110">
        <v>320586</v>
      </c>
      <c r="F2247" s="110">
        <v>320586</v>
      </c>
      <c r="G2247" s="110">
        <v>320586</v>
      </c>
      <c r="I2247" s="110">
        <v>42.5</v>
      </c>
      <c r="J2247" s="110">
        <v>136.72999999999999</v>
      </c>
      <c r="K2247" s="110">
        <v>232.88</v>
      </c>
      <c r="L2247" s="110">
        <v>232.88</v>
      </c>
    </row>
    <row r="2248" spans="1:13" x14ac:dyDescent="0.2">
      <c r="A2248" t="s">
        <v>55</v>
      </c>
      <c r="B2248" t="s">
        <v>140</v>
      </c>
      <c r="C2248" t="s">
        <v>221</v>
      </c>
      <c r="D2248" s="110">
        <v>105902</v>
      </c>
      <c r="E2248" s="110">
        <v>105902</v>
      </c>
      <c r="F2248" s="110">
        <v>105902</v>
      </c>
      <c r="I2248" s="110">
        <v>32</v>
      </c>
      <c r="J2248" s="110">
        <v>39</v>
      </c>
      <c r="K2248" s="110">
        <v>39</v>
      </c>
    </row>
    <row r="2249" spans="1:13" x14ac:dyDescent="0.2">
      <c r="A2249" t="s">
        <v>55</v>
      </c>
      <c r="B2249" t="s">
        <v>140</v>
      </c>
      <c r="C2249" t="s">
        <v>222</v>
      </c>
      <c r="D2249" s="110">
        <v>209</v>
      </c>
      <c r="E2249" s="110">
        <v>209</v>
      </c>
      <c r="I2249" s="110">
        <v>21</v>
      </c>
      <c r="J2249" s="110">
        <v>21</v>
      </c>
    </row>
    <row r="2250" spans="1:13" x14ac:dyDescent="0.2">
      <c r="A2250" t="s">
        <v>55</v>
      </c>
      <c r="B2250" t="s">
        <v>140</v>
      </c>
      <c r="C2250" t="s">
        <v>223</v>
      </c>
      <c r="D2250" s="110">
        <v>53438</v>
      </c>
      <c r="I2250" s="110">
        <v>96</v>
      </c>
    </row>
    <row r="2251" spans="1:13" x14ac:dyDescent="0.2">
      <c r="A2251" t="s">
        <v>55</v>
      </c>
      <c r="B2251" t="s">
        <v>105</v>
      </c>
      <c r="C2251" t="s">
        <v>220</v>
      </c>
      <c r="D2251" s="110">
        <v>144939.21</v>
      </c>
      <c r="E2251" s="110">
        <v>140327.71</v>
      </c>
      <c r="F2251" s="110">
        <v>140231.21</v>
      </c>
      <c r="G2251" s="110">
        <v>139508.21</v>
      </c>
      <c r="I2251" s="110">
        <v>37754.82</v>
      </c>
      <c r="J2251" s="110">
        <v>50621.120000000003</v>
      </c>
      <c r="K2251" s="110">
        <v>58906.96</v>
      </c>
      <c r="L2251" s="110">
        <v>64626.720000000001</v>
      </c>
    </row>
    <row r="2252" spans="1:13" x14ac:dyDescent="0.2">
      <c r="A2252" t="s">
        <v>55</v>
      </c>
      <c r="B2252" t="s">
        <v>105</v>
      </c>
      <c r="C2252" t="s">
        <v>221</v>
      </c>
      <c r="D2252" s="110">
        <v>200576.09</v>
      </c>
      <c r="E2252" s="110">
        <v>198824.59</v>
      </c>
      <c r="F2252" s="110">
        <v>197973.59</v>
      </c>
      <c r="I2252" s="110">
        <v>48738.080000000002</v>
      </c>
      <c r="J2252" s="110">
        <v>64033.99</v>
      </c>
      <c r="K2252" s="110">
        <v>71746.87</v>
      </c>
    </row>
    <row r="2253" spans="1:13" x14ac:dyDescent="0.2">
      <c r="A2253" t="s">
        <v>55</v>
      </c>
      <c r="B2253" t="s">
        <v>105</v>
      </c>
      <c r="C2253" t="s">
        <v>222</v>
      </c>
      <c r="D2253" s="110">
        <v>174752.24</v>
      </c>
      <c r="E2253" s="110">
        <v>169832.24</v>
      </c>
      <c r="I2253" s="110">
        <v>33135.620000000003</v>
      </c>
      <c r="J2253" s="110">
        <v>47879.71</v>
      </c>
    </row>
    <row r="2254" spans="1:13" x14ac:dyDescent="0.2">
      <c r="A2254" t="s">
        <v>55</v>
      </c>
      <c r="B2254" t="s">
        <v>105</v>
      </c>
      <c r="C2254" t="s">
        <v>223</v>
      </c>
      <c r="D2254" s="110">
        <v>201326.79</v>
      </c>
      <c r="I2254" s="110">
        <v>41500.44</v>
      </c>
    </row>
    <row r="2255" spans="1:13" x14ac:dyDescent="0.2">
      <c r="A2255" t="s">
        <v>55</v>
      </c>
      <c r="B2255" t="s">
        <v>111</v>
      </c>
      <c r="C2255" t="s">
        <v>220</v>
      </c>
      <c r="D2255" s="110">
        <v>13957.5</v>
      </c>
      <c r="E2255" s="110">
        <v>11851.5</v>
      </c>
      <c r="F2255" s="110">
        <v>8751.5</v>
      </c>
      <c r="G2255" s="110">
        <v>8050.5</v>
      </c>
      <c r="I2255" s="110">
        <v>652</v>
      </c>
      <c r="J2255" s="110">
        <v>673</v>
      </c>
      <c r="K2255" s="110">
        <v>1706</v>
      </c>
      <c r="L2255" s="110">
        <v>2483</v>
      </c>
    </row>
    <row r="2256" spans="1:13" x14ac:dyDescent="0.2">
      <c r="A2256" t="s">
        <v>55</v>
      </c>
      <c r="B2256" t="s">
        <v>111</v>
      </c>
      <c r="C2256" t="s">
        <v>221</v>
      </c>
      <c r="D2256" s="110">
        <v>13213.5</v>
      </c>
      <c r="E2256" s="110">
        <v>11363.5</v>
      </c>
      <c r="F2256" s="110">
        <v>10032.5</v>
      </c>
      <c r="I2256" s="110">
        <v>341.5</v>
      </c>
      <c r="J2256" s="110">
        <v>1671.5</v>
      </c>
      <c r="K2256" s="110">
        <v>2724.5</v>
      </c>
    </row>
    <row r="2257" spans="1:12" x14ac:dyDescent="0.2">
      <c r="A2257" t="s">
        <v>55</v>
      </c>
      <c r="B2257" t="s">
        <v>111</v>
      </c>
      <c r="C2257" t="s">
        <v>222</v>
      </c>
      <c r="D2257" s="110">
        <v>12902.5</v>
      </c>
      <c r="E2257" s="110">
        <v>11096</v>
      </c>
      <c r="I2257" s="110">
        <v>523.5</v>
      </c>
      <c r="J2257" s="110">
        <v>1390</v>
      </c>
    </row>
    <row r="2258" spans="1:12" x14ac:dyDescent="0.2">
      <c r="A2258" t="s">
        <v>55</v>
      </c>
      <c r="B2258" t="s">
        <v>111</v>
      </c>
      <c r="C2258" t="s">
        <v>223</v>
      </c>
      <c r="D2258" s="110">
        <v>11893</v>
      </c>
      <c r="I2258" s="110">
        <v>713</v>
      </c>
    </row>
    <row r="2259" spans="1:12" x14ac:dyDescent="0.2">
      <c r="A2259" s="56" t="s">
        <v>55</v>
      </c>
      <c r="B2259" t="s">
        <v>109</v>
      </c>
      <c r="C2259" t="s">
        <v>220</v>
      </c>
      <c r="D2259" s="110">
        <v>196668.48</v>
      </c>
      <c r="E2259" s="110">
        <v>196259.58</v>
      </c>
      <c r="F2259" s="110">
        <v>196391.28</v>
      </c>
      <c r="G2259" s="110">
        <v>196141.28</v>
      </c>
      <c r="I2259" s="110">
        <v>84914.18</v>
      </c>
      <c r="J2259" s="110">
        <v>107071.38</v>
      </c>
      <c r="K2259" s="110">
        <v>118492.64</v>
      </c>
      <c r="L2259" s="110">
        <v>124533.71</v>
      </c>
    </row>
    <row r="2260" spans="1:12" x14ac:dyDescent="0.2">
      <c r="A2260" s="56" t="s">
        <v>55</v>
      </c>
      <c r="B2260" t="s">
        <v>109</v>
      </c>
      <c r="C2260" t="s">
        <v>221</v>
      </c>
      <c r="D2260" s="110">
        <v>258236.63</v>
      </c>
      <c r="E2260" s="110">
        <v>256403.13</v>
      </c>
      <c r="F2260" s="110">
        <v>254498.13</v>
      </c>
      <c r="I2260" s="110">
        <v>120399.37</v>
      </c>
      <c r="J2260" s="110">
        <v>146193.45000000001</v>
      </c>
      <c r="K2260" s="110">
        <v>155697.21</v>
      </c>
    </row>
    <row r="2261" spans="1:12" x14ac:dyDescent="0.2">
      <c r="A2261" s="56" t="s">
        <v>55</v>
      </c>
      <c r="B2261" t="s">
        <v>109</v>
      </c>
      <c r="C2261" t="s">
        <v>222</v>
      </c>
      <c r="D2261" s="110">
        <v>264686.05</v>
      </c>
      <c r="E2261" s="110">
        <v>263438.55</v>
      </c>
      <c r="I2261" s="110">
        <v>121872.34</v>
      </c>
      <c r="J2261" s="110">
        <v>141578.51</v>
      </c>
    </row>
    <row r="2262" spans="1:12" x14ac:dyDescent="0.2">
      <c r="A2262" s="56" t="s">
        <v>55</v>
      </c>
      <c r="B2262" t="s">
        <v>109</v>
      </c>
      <c r="C2262" t="s">
        <v>223</v>
      </c>
      <c r="D2262" s="110">
        <v>261852.3</v>
      </c>
      <c r="I2262" s="110">
        <v>104314.41</v>
      </c>
    </row>
    <row r="2263" spans="1:12" x14ac:dyDescent="0.2">
      <c r="A2263" s="56" t="s">
        <v>55</v>
      </c>
      <c r="B2263" t="s">
        <v>106</v>
      </c>
      <c r="C2263" t="s">
        <v>220</v>
      </c>
      <c r="D2263" s="110">
        <v>293830.14</v>
      </c>
      <c r="E2263" s="110">
        <v>293830.14</v>
      </c>
      <c r="F2263" s="110">
        <v>293930.14</v>
      </c>
      <c r="G2263" s="110">
        <v>293830.14</v>
      </c>
      <c r="I2263" s="110">
        <v>292655.14</v>
      </c>
      <c r="J2263" s="110">
        <v>292655.14</v>
      </c>
      <c r="K2263" s="110">
        <v>292655.14</v>
      </c>
      <c r="L2263" s="110">
        <v>292655.14</v>
      </c>
    </row>
    <row r="2264" spans="1:12" x14ac:dyDescent="0.2">
      <c r="A2264" s="56" t="s">
        <v>55</v>
      </c>
      <c r="B2264" t="s">
        <v>106</v>
      </c>
      <c r="C2264" t="s">
        <v>221</v>
      </c>
      <c r="D2264" s="110">
        <v>222267.83</v>
      </c>
      <c r="E2264" s="110">
        <v>222267.83</v>
      </c>
      <c r="F2264" s="110">
        <v>222267.83</v>
      </c>
      <c r="I2264" s="110">
        <v>220670.63</v>
      </c>
      <c r="J2264" s="110">
        <v>221540.63</v>
      </c>
      <c r="K2264" s="110">
        <v>221540.63</v>
      </c>
    </row>
    <row r="2265" spans="1:12" x14ac:dyDescent="0.2">
      <c r="A2265" s="56" t="s">
        <v>55</v>
      </c>
      <c r="B2265" t="s">
        <v>106</v>
      </c>
      <c r="C2265" t="s">
        <v>222</v>
      </c>
      <c r="D2265" s="110">
        <v>235553.74</v>
      </c>
      <c r="E2265" s="110">
        <v>235553.74</v>
      </c>
      <c r="I2265" s="110">
        <v>232143.14</v>
      </c>
      <c r="J2265" s="110">
        <v>232574.13</v>
      </c>
    </row>
    <row r="2266" spans="1:12" x14ac:dyDescent="0.2">
      <c r="A2266" s="56" t="s">
        <v>55</v>
      </c>
      <c r="B2266" t="s">
        <v>106</v>
      </c>
      <c r="C2266" t="s">
        <v>223</v>
      </c>
      <c r="D2266" s="110">
        <v>204584.41</v>
      </c>
      <c r="I2266" s="110">
        <v>199653.91</v>
      </c>
    </row>
    <row r="2267" spans="1:12" x14ac:dyDescent="0.2">
      <c r="A2267" s="56" t="s">
        <v>55</v>
      </c>
      <c r="B2267" t="s">
        <v>107</v>
      </c>
      <c r="C2267" t="s">
        <v>220</v>
      </c>
      <c r="D2267" s="110">
        <v>171171.02</v>
      </c>
      <c r="E2267" s="110">
        <v>171171.02</v>
      </c>
      <c r="F2267" s="110">
        <v>171171.02</v>
      </c>
      <c r="G2267" s="110">
        <v>171171.02</v>
      </c>
      <c r="I2267" s="110">
        <v>171161.02</v>
      </c>
      <c r="J2267" s="110">
        <v>171171.02</v>
      </c>
      <c r="K2267" s="110">
        <v>171171.02</v>
      </c>
      <c r="L2267" s="110">
        <v>171171.02</v>
      </c>
    </row>
    <row r="2268" spans="1:12" x14ac:dyDescent="0.2">
      <c r="A2268" s="56" t="s">
        <v>55</v>
      </c>
      <c r="B2268" t="s">
        <v>107</v>
      </c>
      <c r="C2268" t="s">
        <v>221</v>
      </c>
      <c r="D2268" s="110">
        <v>180047.85</v>
      </c>
      <c r="E2268" s="110">
        <v>180047.85</v>
      </c>
      <c r="F2268" s="110">
        <v>180047.85</v>
      </c>
      <c r="I2268" s="110">
        <v>178804.35</v>
      </c>
      <c r="J2268" s="110">
        <v>180044.35</v>
      </c>
      <c r="K2268" s="110">
        <v>180044.35</v>
      </c>
    </row>
    <row r="2269" spans="1:12" x14ac:dyDescent="0.2">
      <c r="A2269" s="56" t="s">
        <v>55</v>
      </c>
      <c r="B2269" t="s">
        <v>107</v>
      </c>
      <c r="C2269" t="s">
        <v>222</v>
      </c>
      <c r="D2269" s="110">
        <v>185611.51</v>
      </c>
      <c r="E2269" s="110">
        <v>185611.51</v>
      </c>
      <c r="I2269" s="110">
        <v>184241.51</v>
      </c>
      <c r="J2269" s="110">
        <v>185171.51</v>
      </c>
    </row>
    <row r="2270" spans="1:12" x14ac:dyDescent="0.2">
      <c r="A2270" s="56" t="s">
        <v>55</v>
      </c>
      <c r="B2270" t="s">
        <v>107</v>
      </c>
      <c r="C2270" t="s">
        <v>223</v>
      </c>
      <c r="D2270" s="110">
        <v>204154.62</v>
      </c>
      <c r="I2270" s="110">
        <v>202255.62</v>
      </c>
    </row>
    <row r="2271" spans="1:12" x14ac:dyDescent="0.2">
      <c r="A2271" s="56" t="s">
        <v>55</v>
      </c>
      <c r="B2271" t="s">
        <v>108</v>
      </c>
      <c r="C2271" t="s">
        <v>220</v>
      </c>
      <c r="D2271" s="110">
        <v>41038.5</v>
      </c>
      <c r="E2271" s="110">
        <v>41438.5</v>
      </c>
      <c r="F2271" s="110">
        <v>41438.5</v>
      </c>
      <c r="G2271" s="110">
        <v>41438.5</v>
      </c>
      <c r="I2271" s="110">
        <v>41397.5</v>
      </c>
      <c r="J2271" s="110">
        <v>41397.5</v>
      </c>
      <c r="K2271" s="110">
        <v>41397.5</v>
      </c>
      <c r="L2271" s="110">
        <v>41397.5</v>
      </c>
    </row>
    <row r="2272" spans="1:12" x14ac:dyDescent="0.2">
      <c r="A2272" s="56" t="s">
        <v>55</v>
      </c>
      <c r="B2272" t="s">
        <v>108</v>
      </c>
      <c r="C2272" t="s">
        <v>221</v>
      </c>
      <c r="D2272" s="110">
        <v>60565.5</v>
      </c>
      <c r="E2272" s="110">
        <v>60565.5</v>
      </c>
      <c r="F2272" s="110">
        <v>60565.5</v>
      </c>
      <c r="I2272" s="110">
        <v>60141.5</v>
      </c>
      <c r="J2272" s="110">
        <v>60144.5</v>
      </c>
      <c r="K2272" s="110">
        <v>60544.5</v>
      </c>
    </row>
    <row r="2273" spans="1:12" x14ac:dyDescent="0.2">
      <c r="A2273" s="56" t="s">
        <v>55</v>
      </c>
      <c r="B2273" t="s">
        <v>108</v>
      </c>
      <c r="C2273" t="s">
        <v>222</v>
      </c>
      <c r="D2273" s="110">
        <v>57097</v>
      </c>
      <c r="E2273" s="110">
        <v>57093</v>
      </c>
      <c r="I2273" s="110">
        <v>56421.5</v>
      </c>
      <c r="J2273" s="110">
        <v>56852.5</v>
      </c>
    </row>
    <row r="2274" spans="1:12" x14ac:dyDescent="0.2">
      <c r="A2274" s="56" t="s">
        <v>55</v>
      </c>
      <c r="B2274" t="s">
        <v>108</v>
      </c>
      <c r="C2274" t="s">
        <v>223</v>
      </c>
      <c r="D2274" s="110">
        <v>60379</v>
      </c>
      <c r="I2274" s="110">
        <v>60253</v>
      </c>
    </row>
    <row r="2275" spans="1:12" x14ac:dyDescent="0.2">
      <c r="A2275" s="56" t="s">
        <v>55</v>
      </c>
      <c r="B2275" t="s">
        <v>70</v>
      </c>
      <c r="C2275" t="s">
        <v>220</v>
      </c>
      <c r="D2275" s="110">
        <v>114586.1</v>
      </c>
      <c r="E2275" s="110">
        <v>114197.6</v>
      </c>
      <c r="F2275" s="110">
        <v>114197.6</v>
      </c>
      <c r="G2275" s="110">
        <v>114197.6</v>
      </c>
      <c r="I2275" s="110">
        <v>106088.6</v>
      </c>
      <c r="J2275" s="110">
        <v>108717.6</v>
      </c>
      <c r="K2275" s="110">
        <v>110247.35</v>
      </c>
      <c r="L2275" s="110">
        <v>110641.1</v>
      </c>
    </row>
    <row r="2276" spans="1:12" x14ac:dyDescent="0.2">
      <c r="A2276" s="56" t="s">
        <v>55</v>
      </c>
      <c r="B2276" t="s">
        <v>70</v>
      </c>
      <c r="C2276" t="s">
        <v>221</v>
      </c>
      <c r="D2276" s="110">
        <v>115295.95</v>
      </c>
      <c r="E2276" s="110">
        <v>115400.95</v>
      </c>
      <c r="F2276" s="110">
        <v>115000.95</v>
      </c>
      <c r="I2276" s="110">
        <v>109675.95</v>
      </c>
      <c r="J2276" s="110">
        <v>111171.45</v>
      </c>
      <c r="K2276" s="110">
        <v>112058.95</v>
      </c>
    </row>
    <row r="2277" spans="1:12" x14ac:dyDescent="0.2">
      <c r="A2277" s="56" t="s">
        <v>55</v>
      </c>
      <c r="B2277" t="s">
        <v>70</v>
      </c>
      <c r="C2277" t="s">
        <v>222</v>
      </c>
      <c r="D2277" s="110">
        <v>117168.75</v>
      </c>
      <c r="E2277" s="110">
        <v>117148.25</v>
      </c>
      <c r="I2277" s="110">
        <v>110315.13</v>
      </c>
      <c r="J2277" s="110">
        <v>112383.09</v>
      </c>
    </row>
    <row r="2278" spans="1:12" x14ac:dyDescent="0.2">
      <c r="A2278" s="56" t="s">
        <v>55</v>
      </c>
      <c r="B2278" t="s">
        <v>70</v>
      </c>
      <c r="C2278" t="s">
        <v>223</v>
      </c>
      <c r="D2278" s="110">
        <v>144969</v>
      </c>
      <c r="I2278" s="110">
        <v>135929.5</v>
      </c>
    </row>
    <row r="2279" spans="1:12" x14ac:dyDescent="0.2">
      <c r="A2279" s="56" t="s">
        <v>55</v>
      </c>
      <c r="B2279" t="s">
        <v>110</v>
      </c>
      <c r="C2279" t="s">
        <v>220</v>
      </c>
      <c r="D2279" s="110">
        <v>688491</v>
      </c>
      <c r="E2279" s="110">
        <v>736668.9</v>
      </c>
      <c r="F2279" s="110">
        <v>738698.4</v>
      </c>
      <c r="G2279" s="110">
        <v>739266.15</v>
      </c>
      <c r="I2279" s="110">
        <v>278213.34999999998</v>
      </c>
      <c r="J2279" s="110">
        <v>525685.80000000005</v>
      </c>
      <c r="K2279" s="110">
        <v>594220.22</v>
      </c>
      <c r="L2279" s="110">
        <v>620953.42000000004</v>
      </c>
    </row>
    <row r="2280" spans="1:12" x14ac:dyDescent="0.2">
      <c r="A2280" s="56" t="s">
        <v>55</v>
      </c>
      <c r="B2280" t="s">
        <v>110</v>
      </c>
      <c r="C2280" t="s">
        <v>221</v>
      </c>
      <c r="D2280" s="110">
        <v>761966.31</v>
      </c>
      <c r="E2280" s="110">
        <v>873827.09</v>
      </c>
      <c r="F2280" s="110">
        <v>869702.29</v>
      </c>
      <c r="I2280" s="110">
        <v>387832.31</v>
      </c>
      <c r="J2280" s="110">
        <v>618350.44999999995</v>
      </c>
      <c r="K2280" s="110">
        <v>690101.75</v>
      </c>
    </row>
    <row r="2281" spans="1:12" x14ac:dyDescent="0.2">
      <c r="A2281" s="56" t="s">
        <v>55</v>
      </c>
      <c r="B2281" t="s">
        <v>110</v>
      </c>
      <c r="C2281" t="s">
        <v>222</v>
      </c>
      <c r="D2281" s="110">
        <v>890764.3</v>
      </c>
      <c r="E2281" s="110">
        <v>943611.05</v>
      </c>
      <c r="I2281" s="110">
        <v>394404.15</v>
      </c>
      <c r="J2281" s="110">
        <v>630973.69999999995</v>
      </c>
    </row>
    <row r="2282" spans="1:12" x14ac:dyDescent="0.2">
      <c r="A2282" s="56" t="s">
        <v>55</v>
      </c>
      <c r="B2282" t="s">
        <v>110</v>
      </c>
      <c r="C2282" t="s">
        <v>223</v>
      </c>
      <c r="D2282" s="110">
        <v>861314.3</v>
      </c>
      <c r="I2282" s="110">
        <v>392474.91</v>
      </c>
    </row>
    <row r="2283" spans="1:12" x14ac:dyDescent="0.2">
      <c r="A2283" s="56" t="s">
        <v>56</v>
      </c>
      <c r="B2283" t="s">
        <v>104</v>
      </c>
      <c r="C2283" t="s">
        <v>220</v>
      </c>
      <c r="D2283" s="110">
        <v>934502</v>
      </c>
      <c r="E2283" s="110">
        <v>935338</v>
      </c>
      <c r="F2283" s="110">
        <v>931138</v>
      </c>
      <c r="G2283" s="110">
        <v>931324.91</v>
      </c>
      <c r="I2283" s="110">
        <v>25740.93</v>
      </c>
      <c r="J2283" s="110">
        <v>45073.42</v>
      </c>
      <c r="K2283" s="110">
        <v>65869.98</v>
      </c>
      <c r="L2283" s="110">
        <v>83404.570000000007</v>
      </c>
    </row>
    <row r="2284" spans="1:12" x14ac:dyDescent="0.2">
      <c r="A2284" s="56" t="s">
        <v>56</v>
      </c>
      <c r="B2284" t="s">
        <v>104</v>
      </c>
      <c r="C2284" t="s">
        <v>221</v>
      </c>
      <c r="D2284" s="110">
        <v>1071755.42</v>
      </c>
      <c r="E2284" s="110">
        <v>1071618.42</v>
      </c>
      <c r="F2284" s="110">
        <v>1069422.42</v>
      </c>
      <c r="I2284" s="110">
        <v>25056.67</v>
      </c>
      <c r="J2284" s="110">
        <v>52817.42</v>
      </c>
      <c r="K2284" s="110">
        <v>80893.33</v>
      </c>
    </row>
    <row r="2285" spans="1:12" x14ac:dyDescent="0.2">
      <c r="A2285" s="56" t="s">
        <v>56</v>
      </c>
      <c r="B2285" t="s">
        <v>104</v>
      </c>
      <c r="C2285" t="s">
        <v>222</v>
      </c>
      <c r="D2285" s="110">
        <v>1339153.17</v>
      </c>
      <c r="E2285" s="110">
        <v>1337893.17</v>
      </c>
      <c r="I2285" s="110">
        <v>28071.18</v>
      </c>
      <c r="J2285" s="110">
        <v>46834.8</v>
      </c>
    </row>
    <row r="2286" spans="1:12" x14ac:dyDescent="0.2">
      <c r="A2286" s="56" t="s">
        <v>56</v>
      </c>
      <c r="B2286" t="s">
        <v>104</v>
      </c>
      <c r="C2286" t="s">
        <v>223</v>
      </c>
      <c r="D2286" s="110">
        <v>1225916.2</v>
      </c>
      <c r="I2286" s="110">
        <v>20083.919999999998</v>
      </c>
    </row>
    <row r="2287" spans="1:12" x14ac:dyDescent="0.2">
      <c r="A2287" s="56" t="s">
        <v>56</v>
      </c>
      <c r="B2287" t="s">
        <v>140</v>
      </c>
      <c r="C2287" t="s">
        <v>220</v>
      </c>
      <c r="D2287" s="110">
        <v>329600</v>
      </c>
      <c r="E2287" s="110">
        <v>329650</v>
      </c>
      <c r="F2287" s="110">
        <v>329350</v>
      </c>
      <c r="G2287" s="110">
        <v>329350</v>
      </c>
      <c r="I2287" s="110">
        <v>20</v>
      </c>
      <c r="J2287" s="110">
        <v>20</v>
      </c>
      <c r="K2287" s="110">
        <v>20</v>
      </c>
      <c r="L2287" s="110">
        <v>20</v>
      </c>
    </row>
    <row r="2288" spans="1:12" x14ac:dyDescent="0.2">
      <c r="A2288" s="56" t="s">
        <v>56</v>
      </c>
      <c r="B2288" t="s">
        <v>140</v>
      </c>
      <c r="C2288" t="s">
        <v>221</v>
      </c>
      <c r="D2288" s="110">
        <v>371038</v>
      </c>
      <c r="E2288" s="110">
        <v>370938</v>
      </c>
      <c r="F2288" s="110">
        <v>370938</v>
      </c>
      <c r="I2288" s="110">
        <v>0</v>
      </c>
      <c r="J2288" s="110">
        <v>0</v>
      </c>
      <c r="K2288" s="110">
        <v>0</v>
      </c>
    </row>
    <row r="2289" spans="1:12" x14ac:dyDescent="0.2">
      <c r="A2289" s="56" t="s">
        <v>56</v>
      </c>
      <c r="B2289" t="s">
        <v>140</v>
      </c>
      <c r="C2289" t="s">
        <v>222</v>
      </c>
      <c r="D2289" s="110">
        <v>688059.25</v>
      </c>
      <c r="E2289" s="110">
        <v>687959.25</v>
      </c>
      <c r="I2289" s="110">
        <v>100</v>
      </c>
      <c r="J2289" s="110">
        <v>100</v>
      </c>
    </row>
    <row r="2290" spans="1:12" x14ac:dyDescent="0.2">
      <c r="A2290" s="56" t="s">
        <v>56</v>
      </c>
      <c r="B2290" t="s">
        <v>140</v>
      </c>
      <c r="C2290" t="s">
        <v>223</v>
      </c>
      <c r="D2290" s="110">
        <v>584272</v>
      </c>
      <c r="I2290" s="110">
        <v>5</v>
      </c>
    </row>
    <row r="2291" spans="1:12" x14ac:dyDescent="0.2">
      <c r="A2291" s="56" t="s">
        <v>56</v>
      </c>
      <c r="B2291" t="s">
        <v>105</v>
      </c>
      <c r="C2291" t="s">
        <v>220</v>
      </c>
      <c r="D2291" s="110">
        <v>402327.75</v>
      </c>
      <c r="E2291" s="110">
        <v>400416.75</v>
      </c>
      <c r="F2291" s="110">
        <v>396952.75</v>
      </c>
      <c r="G2291" s="110">
        <v>392919.75</v>
      </c>
      <c r="I2291" s="110">
        <v>40049.050000000003</v>
      </c>
      <c r="J2291" s="110">
        <v>76214.77</v>
      </c>
      <c r="K2291" s="110">
        <v>94615.42</v>
      </c>
      <c r="L2291" s="110">
        <v>104779.02</v>
      </c>
    </row>
    <row r="2292" spans="1:12" x14ac:dyDescent="0.2">
      <c r="A2292" s="56" t="s">
        <v>56</v>
      </c>
      <c r="B2292" t="s">
        <v>105</v>
      </c>
      <c r="C2292" t="s">
        <v>221</v>
      </c>
      <c r="D2292" s="110">
        <v>358788.22</v>
      </c>
      <c r="E2292" s="110">
        <v>357722.22</v>
      </c>
      <c r="F2292" s="110">
        <v>355983.22</v>
      </c>
      <c r="I2292" s="110">
        <v>45976.71</v>
      </c>
      <c r="J2292" s="110">
        <v>70742.34</v>
      </c>
      <c r="K2292" s="110">
        <v>84386.23</v>
      </c>
    </row>
    <row r="2293" spans="1:12" x14ac:dyDescent="0.2">
      <c r="A2293" s="56" t="s">
        <v>56</v>
      </c>
      <c r="B2293" t="s">
        <v>105</v>
      </c>
      <c r="C2293" t="s">
        <v>222</v>
      </c>
      <c r="D2293" s="110">
        <v>375866.75</v>
      </c>
      <c r="E2293" s="110">
        <v>370793.75</v>
      </c>
      <c r="I2293" s="110">
        <v>49077.14</v>
      </c>
      <c r="J2293" s="110">
        <v>72930.11</v>
      </c>
    </row>
    <row r="2294" spans="1:12" x14ac:dyDescent="0.2">
      <c r="A2294" s="56" t="s">
        <v>56</v>
      </c>
      <c r="B2294" t="s">
        <v>105</v>
      </c>
      <c r="C2294" t="s">
        <v>223</v>
      </c>
      <c r="D2294" s="110">
        <v>321086.75</v>
      </c>
      <c r="I2294" s="110">
        <v>37270.839999999997</v>
      </c>
    </row>
    <row r="2295" spans="1:12" x14ac:dyDescent="0.2">
      <c r="A2295" s="56" t="s">
        <v>56</v>
      </c>
      <c r="B2295" t="s">
        <v>111</v>
      </c>
      <c r="C2295" t="s">
        <v>220</v>
      </c>
      <c r="D2295" s="110">
        <v>9402</v>
      </c>
      <c r="E2295" s="110">
        <v>9052</v>
      </c>
      <c r="F2295" s="110">
        <v>8852</v>
      </c>
      <c r="G2295" s="110">
        <v>8449</v>
      </c>
      <c r="I2295" s="110">
        <v>1522</v>
      </c>
      <c r="J2295" s="110">
        <v>2468</v>
      </c>
      <c r="K2295" s="110">
        <v>3268</v>
      </c>
      <c r="L2295" s="110">
        <v>3334.45</v>
      </c>
    </row>
    <row r="2296" spans="1:12" x14ac:dyDescent="0.2">
      <c r="A2296" s="56" t="s">
        <v>56</v>
      </c>
      <c r="B2296" t="s">
        <v>111</v>
      </c>
      <c r="C2296" t="s">
        <v>221</v>
      </c>
      <c r="D2296" s="110">
        <v>7621.5</v>
      </c>
      <c r="E2296" s="110">
        <v>7448.5</v>
      </c>
      <c r="F2296" s="110">
        <v>7048.5</v>
      </c>
      <c r="I2296" s="110">
        <v>1198.5</v>
      </c>
      <c r="J2296" s="110">
        <v>2173.5</v>
      </c>
      <c r="K2296" s="110">
        <v>2173.5</v>
      </c>
    </row>
    <row r="2297" spans="1:12" x14ac:dyDescent="0.2">
      <c r="A2297" s="56" t="s">
        <v>56</v>
      </c>
      <c r="B2297" t="s">
        <v>111</v>
      </c>
      <c r="C2297" t="s">
        <v>222</v>
      </c>
      <c r="D2297" s="110">
        <v>9344.5</v>
      </c>
      <c r="E2297" s="110">
        <v>9344.5</v>
      </c>
      <c r="I2297" s="110">
        <v>1395.5</v>
      </c>
      <c r="J2297" s="110">
        <v>2204.0500000000002</v>
      </c>
    </row>
    <row r="2298" spans="1:12" x14ac:dyDescent="0.2">
      <c r="A2298" s="56" t="s">
        <v>56</v>
      </c>
      <c r="B2298" t="s">
        <v>111</v>
      </c>
      <c r="C2298" t="s">
        <v>223</v>
      </c>
      <c r="D2298" s="110">
        <v>10807</v>
      </c>
      <c r="I2298" s="110">
        <v>1034</v>
      </c>
    </row>
    <row r="2299" spans="1:12" x14ac:dyDescent="0.2">
      <c r="A2299" s="56" t="s">
        <v>56</v>
      </c>
      <c r="B2299" t="s">
        <v>109</v>
      </c>
      <c r="C2299" t="s">
        <v>220</v>
      </c>
      <c r="D2299" s="110">
        <v>446883.75</v>
      </c>
      <c r="E2299" s="110">
        <v>444897.75</v>
      </c>
      <c r="F2299" s="110">
        <v>445041.75</v>
      </c>
      <c r="G2299" s="110">
        <v>442263.75</v>
      </c>
      <c r="I2299" s="110">
        <v>130384.03</v>
      </c>
      <c r="J2299" s="110">
        <v>188135.41</v>
      </c>
      <c r="K2299" s="110">
        <v>214989.34</v>
      </c>
      <c r="L2299" s="110">
        <v>238092.68</v>
      </c>
    </row>
    <row r="2300" spans="1:12" x14ac:dyDescent="0.2">
      <c r="A2300" s="56" t="s">
        <v>56</v>
      </c>
      <c r="B2300" t="s">
        <v>109</v>
      </c>
      <c r="C2300" t="s">
        <v>221</v>
      </c>
      <c r="D2300" s="110">
        <v>386390.5</v>
      </c>
      <c r="E2300" s="110">
        <v>384303</v>
      </c>
      <c r="F2300" s="110">
        <v>382559.5</v>
      </c>
      <c r="I2300" s="110">
        <v>113307.33</v>
      </c>
      <c r="J2300" s="110">
        <v>168923.14</v>
      </c>
      <c r="K2300" s="110">
        <v>203659.3</v>
      </c>
    </row>
    <row r="2301" spans="1:12" x14ac:dyDescent="0.2">
      <c r="A2301" s="56" t="s">
        <v>56</v>
      </c>
      <c r="B2301" t="s">
        <v>109</v>
      </c>
      <c r="C2301" t="s">
        <v>222</v>
      </c>
      <c r="D2301" s="110">
        <v>351303.75</v>
      </c>
      <c r="E2301" s="110">
        <v>349156.75</v>
      </c>
      <c r="I2301" s="110">
        <v>88864.75</v>
      </c>
      <c r="J2301" s="110">
        <v>140618.23999999999</v>
      </c>
    </row>
    <row r="2302" spans="1:12" x14ac:dyDescent="0.2">
      <c r="A2302" s="56" t="s">
        <v>56</v>
      </c>
      <c r="B2302" t="s">
        <v>109</v>
      </c>
      <c r="C2302" t="s">
        <v>223</v>
      </c>
      <c r="D2302" s="110">
        <v>318944.5</v>
      </c>
      <c r="I2302" s="110">
        <v>75592.42</v>
      </c>
    </row>
    <row r="2303" spans="1:12" x14ac:dyDescent="0.2">
      <c r="A2303" s="56" t="s">
        <v>56</v>
      </c>
      <c r="B2303" t="s">
        <v>106</v>
      </c>
      <c r="C2303" t="s">
        <v>220</v>
      </c>
      <c r="D2303" s="110">
        <v>582117.98</v>
      </c>
      <c r="E2303" s="110">
        <v>572512.37</v>
      </c>
      <c r="F2303" s="110">
        <v>572902.37</v>
      </c>
      <c r="G2303" s="110">
        <v>572902.37</v>
      </c>
      <c r="I2303" s="110">
        <v>549580.22</v>
      </c>
      <c r="J2303" s="110">
        <v>569695.22</v>
      </c>
      <c r="K2303" s="110">
        <v>570117.72</v>
      </c>
      <c r="L2303" s="110">
        <v>570589.91</v>
      </c>
    </row>
    <row r="2304" spans="1:12" x14ac:dyDescent="0.2">
      <c r="A2304" s="56" t="s">
        <v>56</v>
      </c>
      <c r="B2304" t="s">
        <v>106</v>
      </c>
      <c r="C2304" t="s">
        <v>221</v>
      </c>
      <c r="D2304" s="110">
        <v>595923.84</v>
      </c>
      <c r="E2304" s="110">
        <v>596458.84</v>
      </c>
      <c r="F2304" s="110">
        <v>596853.84</v>
      </c>
      <c r="I2304" s="110">
        <v>590744.84</v>
      </c>
      <c r="J2304" s="110">
        <v>592808.34</v>
      </c>
      <c r="K2304" s="110">
        <v>593755.84</v>
      </c>
    </row>
    <row r="2305" spans="1:12" x14ac:dyDescent="0.2">
      <c r="A2305" s="56" t="s">
        <v>56</v>
      </c>
      <c r="B2305" t="s">
        <v>106</v>
      </c>
      <c r="C2305" t="s">
        <v>222</v>
      </c>
      <c r="D2305" s="110">
        <v>655591.52</v>
      </c>
      <c r="E2305" s="110">
        <v>654524.02</v>
      </c>
      <c r="I2305" s="110">
        <v>643830.02</v>
      </c>
      <c r="J2305" s="110">
        <v>649713.52</v>
      </c>
    </row>
    <row r="2306" spans="1:12" x14ac:dyDescent="0.2">
      <c r="A2306" s="56" t="s">
        <v>56</v>
      </c>
      <c r="B2306" t="s">
        <v>106</v>
      </c>
      <c r="C2306" t="s">
        <v>223</v>
      </c>
      <c r="D2306" s="110">
        <v>556413.94999999995</v>
      </c>
      <c r="I2306" s="110">
        <v>537984.44999999995</v>
      </c>
    </row>
    <row r="2307" spans="1:12" x14ac:dyDescent="0.2">
      <c r="A2307" s="56" t="s">
        <v>56</v>
      </c>
      <c r="B2307" t="s">
        <v>107</v>
      </c>
      <c r="C2307" t="s">
        <v>220</v>
      </c>
      <c r="D2307" s="110">
        <v>469290.25</v>
      </c>
      <c r="E2307" s="110">
        <v>459247.59</v>
      </c>
      <c r="F2307" s="110">
        <v>459247.59</v>
      </c>
      <c r="G2307" s="110">
        <v>459247.59</v>
      </c>
      <c r="I2307" s="110">
        <v>458622.56</v>
      </c>
      <c r="J2307" s="110">
        <v>459026.4</v>
      </c>
      <c r="K2307" s="110">
        <v>459026.4</v>
      </c>
      <c r="L2307" s="110">
        <v>459026.4</v>
      </c>
    </row>
    <row r="2308" spans="1:12" x14ac:dyDescent="0.2">
      <c r="A2308" s="56" t="s">
        <v>56</v>
      </c>
      <c r="B2308" t="s">
        <v>107</v>
      </c>
      <c r="C2308" t="s">
        <v>221</v>
      </c>
      <c r="D2308" s="110">
        <v>409413.03</v>
      </c>
      <c r="E2308" s="110">
        <v>409381.03</v>
      </c>
      <c r="F2308" s="110">
        <v>409381.03</v>
      </c>
      <c r="I2308" s="110">
        <v>408868.53</v>
      </c>
      <c r="J2308" s="110">
        <v>409043.53</v>
      </c>
      <c r="K2308" s="110">
        <v>409043.53</v>
      </c>
    </row>
    <row r="2309" spans="1:12" x14ac:dyDescent="0.2">
      <c r="A2309" s="56" t="s">
        <v>56</v>
      </c>
      <c r="B2309" t="s">
        <v>107</v>
      </c>
      <c r="C2309" t="s">
        <v>222</v>
      </c>
      <c r="D2309" s="110">
        <v>462311.94</v>
      </c>
      <c r="E2309" s="110">
        <v>461940.94</v>
      </c>
      <c r="I2309" s="110">
        <v>461070.94</v>
      </c>
      <c r="J2309" s="110">
        <v>461615.94</v>
      </c>
    </row>
    <row r="2310" spans="1:12" x14ac:dyDescent="0.2">
      <c r="A2310" s="56" t="s">
        <v>56</v>
      </c>
      <c r="B2310" t="s">
        <v>107</v>
      </c>
      <c r="C2310" t="s">
        <v>223</v>
      </c>
      <c r="D2310" s="110">
        <v>448650.26</v>
      </c>
      <c r="I2310" s="110">
        <v>439560.19</v>
      </c>
    </row>
    <row r="2311" spans="1:12" x14ac:dyDescent="0.2">
      <c r="A2311" s="56" t="s">
        <v>56</v>
      </c>
      <c r="B2311" t="s">
        <v>108</v>
      </c>
      <c r="C2311" t="s">
        <v>220</v>
      </c>
      <c r="D2311" s="110">
        <v>222174</v>
      </c>
      <c r="E2311" s="110">
        <v>216599</v>
      </c>
      <c r="F2311" s="110">
        <v>216599</v>
      </c>
      <c r="G2311" s="110">
        <v>216364</v>
      </c>
      <c r="I2311" s="110">
        <v>210882</v>
      </c>
      <c r="J2311" s="110">
        <v>215737</v>
      </c>
      <c r="K2311" s="110">
        <v>215968</v>
      </c>
      <c r="L2311" s="110">
        <v>216364</v>
      </c>
    </row>
    <row r="2312" spans="1:12" x14ac:dyDescent="0.2">
      <c r="A2312" s="56" t="s">
        <v>56</v>
      </c>
      <c r="B2312" t="s">
        <v>108</v>
      </c>
      <c r="C2312" t="s">
        <v>221</v>
      </c>
      <c r="D2312" s="110">
        <v>231395.15</v>
      </c>
      <c r="E2312" s="110">
        <v>229964.15</v>
      </c>
      <c r="F2312" s="110">
        <v>229333.15</v>
      </c>
      <c r="I2312" s="110">
        <v>221784.15</v>
      </c>
      <c r="J2312" s="110">
        <v>227205.15</v>
      </c>
      <c r="K2312" s="110">
        <v>228702.15</v>
      </c>
    </row>
    <row r="2313" spans="1:12" x14ac:dyDescent="0.2">
      <c r="A2313" s="56" t="s">
        <v>56</v>
      </c>
      <c r="B2313" t="s">
        <v>108</v>
      </c>
      <c r="C2313" t="s">
        <v>222</v>
      </c>
      <c r="D2313" s="110">
        <v>221999.71</v>
      </c>
      <c r="E2313" s="110">
        <v>219471.71</v>
      </c>
      <c r="I2313" s="110">
        <v>215833.71</v>
      </c>
      <c r="J2313" s="110">
        <v>217578.71</v>
      </c>
    </row>
    <row r="2314" spans="1:12" x14ac:dyDescent="0.2">
      <c r="A2314" s="56" t="s">
        <v>56</v>
      </c>
      <c r="B2314" t="s">
        <v>108</v>
      </c>
      <c r="C2314" t="s">
        <v>223</v>
      </c>
      <c r="D2314" s="110">
        <v>240064.43</v>
      </c>
      <c r="I2314" s="110">
        <v>233283.43</v>
      </c>
    </row>
    <row r="2315" spans="1:12" x14ac:dyDescent="0.2">
      <c r="A2315" s="56" t="s">
        <v>56</v>
      </c>
      <c r="B2315" t="s">
        <v>70</v>
      </c>
      <c r="C2315" t="s">
        <v>220</v>
      </c>
      <c r="D2315" s="110">
        <v>183589.45</v>
      </c>
      <c r="E2315" s="110">
        <v>182799.45</v>
      </c>
      <c r="F2315" s="110">
        <v>182399.45</v>
      </c>
      <c r="G2315" s="110">
        <v>182399.45</v>
      </c>
      <c r="I2315" s="110">
        <v>179350.27</v>
      </c>
      <c r="J2315" s="110">
        <v>180940.95</v>
      </c>
      <c r="K2315" s="110">
        <v>181001.45</v>
      </c>
      <c r="L2315" s="110">
        <v>181001.45</v>
      </c>
    </row>
    <row r="2316" spans="1:12" x14ac:dyDescent="0.2">
      <c r="A2316" s="56" t="s">
        <v>56</v>
      </c>
      <c r="B2316" t="s">
        <v>70</v>
      </c>
      <c r="C2316" t="s">
        <v>221</v>
      </c>
      <c r="D2316" s="110">
        <v>189560.8</v>
      </c>
      <c r="E2316" s="110">
        <v>186896.8</v>
      </c>
      <c r="F2316" s="110">
        <v>186601.8</v>
      </c>
      <c r="I2316" s="110">
        <v>184374.59</v>
      </c>
      <c r="J2316" s="110">
        <v>185753.09</v>
      </c>
      <c r="K2316" s="110">
        <v>185784.59</v>
      </c>
    </row>
    <row r="2317" spans="1:12" x14ac:dyDescent="0.2">
      <c r="A2317" s="56" t="s">
        <v>56</v>
      </c>
      <c r="B2317" t="s">
        <v>70</v>
      </c>
      <c r="C2317" t="s">
        <v>222</v>
      </c>
      <c r="D2317" s="110">
        <v>199400.5</v>
      </c>
      <c r="E2317" s="110">
        <v>195799.5</v>
      </c>
      <c r="I2317" s="110">
        <v>190185</v>
      </c>
      <c r="J2317" s="110">
        <v>191203.75</v>
      </c>
    </row>
    <row r="2318" spans="1:12" x14ac:dyDescent="0.2">
      <c r="A2318" s="56" t="s">
        <v>56</v>
      </c>
      <c r="B2318" t="s">
        <v>70</v>
      </c>
      <c r="C2318" t="s">
        <v>223</v>
      </c>
      <c r="D2318" s="110">
        <v>187644.15</v>
      </c>
      <c r="I2318" s="110">
        <v>180561.65</v>
      </c>
    </row>
    <row r="2319" spans="1:12" x14ac:dyDescent="0.2">
      <c r="A2319" s="56" t="s">
        <v>56</v>
      </c>
      <c r="B2319" t="s">
        <v>110</v>
      </c>
      <c r="C2319" t="s">
        <v>220</v>
      </c>
      <c r="D2319" s="110">
        <v>1762915.68</v>
      </c>
      <c r="E2319" s="110">
        <v>1659560.23</v>
      </c>
      <c r="F2319" s="110">
        <v>1652126.15</v>
      </c>
      <c r="G2319" s="110">
        <v>1649585.79</v>
      </c>
      <c r="I2319" s="110">
        <v>897102.11</v>
      </c>
      <c r="J2319" s="110">
        <v>1341727.73</v>
      </c>
      <c r="K2319" s="110">
        <v>1408386.23</v>
      </c>
      <c r="L2319" s="110">
        <v>1442553.52</v>
      </c>
    </row>
    <row r="2320" spans="1:12" x14ac:dyDescent="0.2">
      <c r="A2320" s="56" t="s">
        <v>56</v>
      </c>
      <c r="B2320" t="s">
        <v>110</v>
      </c>
      <c r="C2320" t="s">
        <v>221</v>
      </c>
      <c r="D2320" s="110">
        <v>1850875.17</v>
      </c>
      <c r="E2320" s="110">
        <v>1763095.56</v>
      </c>
      <c r="F2320" s="110">
        <v>1753993.32</v>
      </c>
      <c r="I2320" s="110">
        <v>985284.89</v>
      </c>
      <c r="J2320" s="110">
        <v>1398182.33</v>
      </c>
      <c r="K2320" s="110">
        <v>1472032.89</v>
      </c>
    </row>
    <row r="2321" spans="1:12" x14ac:dyDescent="0.2">
      <c r="A2321" s="56" t="s">
        <v>56</v>
      </c>
      <c r="B2321" t="s">
        <v>110</v>
      </c>
      <c r="C2321" t="s">
        <v>222</v>
      </c>
      <c r="D2321" s="110">
        <v>2088088.51</v>
      </c>
      <c r="E2321" s="110">
        <v>1986152.55</v>
      </c>
      <c r="I2321" s="110">
        <v>1042509.07</v>
      </c>
      <c r="J2321" s="110">
        <v>1498892.31</v>
      </c>
    </row>
    <row r="2322" spans="1:12" x14ac:dyDescent="0.2">
      <c r="A2322" s="56" t="s">
        <v>56</v>
      </c>
      <c r="B2322" t="s">
        <v>110</v>
      </c>
      <c r="C2322" t="s">
        <v>223</v>
      </c>
      <c r="D2322" s="110">
        <v>1947041.85</v>
      </c>
      <c r="I2322" s="110">
        <v>989174.51</v>
      </c>
    </row>
    <row r="2323" spans="1:12" x14ac:dyDescent="0.2">
      <c r="A2323" s="56" t="s">
        <v>57</v>
      </c>
      <c r="B2323" t="s">
        <v>104</v>
      </c>
      <c r="C2323" t="s">
        <v>220</v>
      </c>
      <c r="D2323" s="110">
        <v>972544.38</v>
      </c>
      <c r="E2323" s="110">
        <v>972544.38</v>
      </c>
      <c r="F2323" s="110">
        <v>972544.38</v>
      </c>
      <c r="G2323" s="110">
        <v>972544.38</v>
      </c>
      <c r="I2323" s="110">
        <v>48059.4</v>
      </c>
      <c r="J2323" s="110">
        <v>96848.77</v>
      </c>
      <c r="K2323" s="110">
        <v>133514.23999999999</v>
      </c>
      <c r="L2323" s="110">
        <v>159080.85999999999</v>
      </c>
    </row>
    <row r="2324" spans="1:12" x14ac:dyDescent="0.2">
      <c r="A2324" s="56" t="s">
        <v>57</v>
      </c>
      <c r="B2324" t="s">
        <v>104</v>
      </c>
      <c r="C2324" t="s">
        <v>221</v>
      </c>
      <c r="D2324" s="110">
        <v>1248960.1299999999</v>
      </c>
      <c r="E2324" s="110">
        <v>1248960.1299999999</v>
      </c>
      <c r="F2324" s="110">
        <v>1248960.1299999999</v>
      </c>
      <c r="I2324" s="110">
        <v>45775.12</v>
      </c>
      <c r="J2324" s="110">
        <v>89035.43</v>
      </c>
      <c r="K2324" s="110">
        <v>120498.16</v>
      </c>
    </row>
    <row r="2325" spans="1:12" x14ac:dyDescent="0.2">
      <c r="A2325" s="56" t="s">
        <v>57</v>
      </c>
      <c r="B2325" t="s">
        <v>104</v>
      </c>
      <c r="C2325" t="s">
        <v>222</v>
      </c>
      <c r="D2325" s="110">
        <v>7989934.8200000003</v>
      </c>
      <c r="E2325" s="110">
        <v>7989934.8200000003</v>
      </c>
      <c r="I2325" s="110">
        <v>63344.5</v>
      </c>
      <c r="J2325" s="110">
        <v>124167.53</v>
      </c>
    </row>
    <row r="2326" spans="1:12" x14ac:dyDescent="0.2">
      <c r="A2326" s="56" t="s">
        <v>57</v>
      </c>
      <c r="B2326" t="s">
        <v>104</v>
      </c>
      <c r="C2326" t="s">
        <v>223</v>
      </c>
      <c r="D2326" s="110">
        <v>1848545.26</v>
      </c>
      <c r="I2326" s="110">
        <v>45978.3</v>
      </c>
    </row>
    <row r="2327" spans="1:12" x14ac:dyDescent="0.2">
      <c r="A2327" s="56" t="s">
        <v>57</v>
      </c>
      <c r="B2327" t="s">
        <v>140</v>
      </c>
      <c r="C2327" t="s">
        <v>220</v>
      </c>
      <c r="D2327" s="110">
        <v>327025.84999999998</v>
      </c>
      <c r="E2327" s="110">
        <v>327025.84999999998</v>
      </c>
      <c r="F2327" s="110">
        <v>327025.84999999998</v>
      </c>
      <c r="G2327" s="110">
        <v>327025.84999999998</v>
      </c>
      <c r="I2327" s="110">
        <v>660</v>
      </c>
      <c r="J2327" s="110">
        <v>1390.82</v>
      </c>
      <c r="K2327" s="110">
        <v>1652.57</v>
      </c>
      <c r="L2327" s="110">
        <v>2587.14</v>
      </c>
    </row>
    <row r="2328" spans="1:12" x14ac:dyDescent="0.2">
      <c r="A2328" s="56" t="s">
        <v>57</v>
      </c>
      <c r="B2328" t="s">
        <v>140</v>
      </c>
      <c r="C2328" t="s">
        <v>221</v>
      </c>
      <c r="D2328" s="110">
        <v>620189.32999999996</v>
      </c>
      <c r="E2328" s="110">
        <v>620189.32999999996</v>
      </c>
      <c r="F2328" s="110">
        <v>620189.32999999996</v>
      </c>
      <c r="I2328" s="110">
        <v>1956.65</v>
      </c>
      <c r="J2328" s="110">
        <v>2213.92</v>
      </c>
      <c r="K2328" s="110">
        <v>2990.32</v>
      </c>
    </row>
    <row r="2329" spans="1:12" x14ac:dyDescent="0.2">
      <c r="A2329" s="56" t="s">
        <v>57</v>
      </c>
      <c r="B2329" t="s">
        <v>140</v>
      </c>
      <c r="C2329" t="s">
        <v>222</v>
      </c>
      <c r="D2329" s="110">
        <v>7053316.5300000003</v>
      </c>
      <c r="E2329" s="110">
        <v>7053316.5300000003</v>
      </c>
      <c r="I2329" s="110">
        <v>825.9</v>
      </c>
      <c r="J2329" s="110">
        <v>1630.9</v>
      </c>
    </row>
    <row r="2330" spans="1:12" x14ac:dyDescent="0.2">
      <c r="A2330" s="56" t="s">
        <v>57</v>
      </c>
      <c r="B2330" t="s">
        <v>140</v>
      </c>
      <c r="C2330" t="s">
        <v>223</v>
      </c>
      <c r="D2330" s="110">
        <v>1114220.72</v>
      </c>
      <c r="I2330" s="110">
        <v>1188.08</v>
      </c>
    </row>
    <row r="2331" spans="1:12" x14ac:dyDescent="0.2">
      <c r="A2331" s="56" t="s">
        <v>57</v>
      </c>
      <c r="B2331" t="s">
        <v>105</v>
      </c>
      <c r="C2331" t="s">
        <v>220</v>
      </c>
      <c r="D2331" s="110">
        <v>409474.13</v>
      </c>
      <c r="E2331" s="110">
        <v>409474.13</v>
      </c>
      <c r="F2331" s="110">
        <v>409474.13</v>
      </c>
      <c r="G2331" s="110">
        <v>409474.13</v>
      </c>
      <c r="I2331" s="110">
        <v>80862.05</v>
      </c>
      <c r="J2331" s="110">
        <v>146811.26999999999</v>
      </c>
      <c r="K2331" s="110">
        <v>181777.87</v>
      </c>
      <c r="L2331" s="110">
        <v>204249.38</v>
      </c>
    </row>
    <row r="2332" spans="1:12" x14ac:dyDescent="0.2">
      <c r="A2332" s="56" t="s">
        <v>57</v>
      </c>
      <c r="B2332" t="s">
        <v>105</v>
      </c>
      <c r="C2332" t="s">
        <v>221</v>
      </c>
      <c r="D2332" s="110">
        <v>446068.85</v>
      </c>
      <c r="E2332" s="110">
        <v>446068.85</v>
      </c>
      <c r="F2332" s="110">
        <v>446068.85</v>
      </c>
      <c r="I2332" s="110">
        <v>105838.36</v>
      </c>
      <c r="J2332" s="110">
        <v>173201.98</v>
      </c>
      <c r="K2332" s="110">
        <v>212195.12</v>
      </c>
    </row>
    <row r="2333" spans="1:12" x14ac:dyDescent="0.2">
      <c r="A2333" s="56" t="s">
        <v>57</v>
      </c>
      <c r="B2333" t="s">
        <v>105</v>
      </c>
      <c r="C2333" t="s">
        <v>222</v>
      </c>
      <c r="D2333" s="110">
        <v>463811.11</v>
      </c>
      <c r="E2333" s="110">
        <v>463811.11</v>
      </c>
      <c r="I2333" s="110">
        <v>100750.41</v>
      </c>
      <c r="J2333" s="110">
        <v>158643.1</v>
      </c>
    </row>
    <row r="2334" spans="1:12" x14ac:dyDescent="0.2">
      <c r="A2334" s="56" t="s">
        <v>57</v>
      </c>
      <c r="B2334" t="s">
        <v>105</v>
      </c>
      <c r="C2334" t="s">
        <v>223</v>
      </c>
      <c r="D2334" s="110">
        <v>365427.32</v>
      </c>
      <c r="I2334" s="110">
        <v>62672.37</v>
      </c>
    </row>
    <row r="2335" spans="1:12" x14ac:dyDescent="0.2">
      <c r="A2335" s="56" t="s">
        <v>57</v>
      </c>
      <c r="B2335" t="s">
        <v>111</v>
      </c>
      <c r="C2335" t="s">
        <v>220</v>
      </c>
      <c r="D2335" s="110">
        <v>53712.54</v>
      </c>
      <c r="E2335" s="110">
        <v>53712.54</v>
      </c>
      <c r="F2335" s="110">
        <v>53712.54</v>
      </c>
      <c r="G2335" s="110">
        <v>53712.54</v>
      </c>
      <c r="I2335" s="110">
        <v>1642.91</v>
      </c>
      <c r="J2335" s="110">
        <v>21868.13</v>
      </c>
      <c r="K2335" s="110">
        <v>22874.87</v>
      </c>
      <c r="L2335" s="110">
        <v>23558.3</v>
      </c>
    </row>
    <row r="2336" spans="1:12" x14ac:dyDescent="0.2">
      <c r="A2336" s="56" t="s">
        <v>57</v>
      </c>
      <c r="B2336" t="s">
        <v>111</v>
      </c>
      <c r="C2336" t="s">
        <v>221</v>
      </c>
      <c r="D2336" s="110">
        <v>29552.42</v>
      </c>
      <c r="E2336" s="110">
        <v>29552.42</v>
      </c>
      <c r="F2336" s="110">
        <v>29552.42</v>
      </c>
      <c r="I2336" s="110">
        <v>2873.32</v>
      </c>
      <c r="J2336" s="110">
        <v>5083.22</v>
      </c>
      <c r="K2336" s="110">
        <v>6039.3</v>
      </c>
    </row>
    <row r="2337" spans="1:12" x14ac:dyDescent="0.2">
      <c r="A2337" s="56" t="s">
        <v>57</v>
      </c>
      <c r="B2337" t="s">
        <v>111</v>
      </c>
      <c r="C2337" t="s">
        <v>222</v>
      </c>
      <c r="D2337" s="110">
        <v>55122.16</v>
      </c>
      <c r="E2337" s="110">
        <v>55122.16</v>
      </c>
      <c r="I2337" s="110">
        <v>3920</v>
      </c>
      <c r="J2337" s="110">
        <v>8377.83</v>
      </c>
    </row>
    <row r="2338" spans="1:12" x14ac:dyDescent="0.2">
      <c r="A2338" s="56" t="s">
        <v>57</v>
      </c>
      <c r="B2338" t="s">
        <v>111</v>
      </c>
      <c r="C2338" t="s">
        <v>223</v>
      </c>
      <c r="D2338" s="110">
        <v>20281.259999999998</v>
      </c>
      <c r="I2338" s="110">
        <v>1286.19</v>
      </c>
    </row>
    <row r="2339" spans="1:12" x14ac:dyDescent="0.2">
      <c r="A2339" t="s">
        <v>57</v>
      </c>
      <c r="B2339" t="s">
        <v>109</v>
      </c>
      <c r="C2339" t="s">
        <v>220</v>
      </c>
      <c r="D2339" s="110">
        <v>520707.5</v>
      </c>
      <c r="E2339" s="110">
        <v>520707.5</v>
      </c>
      <c r="F2339" s="110">
        <v>520707.5</v>
      </c>
      <c r="G2339" s="110">
        <v>520707.5</v>
      </c>
      <c r="I2339" s="110">
        <v>165916.54</v>
      </c>
      <c r="J2339" s="110">
        <v>255874.82</v>
      </c>
      <c r="K2339" s="110">
        <v>306579.39</v>
      </c>
      <c r="L2339" s="110">
        <v>329514.31</v>
      </c>
    </row>
    <row r="2340" spans="1:12" x14ac:dyDescent="0.2">
      <c r="A2340" t="s">
        <v>57</v>
      </c>
      <c r="B2340" t="s">
        <v>109</v>
      </c>
      <c r="C2340" t="s">
        <v>221</v>
      </c>
      <c r="D2340" s="110">
        <v>520602.82</v>
      </c>
      <c r="E2340" s="110">
        <v>520602.82</v>
      </c>
      <c r="F2340" s="110">
        <v>520602.82</v>
      </c>
      <c r="I2340" s="110">
        <v>177969.09</v>
      </c>
      <c r="J2340" s="110">
        <v>267714.65000000002</v>
      </c>
      <c r="K2340" s="110">
        <v>311364.19</v>
      </c>
    </row>
    <row r="2341" spans="1:12" x14ac:dyDescent="0.2">
      <c r="A2341" t="s">
        <v>57</v>
      </c>
      <c r="B2341" t="s">
        <v>109</v>
      </c>
      <c r="C2341" t="s">
        <v>222</v>
      </c>
      <c r="D2341" s="110">
        <v>529760.77</v>
      </c>
      <c r="E2341" s="110">
        <v>529760.77</v>
      </c>
      <c r="I2341" s="110">
        <v>168685.32</v>
      </c>
      <c r="J2341" s="110">
        <v>269711.90000000002</v>
      </c>
    </row>
    <row r="2342" spans="1:12" x14ac:dyDescent="0.2">
      <c r="A2342" t="s">
        <v>57</v>
      </c>
      <c r="B2342" t="s">
        <v>109</v>
      </c>
      <c r="C2342" t="s">
        <v>223</v>
      </c>
      <c r="D2342" s="110">
        <v>507251.6</v>
      </c>
      <c r="I2342" s="110">
        <v>184172.25</v>
      </c>
    </row>
    <row r="2343" spans="1:12" x14ac:dyDescent="0.2">
      <c r="A2343" t="s">
        <v>57</v>
      </c>
      <c r="B2343" t="s">
        <v>106</v>
      </c>
      <c r="C2343" t="s">
        <v>220</v>
      </c>
      <c r="D2343" s="110">
        <v>451745</v>
      </c>
      <c r="E2343" s="110">
        <v>451745</v>
      </c>
      <c r="F2343" s="110">
        <v>451745</v>
      </c>
      <c r="G2343" s="110">
        <v>451745</v>
      </c>
      <c r="I2343" s="110">
        <v>451337.5</v>
      </c>
      <c r="J2343" s="110">
        <v>451337.5</v>
      </c>
      <c r="K2343" s="110">
        <v>451337.5</v>
      </c>
      <c r="L2343" s="110">
        <v>451337.5</v>
      </c>
    </row>
    <row r="2344" spans="1:12" x14ac:dyDescent="0.2">
      <c r="A2344" t="s">
        <v>57</v>
      </c>
      <c r="B2344" t="s">
        <v>106</v>
      </c>
      <c r="C2344" t="s">
        <v>221</v>
      </c>
      <c r="D2344" s="110">
        <v>537037.5</v>
      </c>
      <c r="E2344" s="110">
        <v>537037.5</v>
      </c>
      <c r="F2344" s="110">
        <v>537037.5</v>
      </c>
      <c r="I2344" s="110">
        <v>537037.5</v>
      </c>
      <c r="J2344" s="110">
        <v>537037.5</v>
      </c>
      <c r="K2344" s="110">
        <v>537037.5</v>
      </c>
    </row>
    <row r="2345" spans="1:12" x14ac:dyDescent="0.2">
      <c r="A2345" t="s">
        <v>57</v>
      </c>
      <c r="B2345" t="s">
        <v>106</v>
      </c>
      <c r="C2345" t="s">
        <v>222</v>
      </c>
      <c r="D2345" s="110">
        <v>541472.5</v>
      </c>
      <c r="E2345" s="110">
        <v>541472.5</v>
      </c>
      <c r="I2345" s="110">
        <v>541272.5</v>
      </c>
      <c r="J2345" s="110">
        <v>541272.5</v>
      </c>
    </row>
    <row r="2346" spans="1:12" x14ac:dyDescent="0.2">
      <c r="A2346" t="s">
        <v>57</v>
      </c>
      <c r="B2346" t="s">
        <v>106</v>
      </c>
      <c r="C2346" t="s">
        <v>223</v>
      </c>
      <c r="D2346" s="110">
        <v>481694</v>
      </c>
      <c r="I2346" s="110">
        <v>481694</v>
      </c>
    </row>
    <row r="2347" spans="1:12" x14ac:dyDescent="0.2">
      <c r="A2347" t="s">
        <v>57</v>
      </c>
      <c r="B2347" t="s">
        <v>107</v>
      </c>
      <c r="C2347" t="s">
        <v>220</v>
      </c>
      <c r="D2347" s="110">
        <v>499655</v>
      </c>
      <c r="E2347" s="110">
        <v>499655</v>
      </c>
      <c r="F2347" s="110">
        <v>499655</v>
      </c>
      <c r="G2347" s="110">
        <v>499655</v>
      </c>
      <c r="I2347" s="110">
        <v>499570</v>
      </c>
      <c r="J2347" s="110">
        <v>499570</v>
      </c>
      <c r="K2347" s="110">
        <v>499570</v>
      </c>
      <c r="L2347" s="110">
        <v>499570</v>
      </c>
    </row>
    <row r="2348" spans="1:12" x14ac:dyDescent="0.2">
      <c r="A2348" t="s">
        <v>57</v>
      </c>
      <c r="B2348" t="s">
        <v>107</v>
      </c>
      <c r="C2348" t="s">
        <v>221</v>
      </c>
      <c r="D2348" s="110">
        <v>503648.5</v>
      </c>
      <c r="E2348" s="110">
        <v>503648.5</v>
      </c>
      <c r="F2348" s="110">
        <v>503648.5</v>
      </c>
      <c r="I2348" s="110">
        <v>503648.5</v>
      </c>
      <c r="J2348" s="110">
        <v>503648.5</v>
      </c>
      <c r="K2348" s="110">
        <v>503648.5</v>
      </c>
    </row>
    <row r="2349" spans="1:12" x14ac:dyDescent="0.2">
      <c r="A2349" t="s">
        <v>57</v>
      </c>
      <c r="B2349" t="s">
        <v>107</v>
      </c>
      <c r="C2349" t="s">
        <v>222</v>
      </c>
      <c r="D2349" s="110">
        <v>509615</v>
      </c>
      <c r="E2349" s="110">
        <v>509615</v>
      </c>
      <c r="I2349" s="110">
        <v>509315</v>
      </c>
      <c r="J2349" s="110">
        <v>509315</v>
      </c>
    </row>
    <row r="2350" spans="1:12" x14ac:dyDescent="0.2">
      <c r="A2350" t="s">
        <v>57</v>
      </c>
      <c r="B2350" t="s">
        <v>107</v>
      </c>
      <c r="C2350" t="s">
        <v>223</v>
      </c>
      <c r="D2350" s="110">
        <v>546807.5</v>
      </c>
      <c r="I2350" s="110">
        <v>546252.5</v>
      </c>
    </row>
    <row r="2351" spans="1:12" x14ac:dyDescent="0.2">
      <c r="A2351" t="s">
        <v>57</v>
      </c>
      <c r="B2351" t="s">
        <v>108</v>
      </c>
      <c r="C2351" t="s">
        <v>220</v>
      </c>
      <c r="D2351" s="110">
        <v>100704</v>
      </c>
      <c r="E2351" s="110">
        <v>100704</v>
      </c>
      <c r="F2351" s="110">
        <v>100704</v>
      </c>
      <c r="G2351" s="110">
        <v>100704</v>
      </c>
      <c r="I2351" s="110">
        <v>100704</v>
      </c>
      <c r="J2351" s="110">
        <v>100704</v>
      </c>
      <c r="K2351" s="110">
        <v>100704</v>
      </c>
      <c r="L2351" s="110">
        <v>100704</v>
      </c>
    </row>
    <row r="2352" spans="1:12" x14ac:dyDescent="0.2">
      <c r="A2352" t="s">
        <v>57</v>
      </c>
      <c r="B2352" t="s">
        <v>108</v>
      </c>
      <c r="C2352" t="s">
        <v>221</v>
      </c>
      <c r="D2352" s="110">
        <v>113701</v>
      </c>
      <c r="E2352" s="110">
        <v>113701</v>
      </c>
      <c r="F2352" s="110">
        <v>113701</v>
      </c>
      <c r="I2352" s="110">
        <v>113701</v>
      </c>
      <c r="J2352" s="110">
        <v>113701</v>
      </c>
      <c r="K2352" s="110">
        <v>113701</v>
      </c>
    </row>
    <row r="2353" spans="1:12" x14ac:dyDescent="0.2">
      <c r="A2353" t="s">
        <v>57</v>
      </c>
      <c r="B2353" t="s">
        <v>108</v>
      </c>
      <c r="C2353" t="s">
        <v>222</v>
      </c>
      <c r="D2353" s="110">
        <v>115799</v>
      </c>
      <c r="E2353" s="110">
        <v>115799</v>
      </c>
      <c r="I2353" s="110">
        <v>115799</v>
      </c>
      <c r="J2353" s="110">
        <v>115799</v>
      </c>
    </row>
    <row r="2354" spans="1:12" x14ac:dyDescent="0.2">
      <c r="A2354" t="s">
        <v>57</v>
      </c>
      <c r="B2354" t="s">
        <v>108</v>
      </c>
      <c r="C2354" t="s">
        <v>223</v>
      </c>
      <c r="D2354" s="110">
        <v>108260</v>
      </c>
      <c r="I2354" s="110">
        <v>108219</v>
      </c>
    </row>
    <row r="2355" spans="1:12" x14ac:dyDescent="0.2">
      <c r="A2355" t="s">
        <v>57</v>
      </c>
      <c r="B2355" t="s">
        <v>70</v>
      </c>
      <c r="C2355" t="s">
        <v>220</v>
      </c>
      <c r="D2355" s="110">
        <v>187802</v>
      </c>
      <c r="E2355" s="110">
        <v>187802</v>
      </c>
      <c r="F2355" s="110">
        <v>187802</v>
      </c>
      <c r="G2355" s="110">
        <v>187802</v>
      </c>
      <c r="I2355" s="110">
        <v>187802</v>
      </c>
      <c r="J2355" s="110">
        <v>187802</v>
      </c>
      <c r="K2355" s="110">
        <v>187802</v>
      </c>
      <c r="L2355" s="110">
        <v>187802</v>
      </c>
    </row>
    <row r="2356" spans="1:12" x14ac:dyDescent="0.2">
      <c r="A2356" t="s">
        <v>57</v>
      </c>
      <c r="B2356" t="s">
        <v>70</v>
      </c>
      <c r="C2356" t="s">
        <v>221</v>
      </c>
      <c r="D2356" s="110">
        <v>222944.5</v>
      </c>
      <c r="E2356" s="110">
        <v>222944.5</v>
      </c>
      <c r="F2356" s="110">
        <v>222944.5</v>
      </c>
      <c r="I2356" s="110">
        <v>222354.5</v>
      </c>
      <c r="J2356" s="110">
        <v>222354.5</v>
      </c>
      <c r="K2356" s="110">
        <v>222354.5</v>
      </c>
    </row>
    <row r="2357" spans="1:12" x14ac:dyDescent="0.2">
      <c r="A2357" t="s">
        <v>57</v>
      </c>
      <c r="B2357" t="s">
        <v>70</v>
      </c>
      <c r="C2357" t="s">
        <v>222</v>
      </c>
      <c r="D2357" s="110">
        <v>224475.5</v>
      </c>
      <c r="E2357" s="110">
        <v>224475.5</v>
      </c>
      <c r="I2357" s="110">
        <v>223590.5</v>
      </c>
      <c r="J2357" s="110">
        <v>223590.5</v>
      </c>
    </row>
    <row r="2358" spans="1:12" x14ac:dyDescent="0.2">
      <c r="A2358" t="s">
        <v>57</v>
      </c>
      <c r="B2358" t="s">
        <v>70</v>
      </c>
      <c r="C2358" t="s">
        <v>223</v>
      </c>
      <c r="D2358" s="110">
        <v>209251.5</v>
      </c>
      <c r="I2358" s="110">
        <v>208071.5</v>
      </c>
    </row>
    <row r="2359" spans="1:12" x14ac:dyDescent="0.2">
      <c r="A2359" t="s">
        <v>57</v>
      </c>
      <c r="B2359" t="s">
        <v>110</v>
      </c>
      <c r="C2359" t="s">
        <v>220</v>
      </c>
      <c r="D2359" s="110">
        <v>1846775.27</v>
      </c>
      <c r="E2359" s="110">
        <v>1846775.27</v>
      </c>
      <c r="F2359" s="110">
        <v>1846775.27</v>
      </c>
      <c r="G2359" s="110">
        <v>1846775.27</v>
      </c>
      <c r="I2359" s="110">
        <v>1016965.88</v>
      </c>
      <c r="J2359" s="110">
        <v>1608565.96</v>
      </c>
      <c r="K2359" s="110">
        <v>1711526.65</v>
      </c>
      <c r="L2359" s="110">
        <v>1735448.69</v>
      </c>
    </row>
    <row r="2360" spans="1:12" x14ac:dyDescent="0.2">
      <c r="A2360" t="s">
        <v>57</v>
      </c>
      <c r="B2360" t="s">
        <v>110</v>
      </c>
      <c r="C2360" t="s">
        <v>221</v>
      </c>
      <c r="D2360" s="110">
        <v>2210095.87</v>
      </c>
      <c r="E2360" s="110">
        <v>2210095.87</v>
      </c>
      <c r="F2360" s="110">
        <v>2210095.87</v>
      </c>
      <c r="I2360" s="110">
        <v>1158612.6299999999</v>
      </c>
      <c r="J2360" s="110">
        <v>1889557.17</v>
      </c>
      <c r="K2360" s="110">
        <v>2018155.32</v>
      </c>
    </row>
    <row r="2361" spans="1:12" x14ac:dyDescent="0.2">
      <c r="A2361" t="s">
        <v>57</v>
      </c>
      <c r="B2361" t="s">
        <v>110</v>
      </c>
      <c r="C2361" t="s">
        <v>222</v>
      </c>
      <c r="D2361" s="110">
        <v>2376327.35</v>
      </c>
      <c r="E2361" s="110">
        <v>2376327.35</v>
      </c>
      <c r="I2361" s="110">
        <v>1260888.83</v>
      </c>
      <c r="J2361" s="110">
        <v>1948948.3</v>
      </c>
    </row>
    <row r="2362" spans="1:12" x14ac:dyDescent="0.2">
      <c r="A2362" t="s">
        <v>57</v>
      </c>
      <c r="B2362" t="s">
        <v>110</v>
      </c>
      <c r="C2362" t="s">
        <v>223</v>
      </c>
      <c r="D2362" s="110">
        <v>2653612.48</v>
      </c>
      <c r="I2362" s="110">
        <v>1155826.93</v>
      </c>
    </row>
    <row r="2363" spans="1:12" x14ac:dyDescent="0.2">
      <c r="A2363" t="s">
        <v>60</v>
      </c>
      <c r="B2363" t="s">
        <v>104</v>
      </c>
      <c r="C2363" t="s">
        <v>220</v>
      </c>
      <c r="D2363" s="110">
        <v>419574.75</v>
      </c>
      <c r="E2363" s="110">
        <v>417131.75</v>
      </c>
      <c r="F2363" s="110">
        <v>417056.75</v>
      </c>
      <c r="G2363" s="110">
        <v>415547.75</v>
      </c>
      <c r="I2363" s="110">
        <v>13166.4</v>
      </c>
      <c r="J2363" s="110">
        <v>25130.63</v>
      </c>
      <c r="K2363" s="110">
        <v>32289</v>
      </c>
      <c r="L2363" s="110">
        <v>37304.1</v>
      </c>
    </row>
    <row r="2364" spans="1:12" x14ac:dyDescent="0.2">
      <c r="A2364" t="s">
        <v>60</v>
      </c>
      <c r="B2364" t="s">
        <v>104</v>
      </c>
      <c r="C2364" t="s">
        <v>221</v>
      </c>
      <c r="D2364" s="110">
        <v>603640.04</v>
      </c>
      <c r="E2364" s="110">
        <v>602715.04</v>
      </c>
      <c r="F2364" s="110">
        <v>601315.04</v>
      </c>
      <c r="I2364" s="110">
        <v>32825.11</v>
      </c>
      <c r="J2364" s="110">
        <v>43219.34</v>
      </c>
      <c r="K2364" s="110">
        <v>52338.05</v>
      </c>
    </row>
    <row r="2365" spans="1:12" x14ac:dyDescent="0.2">
      <c r="A2365" t="s">
        <v>60</v>
      </c>
      <c r="B2365" t="s">
        <v>104</v>
      </c>
      <c r="C2365" t="s">
        <v>222</v>
      </c>
      <c r="D2365" s="110">
        <v>687148.27</v>
      </c>
      <c r="E2365" s="110">
        <v>682155.66</v>
      </c>
      <c r="I2365" s="110">
        <v>20637.45</v>
      </c>
      <c r="J2365" s="110">
        <v>31397.89</v>
      </c>
    </row>
    <row r="2366" spans="1:12" x14ac:dyDescent="0.2">
      <c r="A2366" t="s">
        <v>60</v>
      </c>
      <c r="B2366" t="s">
        <v>104</v>
      </c>
      <c r="C2366" t="s">
        <v>223</v>
      </c>
      <c r="D2366" s="110">
        <v>499675.97</v>
      </c>
      <c r="I2366" s="110">
        <v>29344.34</v>
      </c>
    </row>
    <row r="2367" spans="1:12" x14ac:dyDescent="0.2">
      <c r="A2367" t="s">
        <v>60</v>
      </c>
      <c r="B2367" t="s">
        <v>140</v>
      </c>
      <c r="C2367" t="s">
        <v>220</v>
      </c>
      <c r="D2367" s="110">
        <v>105618</v>
      </c>
      <c r="E2367" s="110">
        <v>105618</v>
      </c>
      <c r="F2367" s="110">
        <v>105618</v>
      </c>
      <c r="G2367" s="110">
        <v>105618</v>
      </c>
      <c r="I2367" s="110">
        <v>0</v>
      </c>
      <c r="J2367" s="110">
        <v>0</v>
      </c>
      <c r="K2367" s="110">
        <v>0</v>
      </c>
      <c r="L2367" s="110">
        <v>0</v>
      </c>
    </row>
    <row r="2368" spans="1:12" x14ac:dyDescent="0.2">
      <c r="A2368" t="s">
        <v>60</v>
      </c>
      <c r="B2368" t="s">
        <v>140</v>
      </c>
      <c r="C2368" t="s">
        <v>221</v>
      </c>
      <c r="D2368" s="110">
        <v>109167</v>
      </c>
      <c r="E2368" s="110">
        <v>109167</v>
      </c>
      <c r="F2368" s="110">
        <v>109167</v>
      </c>
      <c r="I2368" s="110">
        <v>1</v>
      </c>
      <c r="J2368" s="110">
        <v>1</v>
      </c>
      <c r="K2368" s="110">
        <v>1</v>
      </c>
    </row>
    <row r="2369" spans="1:12" x14ac:dyDescent="0.2">
      <c r="A2369" t="s">
        <v>60</v>
      </c>
      <c r="B2369" t="s">
        <v>140</v>
      </c>
      <c r="C2369" t="s">
        <v>222</v>
      </c>
      <c r="D2369" s="110">
        <v>269917</v>
      </c>
      <c r="E2369" s="110">
        <v>269917</v>
      </c>
      <c r="I2369" s="110">
        <v>91</v>
      </c>
      <c r="J2369" s="110">
        <v>91</v>
      </c>
    </row>
    <row r="2370" spans="1:12" x14ac:dyDescent="0.2">
      <c r="A2370" t="s">
        <v>60</v>
      </c>
      <c r="B2370" t="s">
        <v>140</v>
      </c>
      <c r="C2370" t="s">
        <v>223</v>
      </c>
      <c r="D2370" s="110">
        <v>114906.88</v>
      </c>
      <c r="I2370" s="110">
        <v>0</v>
      </c>
    </row>
    <row r="2371" spans="1:12" x14ac:dyDescent="0.2">
      <c r="A2371" t="s">
        <v>60</v>
      </c>
      <c r="B2371" t="s">
        <v>105</v>
      </c>
      <c r="C2371" t="s">
        <v>220</v>
      </c>
      <c r="D2371" s="110">
        <v>182130.25</v>
      </c>
      <c r="E2371" s="110">
        <v>180197.31</v>
      </c>
      <c r="F2371" s="110">
        <v>179497.31</v>
      </c>
      <c r="G2371" s="110">
        <v>178766.77</v>
      </c>
      <c r="I2371" s="110">
        <v>34190.639999999999</v>
      </c>
      <c r="J2371" s="110">
        <v>66119.929999999993</v>
      </c>
      <c r="K2371" s="110">
        <v>78025.960000000006</v>
      </c>
      <c r="L2371" s="110">
        <v>83329.539999999994</v>
      </c>
    </row>
    <row r="2372" spans="1:12" x14ac:dyDescent="0.2">
      <c r="A2372" t="s">
        <v>60</v>
      </c>
      <c r="B2372" t="s">
        <v>105</v>
      </c>
      <c r="C2372" t="s">
        <v>221</v>
      </c>
      <c r="D2372" s="110">
        <v>204159.01</v>
      </c>
      <c r="E2372" s="110">
        <v>203063.36</v>
      </c>
      <c r="F2372" s="110">
        <v>202688.36</v>
      </c>
      <c r="I2372" s="110">
        <v>46385.65</v>
      </c>
      <c r="J2372" s="110">
        <v>72152.52</v>
      </c>
      <c r="K2372" s="110">
        <v>83867</v>
      </c>
    </row>
    <row r="2373" spans="1:12" x14ac:dyDescent="0.2">
      <c r="A2373" t="s">
        <v>60</v>
      </c>
      <c r="B2373" t="s">
        <v>105</v>
      </c>
      <c r="C2373" t="s">
        <v>222</v>
      </c>
      <c r="D2373" s="110">
        <v>218146.28</v>
      </c>
      <c r="E2373" s="110">
        <v>217746.28</v>
      </c>
      <c r="I2373" s="110">
        <v>43454.68</v>
      </c>
      <c r="J2373" s="110">
        <v>67539.62</v>
      </c>
    </row>
    <row r="2374" spans="1:12" x14ac:dyDescent="0.2">
      <c r="A2374" t="s">
        <v>60</v>
      </c>
      <c r="B2374" t="s">
        <v>105</v>
      </c>
      <c r="C2374" t="s">
        <v>223</v>
      </c>
      <c r="D2374" s="110">
        <v>183751.13</v>
      </c>
      <c r="I2374" s="110">
        <v>36006.050000000003</v>
      </c>
    </row>
    <row r="2375" spans="1:12" x14ac:dyDescent="0.2">
      <c r="A2375" t="s">
        <v>60</v>
      </c>
      <c r="B2375" t="s">
        <v>111</v>
      </c>
      <c r="C2375" t="s">
        <v>220</v>
      </c>
      <c r="D2375" s="110">
        <v>1585.5</v>
      </c>
      <c r="E2375" s="110">
        <v>1585.5</v>
      </c>
      <c r="F2375" s="110">
        <v>1585.5</v>
      </c>
      <c r="G2375" s="110">
        <v>1585.5</v>
      </c>
      <c r="I2375" s="110">
        <v>482.5</v>
      </c>
      <c r="J2375" s="110">
        <v>532.5</v>
      </c>
      <c r="K2375" s="110">
        <v>667.5</v>
      </c>
      <c r="L2375" s="110">
        <v>667.5</v>
      </c>
    </row>
    <row r="2376" spans="1:12" x14ac:dyDescent="0.2">
      <c r="A2376" t="s">
        <v>60</v>
      </c>
      <c r="B2376" t="s">
        <v>111</v>
      </c>
      <c r="C2376" t="s">
        <v>221</v>
      </c>
      <c r="D2376" s="110">
        <v>2531.5</v>
      </c>
      <c r="E2376" s="110">
        <v>2531.5</v>
      </c>
      <c r="F2376" s="110">
        <v>2531.5</v>
      </c>
      <c r="I2376" s="110">
        <v>85.5</v>
      </c>
      <c r="J2376" s="110">
        <v>1181.5</v>
      </c>
      <c r="K2376" s="110">
        <v>1281.5</v>
      </c>
    </row>
    <row r="2377" spans="1:12" x14ac:dyDescent="0.2">
      <c r="A2377" t="s">
        <v>60</v>
      </c>
      <c r="B2377" t="s">
        <v>111</v>
      </c>
      <c r="C2377" t="s">
        <v>222</v>
      </c>
      <c r="D2377" s="110">
        <v>3145.5</v>
      </c>
      <c r="E2377" s="110">
        <v>3145.5</v>
      </c>
      <c r="I2377" s="110">
        <v>985.5</v>
      </c>
      <c r="J2377" s="110">
        <v>1253.5</v>
      </c>
    </row>
    <row r="2378" spans="1:12" x14ac:dyDescent="0.2">
      <c r="A2378" t="s">
        <v>60</v>
      </c>
      <c r="B2378" t="s">
        <v>111</v>
      </c>
      <c r="C2378" t="s">
        <v>223</v>
      </c>
      <c r="D2378" s="110">
        <v>5083</v>
      </c>
      <c r="I2378" s="110">
        <v>1190</v>
      </c>
    </row>
    <row r="2379" spans="1:12" x14ac:dyDescent="0.2">
      <c r="A2379" t="s">
        <v>60</v>
      </c>
      <c r="B2379" t="s">
        <v>109</v>
      </c>
      <c r="C2379" t="s">
        <v>220</v>
      </c>
      <c r="D2379" s="110">
        <v>204746</v>
      </c>
      <c r="E2379" s="110">
        <v>204696</v>
      </c>
      <c r="F2379" s="110">
        <v>204696</v>
      </c>
      <c r="G2379" s="110">
        <v>204696</v>
      </c>
      <c r="I2379" s="110">
        <v>60709.55</v>
      </c>
      <c r="J2379" s="110">
        <v>100204.04</v>
      </c>
      <c r="K2379" s="110">
        <v>121593.36</v>
      </c>
      <c r="L2379" s="110">
        <v>130276.78</v>
      </c>
    </row>
    <row r="2380" spans="1:12" x14ac:dyDescent="0.2">
      <c r="A2380" t="s">
        <v>60</v>
      </c>
      <c r="B2380" t="s">
        <v>109</v>
      </c>
      <c r="C2380" t="s">
        <v>221</v>
      </c>
      <c r="D2380" s="110">
        <v>252906.58</v>
      </c>
      <c r="E2380" s="110">
        <v>252856.58</v>
      </c>
      <c r="F2380" s="110">
        <v>252706.58</v>
      </c>
      <c r="I2380" s="110">
        <v>90910.32</v>
      </c>
      <c r="J2380" s="110">
        <v>135238.47</v>
      </c>
      <c r="K2380" s="110">
        <v>154591.54999999999</v>
      </c>
    </row>
    <row r="2381" spans="1:12" x14ac:dyDescent="0.2">
      <c r="A2381" t="s">
        <v>60</v>
      </c>
      <c r="B2381" t="s">
        <v>109</v>
      </c>
      <c r="C2381" t="s">
        <v>222</v>
      </c>
      <c r="D2381" s="110">
        <v>224482.96</v>
      </c>
      <c r="E2381" s="110">
        <v>224407.96</v>
      </c>
      <c r="I2381" s="110">
        <v>67624.429999999993</v>
      </c>
      <c r="J2381" s="110">
        <v>92194.93</v>
      </c>
    </row>
    <row r="2382" spans="1:12" x14ac:dyDescent="0.2">
      <c r="A2382" t="s">
        <v>60</v>
      </c>
      <c r="B2382" t="s">
        <v>109</v>
      </c>
      <c r="C2382" t="s">
        <v>223</v>
      </c>
      <c r="D2382" s="110">
        <v>210240.42</v>
      </c>
      <c r="I2382" s="110">
        <v>79262.05</v>
      </c>
    </row>
    <row r="2383" spans="1:12" x14ac:dyDescent="0.2">
      <c r="A2383" t="s">
        <v>60</v>
      </c>
      <c r="B2383" t="s">
        <v>106</v>
      </c>
      <c r="C2383" t="s">
        <v>220</v>
      </c>
      <c r="D2383" s="110">
        <v>67640.58</v>
      </c>
      <c r="E2383" s="110">
        <v>67640.58</v>
      </c>
      <c r="F2383" s="110">
        <v>67640.58</v>
      </c>
      <c r="G2383" s="110">
        <v>67640.58</v>
      </c>
      <c r="I2383" s="110">
        <v>65250.58</v>
      </c>
      <c r="J2383" s="110">
        <v>66400.58</v>
      </c>
      <c r="K2383" s="110">
        <v>66400.58</v>
      </c>
      <c r="L2383" s="110">
        <v>66400.58</v>
      </c>
    </row>
    <row r="2384" spans="1:12" x14ac:dyDescent="0.2">
      <c r="A2384" t="s">
        <v>60</v>
      </c>
      <c r="B2384" t="s">
        <v>106</v>
      </c>
      <c r="C2384" t="s">
        <v>221</v>
      </c>
      <c r="D2384" s="110">
        <v>75657</v>
      </c>
      <c r="E2384" s="110">
        <v>75657</v>
      </c>
      <c r="F2384" s="110">
        <v>75657</v>
      </c>
      <c r="I2384" s="110">
        <v>71998</v>
      </c>
      <c r="J2384" s="110">
        <v>73405</v>
      </c>
      <c r="K2384" s="110">
        <v>73405</v>
      </c>
    </row>
    <row r="2385" spans="1:12" x14ac:dyDescent="0.2">
      <c r="A2385" t="s">
        <v>60</v>
      </c>
      <c r="B2385" t="s">
        <v>106</v>
      </c>
      <c r="C2385" t="s">
        <v>222</v>
      </c>
      <c r="D2385" s="110">
        <v>95450.95</v>
      </c>
      <c r="E2385" s="110">
        <v>95450.95</v>
      </c>
      <c r="I2385" s="110">
        <v>92390.95</v>
      </c>
      <c r="J2385" s="110">
        <v>93375.95</v>
      </c>
    </row>
    <row r="2386" spans="1:12" x14ac:dyDescent="0.2">
      <c r="A2386" t="s">
        <v>60</v>
      </c>
      <c r="B2386" t="s">
        <v>106</v>
      </c>
      <c r="C2386" t="s">
        <v>223</v>
      </c>
      <c r="D2386" s="110">
        <v>73958.5</v>
      </c>
      <c r="I2386" s="110">
        <v>70949.5</v>
      </c>
    </row>
    <row r="2387" spans="1:12" x14ac:dyDescent="0.2">
      <c r="A2387" t="s">
        <v>60</v>
      </c>
      <c r="B2387" t="s">
        <v>107</v>
      </c>
      <c r="C2387" t="s">
        <v>220</v>
      </c>
      <c r="D2387" s="110">
        <v>66266.039999999994</v>
      </c>
      <c r="E2387" s="110">
        <v>66181.039999999994</v>
      </c>
      <c r="F2387" s="110">
        <v>66181.039999999994</v>
      </c>
      <c r="G2387" s="110">
        <v>66181.039999999994</v>
      </c>
      <c r="I2387" s="110">
        <v>66036.039999999994</v>
      </c>
      <c r="J2387" s="110">
        <v>66181.039999999994</v>
      </c>
      <c r="K2387" s="110">
        <v>66181.039999999994</v>
      </c>
      <c r="L2387" s="110">
        <v>66181.039999999994</v>
      </c>
    </row>
    <row r="2388" spans="1:12" x14ac:dyDescent="0.2">
      <c r="A2388" t="s">
        <v>60</v>
      </c>
      <c r="B2388" t="s">
        <v>107</v>
      </c>
      <c r="C2388" t="s">
        <v>221</v>
      </c>
      <c r="D2388" s="110">
        <v>56985.32</v>
      </c>
      <c r="E2388" s="110">
        <v>56985.32</v>
      </c>
      <c r="F2388" s="110">
        <v>56985.32</v>
      </c>
      <c r="I2388" s="110">
        <v>54563.32</v>
      </c>
      <c r="J2388" s="110">
        <v>56583.32</v>
      </c>
      <c r="K2388" s="110">
        <v>56583.32</v>
      </c>
    </row>
    <row r="2389" spans="1:12" x14ac:dyDescent="0.2">
      <c r="A2389" t="s">
        <v>60</v>
      </c>
      <c r="B2389" t="s">
        <v>107</v>
      </c>
      <c r="C2389" t="s">
        <v>222</v>
      </c>
      <c r="D2389" s="110">
        <v>68221.320000000007</v>
      </c>
      <c r="E2389" s="110">
        <v>68221.320000000007</v>
      </c>
      <c r="I2389" s="110">
        <v>66446.320000000007</v>
      </c>
      <c r="J2389" s="110">
        <v>68221.320000000007</v>
      </c>
    </row>
    <row r="2390" spans="1:12" x14ac:dyDescent="0.2">
      <c r="A2390" t="s">
        <v>60</v>
      </c>
      <c r="B2390" t="s">
        <v>107</v>
      </c>
      <c r="C2390" t="s">
        <v>223</v>
      </c>
      <c r="D2390" s="110">
        <v>61595.62</v>
      </c>
      <c r="I2390" s="110">
        <v>61030.62</v>
      </c>
    </row>
    <row r="2391" spans="1:12" x14ac:dyDescent="0.2">
      <c r="A2391" t="s">
        <v>60</v>
      </c>
      <c r="B2391" t="s">
        <v>108</v>
      </c>
      <c r="C2391" t="s">
        <v>220</v>
      </c>
      <c r="D2391" s="110">
        <v>53430.5</v>
      </c>
      <c r="E2391" s="110">
        <v>53430.5</v>
      </c>
      <c r="F2391" s="110">
        <v>53430.5</v>
      </c>
      <c r="G2391" s="110">
        <v>53430.5</v>
      </c>
      <c r="I2391" s="110">
        <v>52075.5</v>
      </c>
      <c r="J2391" s="110">
        <v>52325.5</v>
      </c>
      <c r="K2391" s="110">
        <v>52325.5</v>
      </c>
      <c r="L2391" s="110">
        <v>52325.5</v>
      </c>
    </row>
    <row r="2392" spans="1:12" x14ac:dyDescent="0.2">
      <c r="A2392" t="s">
        <v>60</v>
      </c>
      <c r="B2392" t="s">
        <v>108</v>
      </c>
      <c r="C2392" t="s">
        <v>221</v>
      </c>
      <c r="D2392" s="110">
        <v>64552</v>
      </c>
      <c r="E2392" s="110">
        <v>64552</v>
      </c>
      <c r="F2392" s="110">
        <v>64552</v>
      </c>
      <c r="I2392" s="110">
        <v>63306</v>
      </c>
      <c r="J2392" s="110">
        <v>64357</v>
      </c>
      <c r="K2392" s="110">
        <v>64367</v>
      </c>
    </row>
    <row r="2393" spans="1:12" x14ac:dyDescent="0.2">
      <c r="A2393" t="s">
        <v>60</v>
      </c>
      <c r="B2393" t="s">
        <v>108</v>
      </c>
      <c r="C2393" t="s">
        <v>222</v>
      </c>
      <c r="D2393" s="110">
        <v>59092</v>
      </c>
      <c r="E2393" s="110">
        <v>59092</v>
      </c>
      <c r="I2393" s="110">
        <v>58113</v>
      </c>
      <c r="J2393" s="110">
        <v>58747</v>
      </c>
    </row>
    <row r="2394" spans="1:12" x14ac:dyDescent="0.2">
      <c r="A2394" t="s">
        <v>60</v>
      </c>
      <c r="B2394" t="s">
        <v>108</v>
      </c>
      <c r="C2394" t="s">
        <v>223</v>
      </c>
      <c r="D2394" s="110">
        <v>55765.5</v>
      </c>
      <c r="I2394" s="110">
        <v>54286.5</v>
      </c>
    </row>
    <row r="2395" spans="1:12" x14ac:dyDescent="0.2">
      <c r="A2395" t="s">
        <v>60</v>
      </c>
      <c r="B2395" t="s">
        <v>70</v>
      </c>
      <c r="C2395" t="s">
        <v>220</v>
      </c>
      <c r="D2395" s="110">
        <v>29887.31</v>
      </c>
      <c r="E2395" s="110">
        <v>28697.31</v>
      </c>
      <c r="F2395" s="110">
        <v>28697.31</v>
      </c>
      <c r="G2395" s="110">
        <v>28697.31</v>
      </c>
      <c r="I2395" s="110">
        <v>25667.31</v>
      </c>
      <c r="J2395" s="110">
        <v>26532.81</v>
      </c>
      <c r="K2395" s="110">
        <v>26532.81</v>
      </c>
      <c r="L2395" s="110">
        <v>26558.81</v>
      </c>
    </row>
    <row r="2396" spans="1:12" x14ac:dyDescent="0.2">
      <c r="A2396" t="s">
        <v>60</v>
      </c>
      <c r="B2396" t="s">
        <v>70</v>
      </c>
      <c r="C2396" t="s">
        <v>221</v>
      </c>
      <c r="D2396" s="110">
        <v>28591.9</v>
      </c>
      <c r="E2396" s="110">
        <v>28591.9</v>
      </c>
      <c r="F2396" s="110">
        <v>28581.4</v>
      </c>
      <c r="I2396" s="110">
        <v>25643.3</v>
      </c>
      <c r="J2396" s="110">
        <v>26958.9</v>
      </c>
      <c r="K2396" s="110">
        <v>27079.9</v>
      </c>
    </row>
    <row r="2397" spans="1:12" x14ac:dyDescent="0.2">
      <c r="A2397" t="s">
        <v>60</v>
      </c>
      <c r="B2397" t="s">
        <v>70</v>
      </c>
      <c r="C2397" t="s">
        <v>222</v>
      </c>
      <c r="D2397" s="110">
        <v>30271.85</v>
      </c>
      <c r="E2397" s="110">
        <v>30271.85</v>
      </c>
      <c r="I2397" s="110">
        <v>29131.85</v>
      </c>
      <c r="J2397" s="110">
        <v>29482.35</v>
      </c>
    </row>
    <row r="2398" spans="1:12" x14ac:dyDescent="0.2">
      <c r="A2398" t="s">
        <v>60</v>
      </c>
      <c r="B2398" t="s">
        <v>70</v>
      </c>
      <c r="C2398" t="s">
        <v>223</v>
      </c>
      <c r="D2398" s="110">
        <v>35164.199999999997</v>
      </c>
      <c r="I2398" s="110">
        <v>31500.45</v>
      </c>
    </row>
    <row r="2399" spans="1:12" x14ac:dyDescent="0.2">
      <c r="A2399" t="s">
        <v>60</v>
      </c>
      <c r="B2399" t="s">
        <v>110</v>
      </c>
      <c r="C2399" t="s">
        <v>220</v>
      </c>
      <c r="D2399" s="110">
        <v>534006.75</v>
      </c>
      <c r="E2399" s="110">
        <v>500549.75</v>
      </c>
      <c r="F2399" s="110">
        <v>497818.5</v>
      </c>
      <c r="G2399" s="110">
        <v>496952.5</v>
      </c>
      <c r="I2399" s="110">
        <v>247514.75</v>
      </c>
      <c r="J2399" s="110">
        <v>391628</v>
      </c>
      <c r="K2399" s="110">
        <v>445912.5</v>
      </c>
      <c r="L2399" s="110">
        <v>454334.5</v>
      </c>
    </row>
    <row r="2400" spans="1:12" x14ac:dyDescent="0.2">
      <c r="A2400" t="s">
        <v>60</v>
      </c>
      <c r="B2400" t="s">
        <v>110</v>
      </c>
      <c r="C2400" t="s">
        <v>221</v>
      </c>
      <c r="D2400" s="110">
        <v>580124.05000000005</v>
      </c>
      <c r="E2400" s="110">
        <v>558593.6</v>
      </c>
      <c r="F2400" s="110">
        <v>552548.44999999995</v>
      </c>
      <c r="I2400" s="110">
        <v>181560.2</v>
      </c>
      <c r="J2400" s="110">
        <v>430166.6</v>
      </c>
      <c r="K2400" s="110">
        <v>481479.95</v>
      </c>
    </row>
    <row r="2401" spans="1:12" x14ac:dyDescent="0.2">
      <c r="A2401" t="s">
        <v>60</v>
      </c>
      <c r="B2401" t="s">
        <v>110</v>
      </c>
      <c r="C2401" t="s">
        <v>222</v>
      </c>
      <c r="D2401" s="110">
        <v>500443.48</v>
      </c>
      <c r="E2401" s="110">
        <v>477075.84</v>
      </c>
      <c r="I2401" s="110">
        <v>217253.99</v>
      </c>
      <c r="J2401" s="110">
        <v>376606.84</v>
      </c>
    </row>
    <row r="2402" spans="1:12" x14ac:dyDescent="0.2">
      <c r="A2402" t="s">
        <v>60</v>
      </c>
      <c r="B2402" t="s">
        <v>110</v>
      </c>
      <c r="C2402" t="s">
        <v>223</v>
      </c>
      <c r="D2402" s="110">
        <v>583449.1</v>
      </c>
      <c r="I2402" s="110">
        <v>260774.1</v>
      </c>
    </row>
    <row r="2403" spans="1:12" x14ac:dyDescent="0.2">
      <c r="A2403" t="s">
        <v>61</v>
      </c>
      <c r="B2403" t="s">
        <v>104</v>
      </c>
      <c r="C2403" t="s">
        <v>220</v>
      </c>
      <c r="D2403" s="110">
        <v>379769.3</v>
      </c>
      <c r="E2403" s="110">
        <v>379769.3</v>
      </c>
      <c r="F2403" s="110">
        <v>379769.3</v>
      </c>
      <c r="G2403" s="110">
        <v>379769.3</v>
      </c>
      <c r="I2403" s="110">
        <v>9376.36</v>
      </c>
      <c r="J2403" s="110">
        <v>12848.95</v>
      </c>
      <c r="K2403" s="110">
        <v>17409.52</v>
      </c>
      <c r="L2403" s="110">
        <v>21405.91</v>
      </c>
    </row>
    <row r="2404" spans="1:12" x14ac:dyDescent="0.2">
      <c r="A2404" t="s">
        <v>61</v>
      </c>
      <c r="B2404" t="s">
        <v>104</v>
      </c>
      <c r="C2404" t="s">
        <v>221</v>
      </c>
      <c r="D2404" s="110">
        <v>295257.28999999998</v>
      </c>
      <c r="E2404" s="110">
        <v>295157.28999999998</v>
      </c>
      <c r="F2404" s="110">
        <v>295157.28999999998</v>
      </c>
      <c r="I2404" s="110">
        <v>1381.72</v>
      </c>
      <c r="J2404" s="110">
        <v>6682.81</v>
      </c>
      <c r="K2404" s="110">
        <v>12739.8</v>
      </c>
    </row>
    <row r="2405" spans="1:12" x14ac:dyDescent="0.2">
      <c r="A2405" t="s">
        <v>61</v>
      </c>
      <c r="B2405" t="s">
        <v>104</v>
      </c>
      <c r="C2405" t="s">
        <v>222</v>
      </c>
      <c r="D2405" s="110">
        <v>295706.84000000003</v>
      </c>
      <c r="E2405" s="110">
        <v>295636.84000000003</v>
      </c>
      <c r="I2405" s="110">
        <v>3366.82</v>
      </c>
      <c r="J2405" s="110">
        <v>7569.92</v>
      </c>
    </row>
    <row r="2406" spans="1:12" x14ac:dyDescent="0.2">
      <c r="A2406" t="s">
        <v>61</v>
      </c>
      <c r="B2406" t="s">
        <v>104</v>
      </c>
      <c r="C2406" t="s">
        <v>223</v>
      </c>
      <c r="D2406" s="110">
        <v>270661.53000000003</v>
      </c>
      <c r="I2406" s="110">
        <v>2223.0300000000002</v>
      </c>
    </row>
    <row r="2407" spans="1:12" x14ac:dyDescent="0.2">
      <c r="A2407" t="s">
        <v>61</v>
      </c>
      <c r="B2407" t="s">
        <v>140</v>
      </c>
      <c r="C2407" t="s">
        <v>220</v>
      </c>
      <c r="D2407" s="110">
        <v>215133.3</v>
      </c>
      <c r="E2407" s="110">
        <v>215133.3</v>
      </c>
      <c r="F2407" s="110">
        <v>215133.3</v>
      </c>
      <c r="G2407" s="110">
        <v>215133.3</v>
      </c>
      <c r="I2407" s="110">
        <v>9376.36</v>
      </c>
      <c r="J2407" s="110">
        <v>12848.95</v>
      </c>
      <c r="K2407" s="110">
        <v>17409.62</v>
      </c>
      <c r="L2407" s="110">
        <v>21405.91</v>
      </c>
    </row>
    <row r="2408" spans="1:12" x14ac:dyDescent="0.2">
      <c r="A2408" t="s">
        <v>61</v>
      </c>
      <c r="B2408" t="s">
        <v>140</v>
      </c>
      <c r="C2408" t="s">
        <v>221</v>
      </c>
      <c r="D2408" s="110">
        <v>295157.28999999998</v>
      </c>
      <c r="E2408" s="110">
        <v>295157.28999999998</v>
      </c>
      <c r="F2408" s="110">
        <v>292157.28999999998</v>
      </c>
      <c r="I2408" s="110">
        <v>1381.72</v>
      </c>
      <c r="J2408" s="110">
        <v>6682.81</v>
      </c>
      <c r="K2408" s="110">
        <v>12739.8</v>
      </c>
    </row>
    <row r="2409" spans="1:12" x14ac:dyDescent="0.2">
      <c r="A2409" t="s">
        <v>61</v>
      </c>
      <c r="B2409" t="s">
        <v>140</v>
      </c>
      <c r="C2409" t="s">
        <v>222</v>
      </c>
      <c r="D2409" s="110">
        <v>295706.84000000003</v>
      </c>
      <c r="E2409" s="110">
        <v>295706.84000000003</v>
      </c>
      <c r="I2409" s="110">
        <v>3366.82</v>
      </c>
      <c r="J2409" s="110">
        <v>7569.92</v>
      </c>
    </row>
    <row r="2410" spans="1:12" x14ac:dyDescent="0.2">
      <c r="A2410" t="s">
        <v>61</v>
      </c>
      <c r="B2410" t="s">
        <v>140</v>
      </c>
      <c r="C2410" t="s">
        <v>223</v>
      </c>
      <c r="D2410" s="110">
        <v>270661.53000000003</v>
      </c>
      <c r="I2410" s="110">
        <v>2223.0300000000002</v>
      </c>
    </row>
    <row r="2411" spans="1:12" x14ac:dyDescent="0.2">
      <c r="A2411" t="s">
        <v>61</v>
      </c>
      <c r="B2411" t="s">
        <v>105</v>
      </c>
      <c r="C2411" t="s">
        <v>220</v>
      </c>
      <c r="D2411" s="110">
        <v>38255.75</v>
      </c>
      <c r="E2411" s="110">
        <v>38255.75</v>
      </c>
      <c r="F2411" s="110">
        <v>38012.75</v>
      </c>
      <c r="G2411" s="110">
        <v>38012.75</v>
      </c>
      <c r="I2411" s="110">
        <v>5728.41</v>
      </c>
      <c r="J2411" s="110">
        <v>10082.299999999999</v>
      </c>
      <c r="K2411" s="110">
        <v>16822.189999999999</v>
      </c>
      <c r="L2411" s="110">
        <v>19324.330000000002</v>
      </c>
    </row>
    <row r="2412" spans="1:12" x14ac:dyDescent="0.2">
      <c r="A2412" t="s">
        <v>61</v>
      </c>
      <c r="B2412" t="s">
        <v>105</v>
      </c>
      <c r="C2412" t="s">
        <v>221</v>
      </c>
      <c r="D2412" s="110">
        <v>35443.17</v>
      </c>
      <c r="E2412" s="110">
        <v>35443.17</v>
      </c>
      <c r="F2412" s="110">
        <v>35443.17</v>
      </c>
      <c r="I2412" s="110">
        <v>10048.64</v>
      </c>
      <c r="J2412" s="110">
        <v>17606.349999999999</v>
      </c>
      <c r="K2412" s="110">
        <v>20743.810000000001</v>
      </c>
    </row>
    <row r="2413" spans="1:12" x14ac:dyDescent="0.2">
      <c r="A2413" t="s">
        <v>61</v>
      </c>
      <c r="B2413" t="s">
        <v>105</v>
      </c>
      <c r="C2413" t="s">
        <v>222</v>
      </c>
      <c r="D2413" s="110">
        <v>57893.87</v>
      </c>
      <c r="E2413" s="110">
        <v>57454.87</v>
      </c>
      <c r="I2413" s="110">
        <v>13195.37</v>
      </c>
      <c r="J2413" s="110">
        <v>17427.04</v>
      </c>
    </row>
    <row r="2414" spans="1:12" x14ac:dyDescent="0.2">
      <c r="A2414" t="s">
        <v>61</v>
      </c>
      <c r="B2414" t="s">
        <v>105</v>
      </c>
      <c r="C2414" t="s">
        <v>223</v>
      </c>
      <c r="D2414" s="110">
        <v>50788.12</v>
      </c>
      <c r="I2414" s="110">
        <v>12018.87</v>
      </c>
    </row>
    <row r="2415" spans="1:12" x14ac:dyDescent="0.2">
      <c r="A2415" t="s">
        <v>61</v>
      </c>
      <c r="B2415" t="s">
        <v>111</v>
      </c>
      <c r="C2415" t="s">
        <v>220</v>
      </c>
      <c r="D2415" s="110">
        <v>5522</v>
      </c>
      <c r="E2415" s="110">
        <v>4958</v>
      </c>
      <c r="F2415" s="110">
        <v>4234</v>
      </c>
      <c r="G2415" s="110">
        <v>4234</v>
      </c>
      <c r="I2415" s="110">
        <v>268</v>
      </c>
      <c r="J2415" s="110">
        <v>268</v>
      </c>
      <c r="K2415" s="110">
        <v>536</v>
      </c>
      <c r="L2415" s="110">
        <v>536</v>
      </c>
    </row>
    <row r="2416" spans="1:12" x14ac:dyDescent="0.2">
      <c r="A2416" t="s">
        <v>61</v>
      </c>
      <c r="B2416" t="s">
        <v>111</v>
      </c>
      <c r="C2416" t="s">
        <v>221</v>
      </c>
      <c r="D2416" s="110">
        <v>4110</v>
      </c>
      <c r="E2416" s="110">
        <v>4110</v>
      </c>
      <c r="F2416" s="110">
        <v>4110</v>
      </c>
      <c r="I2416" s="110">
        <v>536</v>
      </c>
      <c r="J2416" s="110">
        <v>536</v>
      </c>
      <c r="K2416" s="110">
        <v>536</v>
      </c>
    </row>
    <row r="2417" spans="1:12" x14ac:dyDescent="0.2">
      <c r="A2417" t="s">
        <v>61</v>
      </c>
      <c r="B2417" t="s">
        <v>111</v>
      </c>
      <c r="C2417" t="s">
        <v>222</v>
      </c>
      <c r="D2417" s="110">
        <v>6851.5</v>
      </c>
      <c r="E2417" s="110">
        <v>6851.5</v>
      </c>
      <c r="I2417" s="110">
        <v>1002.5</v>
      </c>
      <c r="J2417" s="110">
        <v>1442.5</v>
      </c>
    </row>
    <row r="2418" spans="1:12" x14ac:dyDescent="0.2">
      <c r="A2418" t="s">
        <v>61</v>
      </c>
      <c r="B2418" t="s">
        <v>111</v>
      </c>
      <c r="C2418" t="s">
        <v>223</v>
      </c>
      <c r="D2418" s="110">
        <v>2765</v>
      </c>
      <c r="I2418" s="110">
        <v>448</v>
      </c>
    </row>
    <row r="2419" spans="1:12" x14ac:dyDescent="0.2">
      <c r="A2419" t="s">
        <v>61</v>
      </c>
      <c r="B2419" t="s">
        <v>109</v>
      </c>
      <c r="C2419" t="s">
        <v>220</v>
      </c>
      <c r="D2419" s="110">
        <v>82500.5</v>
      </c>
      <c r="E2419" s="110">
        <v>82500.5</v>
      </c>
      <c r="F2419" s="110">
        <v>82500.5</v>
      </c>
      <c r="G2419" s="110">
        <v>82500.5</v>
      </c>
      <c r="I2419" s="110">
        <v>20168</v>
      </c>
      <c r="J2419" s="110">
        <v>35397.279999999999</v>
      </c>
      <c r="K2419" s="110">
        <v>52178.67</v>
      </c>
      <c r="L2419" s="110">
        <v>61200.14</v>
      </c>
    </row>
    <row r="2420" spans="1:12" x14ac:dyDescent="0.2">
      <c r="A2420" t="s">
        <v>61</v>
      </c>
      <c r="B2420" t="s">
        <v>109</v>
      </c>
      <c r="C2420" t="s">
        <v>221</v>
      </c>
      <c r="D2420" s="110">
        <v>89170.35</v>
      </c>
      <c r="E2420" s="110">
        <v>89170.35</v>
      </c>
      <c r="F2420" s="110">
        <v>89170.35</v>
      </c>
      <c r="I2420" s="110">
        <v>29599.35</v>
      </c>
      <c r="J2420" s="110">
        <v>45597.35</v>
      </c>
      <c r="K2420" s="110">
        <v>62328.18</v>
      </c>
    </row>
    <row r="2421" spans="1:12" x14ac:dyDescent="0.2">
      <c r="A2421" t="s">
        <v>61</v>
      </c>
      <c r="B2421" t="s">
        <v>109</v>
      </c>
      <c r="C2421" t="s">
        <v>222</v>
      </c>
      <c r="D2421" s="110">
        <v>76440.479999999996</v>
      </c>
      <c r="E2421" s="110">
        <v>76440.479999999996</v>
      </c>
      <c r="I2421" s="110">
        <v>10675.91</v>
      </c>
      <c r="J2421" s="110">
        <v>34954.910000000003</v>
      </c>
    </row>
    <row r="2422" spans="1:12" x14ac:dyDescent="0.2">
      <c r="A2422" t="s">
        <v>61</v>
      </c>
      <c r="B2422" t="s">
        <v>109</v>
      </c>
      <c r="C2422" t="s">
        <v>223</v>
      </c>
      <c r="D2422" s="110">
        <v>63643.75</v>
      </c>
      <c r="I2422" s="110">
        <v>12851</v>
      </c>
    </row>
    <row r="2423" spans="1:12" x14ac:dyDescent="0.2">
      <c r="A2423" t="s">
        <v>61</v>
      </c>
      <c r="B2423" t="s">
        <v>106</v>
      </c>
      <c r="C2423" t="s">
        <v>220</v>
      </c>
      <c r="D2423" s="110">
        <v>40487.51</v>
      </c>
      <c r="E2423" s="110">
        <v>40487.51</v>
      </c>
      <c r="F2423" s="110">
        <v>40487.51</v>
      </c>
      <c r="G2423" s="110">
        <v>40487.51</v>
      </c>
      <c r="I2423" s="110">
        <v>38066.51</v>
      </c>
      <c r="J2423" s="110">
        <v>38666.51</v>
      </c>
      <c r="K2423" s="110">
        <v>38926.51</v>
      </c>
      <c r="L2423" s="110">
        <v>38926.51</v>
      </c>
    </row>
    <row r="2424" spans="1:12" x14ac:dyDescent="0.2">
      <c r="A2424" t="s">
        <v>61</v>
      </c>
      <c r="B2424" t="s">
        <v>106</v>
      </c>
      <c r="C2424" t="s">
        <v>221</v>
      </c>
      <c r="D2424" s="110">
        <v>45806</v>
      </c>
      <c r="E2424" s="110">
        <v>45806</v>
      </c>
      <c r="F2424" s="110">
        <v>45806</v>
      </c>
      <c r="I2424" s="110">
        <v>42781</v>
      </c>
      <c r="J2424" s="110">
        <v>44606</v>
      </c>
      <c r="K2424" s="110">
        <v>44606</v>
      </c>
    </row>
    <row r="2425" spans="1:12" x14ac:dyDescent="0.2">
      <c r="A2425" t="s">
        <v>61</v>
      </c>
      <c r="B2425" t="s">
        <v>106</v>
      </c>
      <c r="C2425" t="s">
        <v>222</v>
      </c>
      <c r="D2425" s="110">
        <v>27597</v>
      </c>
      <c r="E2425" s="110">
        <v>27597</v>
      </c>
      <c r="I2425" s="110">
        <v>25187</v>
      </c>
      <c r="J2425" s="110">
        <v>25597</v>
      </c>
    </row>
    <row r="2426" spans="1:12" x14ac:dyDescent="0.2">
      <c r="A2426" t="s">
        <v>61</v>
      </c>
      <c r="B2426" t="s">
        <v>106</v>
      </c>
      <c r="C2426" t="s">
        <v>223</v>
      </c>
      <c r="D2426" s="110">
        <v>25797</v>
      </c>
      <c r="I2426" s="110">
        <v>23712</v>
      </c>
    </row>
    <row r="2427" spans="1:12" x14ac:dyDescent="0.2">
      <c r="A2427" t="s">
        <v>61</v>
      </c>
      <c r="B2427" t="s">
        <v>107</v>
      </c>
      <c r="C2427" t="s">
        <v>220</v>
      </c>
      <c r="D2427" s="110">
        <v>48831.66</v>
      </c>
      <c r="E2427" s="110">
        <v>48831.66</v>
      </c>
      <c r="F2427" s="110">
        <v>48831.66</v>
      </c>
      <c r="G2427" s="110">
        <v>48831.66</v>
      </c>
      <c r="I2427" s="110">
        <v>47351.66</v>
      </c>
      <c r="J2427" s="110">
        <v>47536.66</v>
      </c>
      <c r="K2427" s="110">
        <v>47536.66</v>
      </c>
      <c r="L2427" s="110">
        <v>47536.66</v>
      </c>
    </row>
    <row r="2428" spans="1:12" x14ac:dyDescent="0.2">
      <c r="A2428" t="s">
        <v>61</v>
      </c>
      <c r="B2428" t="s">
        <v>107</v>
      </c>
      <c r="C2428" t="s">
        <v>221</v>
      </c>
      <c r="D2428" s="110">
        <v>64371.58</v>
      </c>
      <c r="E2428" s="110">
        <v>64371.58</v>
      </c>
      <c r="F2428" s="110">
        <v>64371.58</v>
      </c>
      <c r="I2428" s="110">
        <v>60637.5</v>
      </c>
      <c r="J2428" s="110">
        <v>63917.5</v>
      </c>
      <c r="K2428" s="110">
        <v>63917.5</v>
      </c>
    </row>
    <row r="2429" spans="1:12" x14ac:dyDescent="0.2">
      <c r="A2429" t="s">
        <v>61</v>
      </c>
      <c r="B2429" t="s">
        <v>107</v>
      </c>
      <c r="C2429" t="s">
        <v>222</v>
      </c>
      <c r="D2429" s="110">
        <v>63053.75</v>
      </c>
      <c r="E2429" s="110">
        <v>63053.75</v>
      </c>
      <c r="I2429" s="110">
        <v>60460.75</v>
      </c>
      <c r="J2429" s="110">
        <v>62525.75</v>
      </c>
    </row>
    <row r="2430" spans="1:12" x14ac:dyDescent="0.2">
      <c r="A2430" t="s">
        <v>61</v>
      </c>
      <c r="B2430" t="s">
        <v>107</v>
      </c>
      <c r="C2430" t="s">
        <v>223</v>
      </c>
      <c r="D2430" s="110">
        <v>66326.2</v>
      </c>
      <c r="I2430" s="110">
        <v>65504.7</v>
      </c>
    </row>
    <row r="2431" spans="1:12" x14ac:dyDescent="0.2">
      <c r="A2431" t="s">
        <v>61</v>
      </c>
      <c r="B2431" t="s">
        <v>108</v>
      </c>
      <c r="C2431" t="s">
        <v>220</v>
      </c>
      <c r="D2431" s="110">
        <v>14160</v>
      </c>
      <c r="E2431" s="110">
        <v>14160</v>
      </c>
      <c r="F2431" s="110">
        <v>14160</v>
      </c>
      <c r="G2431" s="110">
        <v>14160</v>
      </c>
      <c r="I2431" s="110">
        <v>13760</v>
      </c>
      <c r="J2431" s="110">
        <v>14160</v>
      </c>
      <c r="K2431" s="110">
        <v>14160</v>
      </c>
      <c r="L2431" s="110">
        <v>14160</v>
      </c>
    </row>
    <row r="2432" spans="1:12" x14ac:dyDescent="0.2">
      <c r="A2432" t="s">
        <v>61</v>
      </c>
      <c r="B2432" t="s">
        <v>108</v>
      </c>
      <c r="C2432" t="s">
        <v>221</v>
      </c>
      <c r="D2432" s="110">
        <v>9932</v>
      </c>
      <c r="E2432" s="110">
        <v>9932</v>
      </c>
      <c r="F2432" s="110">
        <v>9932</v>
      </c>
      <c r="I2432" s="110">
        <v>9932</v>
      </c>
      <c r="J2432" s="110">
        <v>9932</v>
      </c>
      <c r="K2432" s="110">
        <v>9932</v>
      </c>
    </row>
    <row r="2433" spans="1:12" x14ac:dyDescent="0.2">
      <c r="A2433" t="s">
        <v>61</v>
      </c>
      <c r="B2433" t="s">
        <v>108</v>
      </c>
      <c r="C2433" t="s">
        <v>222</v>
      </c>
      <c r="D2433" s="110">
        <v>12619</v>
      </c>
      <c r="E2433" s="110">
        <v>12619</v>
      </c>
      <c r="I2433" s="110">
        <v>12274</v>
      </c>
      <c r="J2433" s="110">
        <v>12274</v>
      </c>
    </row>
    <row r="2434" spans="1:12" x14ac:dyDescent="0.2">
      <c r="A2434" t="s">
        <v>61</v>
      </c>
      <c r="B2434" t="s">
        <v>108</v>
      </c>
      <c r="C2434" t="s">
        <v>223</v>
      </c>
      <c r="D2434" s="110">
        <v>23705.83</v>
      </c>
      <c r="I2434" s="110">
        <v>23535.83</v>
      </c>
    </row>
    <row r="2435" spans="1:12" x14ac:dyDescent="0.2">
      <c r="A2435" t="s">
        <v>61</v>
      </c>
      <c r="B2435" t="s">
        <v>70</v>
      </c>
      <c r="C2435" t="s">
        <v>220</v>
      </c>
      <c r="D2435" s="110">
        <v>17779.259999999998</v>
      </c>
      <c r="E2435" s="110">
        <v>17779.259999999998</v>
      </c>
      <c r="F2435" s="110">
        <v>17779.259999999998</v>
      </c>
      <c r="G2435" s="110">
        <v>17779.259999999998</v>
      </c>
      <c r="I2435" s="110">
        <v>17726.259999999998</v>
      </c>
      <c r="J2435" s="110">
        <v>17779.259999999998</v>
      </c>
      <c r="K2435" s="110">
        <v>17779.259999999998</v>
      </c>
      <c r="L2435" s="110">
        <v>17779.259999999998</v>
      </c>
    </row>
    <row r="2436" spans="1:12" x14ac:dyDescent="0.2">
      <c r="A2436" t="s">
        <v>61</v>
      </c>
      <c r="B2436" t="s">
        <v>70</v>
      </c>
      <c r="C2436" t="s">
        <v>221</v>
      </c>
      <c r="D2436" s="110">
        <v>27156.95</v>
      </c>
      <c r="E2436" s="110">
        <v>27156.95</v>
      </c>
      <c r="F2436" s="110">
        <v>27156</v>
      </c>
      <c r="I2436" s="110">
        <v>26341.95</v>
      </c>
      <c r="J2436" s="110">
        <v>27156.95</v>
      </c>
      <c r="K2436" s="110">
        <v>27156</v>
      </c>
    </row>
    <row r="2437" spans="1:12" x14ac:dyDescent="0.2">
      <c r="A2437" t="s">
        <v>61</v>
      </c>
      <c r="B2437" t="s">
        <v>70</v>
      </c>
      <c r="C2437" t="s">
        <v>222</v>
      </c>
      <c r="D2437" s="110">
        <v>24662</v>
      </c>
      <c r="E2437" s="110">
        <v>24226</v>
      </c>
      <c r="I2437" s="110">
        <v>23650</v>
      </c>
      <c r="J2437" s="110">
        <v>23660</v>
      </c>
    </row>
    <row r="2438" spans="1:12" x14ac:dyDescent="0.2">
      <c r="A2438" t="s">
        <v>61</v>
      </c>
      <c r="B2438" t="s">
        <v>70</v>
      </c>
      <c r="C2438" t="s">
        <v>223</v>
      </c>
      <c r="D2438" s="110">
        <v>19343.3</v>
      </c>
      <c r="I2438" s="110">
        <v>18906.2</v>
      </c>
    </row>
    <row r="2439" spans="1:12" x14ac:dyDescent="0.2">
      <c r="A2439" t="s">
        <v>61</v>
      </c>
      <c r="B2439" t="s">
        <v>110</v>
      </c>
      <c r="C2439" t="s">
        <v>220</v>
      </c>
      <c r="D2439" s="110">
        <v>98076.3</v>
      </c>
      <c r="E2439" s="110">
        <v>90876.4</v>
      </c>
      <c r="F2439" s="110">
        <v>89627.4</v>
      </c>
      <c r="G2439" s="110">
        <v>89372.4</v>
      </c>
      <c r="I2439" s="110">
        <v>35368.660000000003</v>
      </c>
      <c r="J2439" s="110">
        <v>64904.24</v>
      </c>
      <c r="K2439" s="110">
        <v>71755.41</v>
      </c>
      <c r="L2439" s="110">
        <v>73944.149999999994</v>
      </c>
    </row>
    <row r="2440" spans="1:12" x14ac:dyDescent="0.2">
      <c r="A2440" t="s">
        <v>61</v>
      </c>
      <c r="B2440" t="s">
        <v>110</v>
      </c>
      <c r="C2440" t="s">
        <v>221</v>
      </c>
      <c r="D2440" s="110">
        <v>137218.43</v>
      </c>
      <c r="E2440" s="110">
        <v>129974.48</v>
      </c>
      <c r="F2440" s="110">
        <v>129974.48</v>
      </c>
      <c r="I2440" s="110">
        <v>55492.91</v>
      </c>
      <c r="J2440" s="110">
        <v>96454.31</v>
      </c>
      <c r="K2440" s="110">
        <v>105608.62</v>
      </c>
    </row>
    <row r="2441" spans="1:12" x14ac:dyDescent="0.2">
      <c r="A2441" t="s">
        <v>61</v>
      </c>
      <c r="B2441" t="s">
        <v>110</v>
      </c>
      <c r="C2441" t="s">
        <v>222</v>
      </c>
      <c r="D2441" s="110">
        <v>152457.14000000001</v>
      </c>
      <c r="E2441" s="110">
        <v>146932.06</v>
      </c>
      <c r="I2441" s="110">
        <v>55239.31</v>
      </c>
      <c r="J2441" s="110">
        <v>99429.22</v>
      </c>
    </row>
    <row r="2442" spans="1:12" x14ac:dyDescent="0.2">
      <c r="A2442" t="s">
        <v>61</v>
      </c>
      <c r="B2442" t="s">
        <v>110</v>
      </c>
      <c r="C2442" t="s">
        <v>223</v>
      </c>
      <c r="D2442" s="110">
        <v>175102.41</v>
      </c>
      <c r="I2442" s="110">
        <v>70034.44</v>
      </c>
    </row>
    <row r="2443" spans="1:12" x14ac:dyDescent="0.2">
      <c r="A2443" t="s">
        <v>62</v>
      </c>
      <c r="B2443" t="s">
        <v>104</v>
      </c>
      <c r="C2443" t="s">
        <v>220</v>
      </c>
      <c r="D2443" s="110">
        <v>75366.460000000006</v>
      </c>
      <c r="E2443" s="110">
        <v>75366.460000000006</v>
      </c>
      <c r="F2443" s="110">
        <v>75366.460000000006</v>
      </c>
      <c r="G2443" s="110">
        <v>75366.460000000006</v>
      </c>
      <c r="I2443" s="110">
        <v>2404.54</v>
      </c>
      <c r="J2443" s="110">
        <v>7274.57</v>
      </c>
      <c r="K2443" s="110">
        <v>8612.33</v>
      </c>
      <c r="L2443" s="110">
        <v>10101.57</v>
      </c>
    </row>
    <row r="2444" spans="1:12" x14ac:dyDescent="0.2">
      <c r="A2444" t="s">
        <v>62</v>
      </c>
      <c r="B2444" t="s">
        <v>104</v>
      </c>
      <c r="C2444" t="s">
        <v>221</v>
      </c>
      <c r="D2444" s="110">
        <v>70866.44</v>
      </c>
      <c r="E2444" s="110">
        <v>70866.44</v>
      </c>
      <c r="F2444" s="110">
        <v>70866.44</v>
      </c>
      <c r="I2444" s="110">
        <v>6884.67</v>
      </c>
      <c r="J2444" s="110">
        <v>8419.64</v>
      </c>
      <c r="K2444" s="110">
        <v>9260.3700000000008</v>
      </c>
    </row>
    <row r="2445" spans="1:12" x14ac:dyDescent="0.2">
      <c r="A2445" t="s">
        <v>62</v>
      </c>
      <c r="B2445" t="s">
        <v>104</v>
      </c>
      <c r="C2445" t="s">
        <v>222</v>
      </c>
      <c r="D2445" s="110">
        <v>85712.82</v>
      </c>
      <c r="E2445" s="110">
        <v>86906.32</v>
      </c>
      <c r="I2445" s="110">
        <v>2338.31</v>
      </c>
      <c r="J2445" s="110">
        <v>3927.64</v>
      </c>
    </row>
    <row r="2446" spans="1:12" x14ac:dyDescent="0.2">
      <c r="A2446" t="s">
        <v>62</v>
      </c>
      <c r="B2446" t="s">
        <v>104</v>
      </c>
      <c r="C2446" t="s">
        <v>223</v>
      </c>
      <c r="D2446" s="110">
        <v>67942.5</v>
      </c>
      <c r="I2446" s="110">
        <v>2564.88</v>
      </c>
    </row>
    <row r="2447" spans="1:12" x14ac:dyDescent="0.2">
      <c r="A2447" t="s">
        <v>62</v>
      </c>
      <c r="B2447" t="s">
        <v>140</v>
      </c>
      <c r="C2447" t="s">
        <v>220</v>
      </c>
      <c r="D2447" s="110">
        <v>100</v>
      </c>
      <c r="E2447" s="110">
        <v>100</v>
      </c>
      <c r="F2447" s="110">
        <v>100</v>
      </c>
      <c r="G2447" s="110">
        <v>100</v>
      </c>
      <c r="I2447" s="110">
        <v>0</v>
      </c>
      <c r="J2447" s="110">
        <v>0</v>
      </c>
      <c r="K2447" s="110">
        <v>0</v>
      </c>
      <c r="L2447" s="110">
        <v>0</v>
      </c>
    </row>
    <row r="2448" spans="1:12" x14ac:dyDescent="0.2">
      <c r="A2448" t="s">
        <v>62</v>
      </c>
      <c r="B2448" t="s">
        <v>140</v>
      </c>
      <c r="C2448" t="s">
        <v>221</v>
      </c>
      <c r="D2448" s="110">
        <v>0</v>
      </c>
      <c r="E2448" s="110">
        <v>0</v>
      </c>
      <c r="I2448" s="110">
        <v>0</v>
      </c>
      <c r="J2448" s="110">
        <v>0</v>
      </c>
    </row>
    <row r="2449" spans="1:12" x14ac:dyDescent="0.2">
      <c r="A2449" t="s">
        <v>62</v>
      </c>
      <c r="B2449" t="s">
        <v>140</v>
      </c>
      <c r="C2449" t="s">
        <v>222</v>
      </c>
      <c r="D2449" s="110">
        <v>250</v>
      </c>
      <c r="E2449" s="110">
        <v>250</v>
      </c>
      <c r="I2449" s="110">
        <v>0</v>
      </c>
      <c r="J2449" s="110">
        <v>0</v>
      </c>
    </row>
    <row r="2450" spans="1:12" x14ac:dyDescent="0.2">
      <c r="A2450" t="s">
        <v>62</v>
      </c>
      <c r="B2450" t="s">
        <v>140</v>
      </c>
      <c r="C2450" t="s">
        <v>223</v>
      </c>
      <c r="D2450" s="110">
        <v>0</v>
      </c>
      <c r="I2450" s="110">
        <v>0</v>
      </c>
    </row>
    <row r="2451" spans="1:12" x14ac:dyDescent="0.2">
      <c r="A2451" t="s">
        <v>62</v>
      </c>
      <c r="B2451" t="s">
        <v>105</v>
      </c>
      <c r="C2451" t="s">
        <v>220</v>
      </c>
      <c r="D2451" s="110">
        <v>20347.5</v>
      </c>
      <c r="E2451" s="110">
        <v>20347.5</v>
      </c>
      <c r="F2451" s="110">
        <v>20347.5</v>
      </c>
      <c r="G2451" s="110">
        <v>20347.5</v>
      </c>
      <c r="I2451" s="110">
        <v>637</v>
      </c>
      <c r="J2451" s="110">
        <v>4485.84</v>
      </c>
      <c r="K2451" s="110">
        <v>6831.75</v>
      </c>
      <c r="L2451" s="110">
        <v>7732.75</v>
      </c>
    </row>
    <row r="2452" spans="1:12" x14ac:dyDescent="0.2">
      <c r="A2452" t="s">
        <v>62</v>
      </c>
      <c r="B2452" t="s">
        <v>105</v>
      </c>
      <c r="C2452" t="s">
        <v>221</v>
      </c>
      <c r="D2452" s="110">
        <v>27150</v>
      </c>
      <c r="E2452" s="110">
        <v>27200</v>
      </c>
      <c r="F2452" s="110">
        <v>26990.400000000001</v>
      </c>
      <c r="I2452" s="110">
        <v>2302.77</v>
      </c>
      <c r="J2452" s="110">
        <v>4967.07</v>
      </c>
      <c r="K2452" s="110">
        <v>7284.17</v>
      </c>
    </row>
    <row r="2453" spans="1:12" x14ac:dyDescent="0.2">
      <c r="A2453" t="s">
        <v>62</v>
      </c>
      <c r="B2453" t="s">
        <v>105</v>
      </c>
      <c r="C2453" t="s">
        <v>222</v>
      </c>
      <c r="D2453" s="110">
        <v>24106</v>
      </c>
      <c r="E2453" s="110">
        <v>24587.5</v>
      </c>
      <c r="I2453" s="110">
        <v>4403</v>
      </c>
      <c r="J2453" s="110">
        <v>7339</v>
      </c>
    </row>
    <row r="2454" spans="1:12" x14ac:dyDescent="0.2">
      <c r="A2454" t="s">
        <v>62</v>
      </c>
      <c r="B2454" t="s">
        <v>105</v>
      </c>
      <c r="C2454" t="s">
        <v>223</v>
      </c>
      <c r="D2454" s="110">
        <v>26270.5</v>
      </c>
      <c r="I2454" s="110">
        <v>4669.33</v>
      </c>
    </row>
    <row r="2455" spans="1:12" x14ac:dyDescent="0.2">
      <c r="A2455" t="s">
        <v>62</v>
      </c>
      <c r="B2455" t="s">
        <v>111</v>
      </c>
      <c r="C2455" t="s">
        <v>220</v>
      </c>
      <c r="D2455" s="110">
        <v>3233</v>
      </c>
      <c r="E2455" s="110">
        <v>3233</v>
      </c>
      <c r="F2455" s="110">
        <v>3233</v>
      </c>
      <c r="G2455" s="110">
        <v>3233</v>
      </c>
      <c r="I2455" s="110">
        <v>0</v>
      </c>
      <c r="J2455" s="110">
        <v>0</v>
      </c>
      <c r="K2455" s="110">
        <v>0</v>
      </c>
      <c r="L2455" s="110">
        <v>100</v>
      </c>
    </row>
    <row r="2456" spans="1:12" x14ac:dyDescent="0.2">
      <c r="A2456" t="s">
        <v>62</v>
      </c>
      <c r="B2456" t="s">
        <v>111</v>
      </c>
      <c r="C2456" t="s">
        <v>221</v>
      </c>
      <c r="D2456" s="110">
        <v>4782.5</v>
      </c>
      <c r="E2456" s="110">
        <v>4832.5</v>
      </c>
      <c r="F2456" s="110">
        <v>4832.5</v>
      </c>
      <c r="I2456" s="110">
        <v>113.5</v>
      </c>
      <c r="J2456" s="110">
        <v>113.5</v>
      </c>
      <c r="K2456" s="110">
        <v>113.5</v>
      </c>
    </row>
    <row r="2457" spans="1:12" x14ac:dyDescent="0.2">
      <c r="A2457" t="s">
        <v>62</v>
      </c>
      <c r="B2457" t="s">
        <v>111</v>
      </c>
      <c r="C2457" t="s">
        <v>222</v>
      </c>
      <c r="D2457" s="110">
        <v>110</v>
      </c>
      <c r="E2457" s="110">
        <v>110</v>
      </c>
      <c r="I2457" s="110">
        <v>110</v>
      </c>
      <c r="J2457" s="110">
        <v>110</v>
      </c>
    </row>
    <row r="2458" spans="1:12" x14ac:dyDescent="0.2">
      <c r="A2458" t="s">
        <v>62</v>
      </c>
      <c r="B2458" t="s">
        <v>111</v>
      </c>
      <c r="C2458" t="s">
        <v>223</v>
      </c>
      <c r="D2458" s="110">
        <v>2531</v>
      </c>
      <c r="I2458" s="110">
        <v>55</v>
      </c>
    </row>
    <row r="2459" spans="1:12" x14ac:dyDescent="0.2">
      <c r="A2459" t="s">
        <v>62</v>
      </c>
      <c r="B2459" t="s">
        <v>109</v>
      </c>
      <c r="C2459" t="s">
        <v>220</v>
      </c>
      <c r="D2459" s="110">
        <v>19950.5</v>
      </c>
      <c r="E2459" s="110">
        <v>19977.5</v>
      </c>
      <c r="F2459" s="110">
        <v>19977.5</v>
      </c>
      <c r="G2459" s="110">
        <v>19977.5</v>
      </c>
      <c r="I2459" s="110">
        <v>1768.95</v>
      </c>
      <c r="J2459" s="110">
        <v>4840.55</v>
      </c>
      <c r="K2459" s="110">
        <v>7738.85</v>
      </c>
      <c r="L2459" s="110">
        <v>9591.75</v>
      </c>
    </row>
    <row r="2460" spans="1:12" x14ac:dyDescent="0.2">
      <c r="A2460" t="s">
        <v>62</v>
      </c>
      <c r="B2460" t="s">
        <v>109</v>
      </c>
      <c r="C2460" t="s">
        <v>221</v>
      </c>
      <c r="D2460" s="110">
        <v>28195.5</v>
      </c>
      <c r="E2460" s="110">
        <v>28218.5</v>
      </c>
      <c r="F2460" s="110">
        <v>28243.5</v>
      </c>
      <c r="I2460" s="110">
        <v>1484.95</v>
      </c>
      <c r="J2460" s="110">
        <v>7734.8</v>
      </c>
      <c r="K2460" s="110">
        <v>12011.75</v>
      </c>
    </row>
    <row r="2461" spans="1:12" x14ac:dyDescent="0.2">
      <c r="A2461" t="s">
        <v>62</v>
      </c>
      <c r="B2461" t="s">
        <v>109</v>
      </c>
      <c r="C2461" t="s">
        <v>222</v>
      </c>
      <c r="D2461" s="110">
        <v>29056</v>
      </c>
      <c r="E2461" s="110">
        <v>29056</v>
      </c>
      <c r="I2461" s="110">
        <v>3621.6</v>
      </c>
      <c r="J2461" s="110">
        <v>10271.85</v>
      </c>
    </row>
    <row r="2462" spans="1:12" x14ac:dyDescent="0.2">
      <c r="A2462" t="s">
        <v>62</v>
      </c>
      <c r="B2462" t="s">
        <v>109</v>
      </c>
      <c r="C2462" t="s">
        <v>223</v>
      </c>
      <c r="D2462" s="110">
        <v>38941.5</v>
      </c>
      <c r="I2462" s="110">
        <v>3356.95</v>
      </c>
    </row>
    <row r="2463" spans="1:12" x14ac:dyDescent="0.2">
      <c r="A2463" t="s">
        <v>62</v>
      </c>
      <c r="B2463" t="s">
        <v>106</v>
      </c>
      <c r="C2463" t="s">
        <v>220</v>
      </c>
      <c r="D2463" s="110">
        <v>7766.42</v>
      </c>
      <c r="E2463" s="110">
        <v>7766.42</v>
      </c>
      <c r="F2463" s="110">
        <v>7766.42</v>
      </c>
      <c r="G2463" s="110">
        <v>7366.42</v>
      </c>
      <c r="I2463" s="110">
        <v>6461.42</v>
      </c>
      <c r="J2463" s="110">
        <v>7366.42</v>
      </c>
      <c r="K2463" s="110">
        <v>7366.42</v>
      </c>
      <c r="L2463" s="110">
        <v>7366.42</v>
      </c>
    </row>
    <row r="2464" spans="1:12" x14ac:dyDescent="0.2">
      <c r="A2464" t="s">
        <v>62</v>
      </c>
      <c r="B2464" t="s">
        <v>106</v>
      </c>
      <c r="C2464" t="s">
        <v>221</v>
      </c>
      <c r="D2464" s="110">
        <v>21322.5</v>
      </c>
      <c r="E2464" s="110">
        <v>21322.5</v>
      </c>
      <c r="F2464" s="110">
        <v>21322.5</v>
      </c>
      <c r="I2464" s="110">
        <v>17822.5</v>
      </c>
      <c r="J2464" s="110">
        <v>21212.5</v>
      </c>
      <c r="K2464" s="110">
        <v>21212.5</v>
      </c>
    </row>
    <row r="2465" spans="1:12" x14ac:dyDescent="0.2">
      <c r="A2465" t="s">
        <v>62</v>
      </c>
      <c r="B2465" t="s">
        <v>106</v>
      </c>
      <c r="C2465" t="s">
        <v>222</v>
      </c>
      <c r="D2465" s="110">
        <v>19964.5</v>
      </c>
      <c r="E2465" s="110">
        <v>19964.5</v>
      </c>
      <c r="I2465" s="110">
        <v>18854.5</v>
      </c>
      <c r="J2465" s="110">
        <v>19654.5</v>
      </c>
    </row>
    <row r="2466" spans="1:12" x14ac:dyDescent="0.2">
      <c r="A2466" t="s">
        <v>62</v>
      </c>
      <c r="B2466" t="s">
        <v>106</v>
      </c>
      <c r="C2466" t="s">
        <v>223</v>
      </c>
      <c r="D2466" s="110">
        <v>9296.5</v>
      </c>
      <c r="I2466" s="110">
        <v>9296.5</v>
      </c>
    </row>
    <row r="2467" spans="1:12" x14ac:dyDescent="0.2">
      <c r="A2467" t="s">
        <v>62</v>
      </c>
      <c r="B2467" t="s">
        <v>107</v>
      </c>
      <c r="C2467" t="s">
        <v>220</v>
      </c>
      <c r="D2467" s="110">
        <v>10574.92</v>
      </c>
      <c r="E2467" s="110">
        <v>10574.92</v>
      </c>
      <c r="F2467" s="110">
        <v>10574.92</v>
      </c>
      <c r="G2467" s="110">
        <v>10574.92</v>
      </c>
      <c r="I2467" s="110">
        <v>8859.92</v>
      </c>
      <c r="J2467" s="110">
        <v>10574.92</v>
      </c>
      <c r="K2467" s="110">
        <v>10574.92</v>
      </c>
      <c r="L2467" s="110">
        <v>10574.92</v>
      </c>
    </row>
    <row r="2468" spans="1:12" x14ac:dyDescent="0.2">
      <c r="A2468" t="s">
        <v>62</v>
      </c>
      <c r="B2468" t="s">
        <v>107</v>
      </c>
      <c r="C2468" t="s">
        <v>221</v>
      </c>
      <c r="D2468" s="110">
        <v>16766.16</v>
      </c>
      <c r="E2468" s="110">
        <v>16766.16</v>
      </c>
      <c r="F2468" s="110">
        <v>16766.16</v>
      </c>
      <c r="I2468" s="110">
        <v>13911.16</v>
      </c>
      <c r="J2468" s="110">
        <v>16766.16</v>
      </c>
      <c r="K2468" s="110">
        <v>16766.16</v>
      </c>
    </row>
    <row r="2469" spans="1:12" x14ac:dyDescent="0.2">
      <c r="A2469" t="s">
        <v>62</v>
      </c>
      <c r="B2469" t="s">
        <v>107</v>
      </c>
      <c r="C2469" t="s">
        <v>222</v>
      </c>
      <c r="D2469" s="110">
        <v>16330</v>
      </c>
      <c r="E2469" s="110">
        <v>16330</v>
      </c>
      <c r="I2469" s="110">
        <v>16330</v>
      </c>
      <c r="J2469" s="110">
        <v>16330</v>
      </c>
    </row>
    <row r="2470" spans="1:12" x14ac:dyDescent="0.2">
      <c r="A2470" t="s">
        <v>62</v>
      </c>
      <c r="B2470" t="s">
        <v>107</v>
      </c>
      <c r="C2470" t="s">
        <v>223</v>
      </c>
      <c r="D2470" s="110">
        <v>17866.7</v>
      </c>
      <c r="I2470" s="110">
        <v>17816.7</v>
      </c>
    </row>
    <row r="2471" spans="1:12" x14ac:dyDescent="0.2">
      <c r="A2471" t="s">
        <v>62</v>
      </c>
      <c r="B2471" t="s">
        <v>108</v>
      </c>
      <c r="C2471" t="s">
        <v>220</v>
      </c>
      <c r="D2471" s="110">
        <v>8022</v>
      </c>
      <c r="E2471" s="110">
        <v>8022</v>
      </c>
      <c r="F2471" s="110">
        <v>8022</v>
      </c>
      <c r="G2471" s="110">
        <v>8022</v>
      </c>
      <c r="I2471" s="110">
        <v>7487</v>
      </c>
      <c r="J2471" s="110">
        <v>7972</v>
      </c>
      <c r="K2471" s="110">
        <v>7972</v>
      </c>
      <c r="L2471" s="110">
        <v>7972</v>
      </c>
    </row>
    <row r="2472" spans="1:12" x14ac:dyDescent="0.2">
      <c r="A2472" t="s">
        <v>62</v>
      </c>
      <c r="B2472" t="s">
        <v>108</v>
      </c>
      <c r="C2472" t="s">
        <v>221</v>
      </c>
      <c r="D2472" s="110">
        <v>10552</v>
      </c>
      <c r="E2472" s="110">
        <v>10552</v>
      </c>
      <c r="F2472" s="110">
        <v>1052</v>
      </c>
      <c r="I2472" s="110">
        <v>7345</v>
      </c>
      <c r="J2472" s="110">
        <v>10552</v>
      </c>
      <c r="K2472" s="110">
        <v>10552</v>
      </c>
    </row>
    <row r="2473" spans="1:12" x14ac:dyDescent="0.2">
      <c r="A2473" t="s">
        <v>62</v>
      </c>
      <c r="B2473" t="s">
        <v>108</v>
      </c>
      <c r="C2473" t="s">
        <v>222</v>
      </c>
      <c r="D2473" s="110">
        <v>8578</v>
      </c>
      <c r="E2473" s="110">
        <v>8578</v>
      </c>
      <c r="I2473" s="110">
        <v>7602</v>
      </c>
      <c r="J2473" s="110">
        <v>8347</v>
      </c>
    </row>
    <row r="2474" spans="1:12" x14ac:dyDescent="0.2">
      <c r="A2474" t="s">
        <v>62</v>
      </c>
      <c r="B2474" t="s">
        <v>108</v>
      </c>
      <c r="C2474" t="s">
        <v>223</v>
      </c>
      <c r="D2474" s="110">
        <v>8323</v>
      </c>
      <c r="I2474" s="110">
        <v>8303</v>
      </c>
    </row>
    <row r="2475" spans="1:12" x14ac:dyDescent="0.2">
      <c r="A2475" t="s">
        <v>62</v>
      </c>
      <c r="B2475" t="s">
        <v>70</v>
      </c>
      <c r="C2475" t="s">
        <v>220</v>
      </c>
      <c r="D2475" s="110">
        <v>10897</v>
      </c>
      <c r="E2475" s="110">
        <v>10897</v>
      </c>
      <c r="F2475" s="110">
        <v>10897</v>
      </c>
      <c r="G2475" s="110">
        <v>10897</v>
      </c>
      <c r="I2475" s="110">
        <v>9782</v>
      </c>
      <c r="J2475" s="110">
        <v>10189</v>
      </c>
      <c r="K2475" s="110">
        <v>10189</v>
      </c>
      <c r="L2475" s="110">
        <v>10189</v>
      </c>
    </row>
    <row r="2476" spans="1:12" x14ac:dyDescent="0.2">
      <c r="A2476" t="s">
        <v>62</v>
      </c>
      <c r="B2476" t="s">
        <v>70</v>
      </c>
      <c r="C2476" t="s">
        <v>221</v>
      </c>
      <c r="D2476" s="110">
        <v>8191</v>
      </c>
      <c r="E2476" s="110">
        <v>8191</v>
      </c>
      <c r="F2476" s="110">
        <v>8191</v>
      </c>
      <c r="I2476" s="110">
        <v>5176</v>
      </c>
      <c r="J2476" s="110">
        <v>7581</v>
      </c>
      <c r="K2476" s="110">
        <v>7581</v>
      </c>
    </row>
    <row r="2477" spans="1:12" x14ac:dyDescent="0.2">
      <c r="A2477" t="s">
        <v>62</v>
      </c>
      <c r="B2477" t="s">
        <v>70</v>
      </c>
      <c r="C2477" t="s">
        <v>222</v>
      </c>
      <c r="D2477" s="110">
        <v>15485</v>
      </c>
      <c r="E2477" s="110">
        <v>15485</v>
      </c>
      <c r="I2477" s="110">
        <v>13585</v>
      </c>
      <c r="J2477" s="110">
        <v>14027</v>
      </c>
    </row>
    <row r="2478" spans="1:12" x14ac:dyDescent="0.2">
      <c r="A2478" t="s">
        <v>62</v>
      </c>
      <c r="B2478" t="s">
        <v>70</v>
      </c>
      <c r="C2478" t="s">
        <v>223</v>
      </c>
      <c r="D2478" s="110">
        <v>16369</v>
      </c>
      <c r="I2478" s="110">
        <v>15241</v>
      </c>
    </row>
    <row r="2479" spans="1:12" x14ac:dyDescent="0.2">
      <c r="A2479" t="s">
        <v>62</v>
      </c>
      <c r="B2479" t="s">
        <v>110</v>
      </c>
      <c r="C2479" t="s">
        <v>220</v>
      </c>
      <c r="D2479" s="110">
        <v>77346.850000000006</v>
      </c>
      <c r="E2479" s="110">
        <v>72575.100000000006</v>
      </c>
      <c r="F2479" s="110">
        <v>71297.100000000006</v>
      </c>
      <c r="G2479" s="110">
        <v>68681.100000000006</v>
      </c>
      <c r="I2479" s="110">
        <v>27002</v>
      </c>
      <c r="J2479" s="110">
        <v>48013.95</v>
      </c>
      <c r="K2479" s="110">
        <v>55526.1</v>
      </c>
      <c r="L2479" s="110">
        <v>57916.1</v>
      </c>
    </row>
    <row r="2480" spans="1:12" x14ac:dyDescent="0.2">
      <c r="A2480" t="s">
        <v>62</v>
      </c>
      <c r="B2480" t="s">
        <v>110</v>
      </c>
      <c r="C2480" t="s">
        <v>221</v>
      </c>
      <c r="D2480" s="110">
        <v>97550.35</v>
      </c>
      <c r="E2480" s="110">
        <v>89387.9</v>
      </c>
      <c r="F2480" s="110">
        <v>86653.4</v>
      </c>
      <c r="I2480" s="110">
        <v>36066.300000000003</v>
      </c>
      <c r="J2480" s="110">
        <v>60560.800000000003</v>
      </c>
      <c r="K2480" s="110">
        <v>69017.899999999994</v>
      </c>
    </row>
    <row r="2481" spans="1:12" x14ac:dyDescent="0.2">
      <c r="A2481" t="s">
        <v>62</v>
      </c>
      <c r="B2481" t="s">
        <v>110</v>
      </c>
      <c r="C2481" t="s">
        <v>222</v>
      </c>
      <c r="D2481" s="110">
        <v>118473.55</v>
      </c>
      <c r="E2481" s="110">
        <v>110508.35</v>
      </c>
      <c r="I2481" s="110">
        <v>47406.65</v>
      </c>
      <c r="J2481" s="110">
        <v>81142.850000000006</v>
      </c>
    </row>
    <row r="2482" spans="1:12" x14ac:dyDescent="0.2">
      <c r="A2482" t="s">
        <v>62</v>
      </c>
      <c r="B2482" t="s">
        <v>110</v>
      </c>
      <c r="C2482" t="s">
        <v>223</v>
      </c>
      <c r="D2482" s="110">
        <v>126062.15</v>
      </c>
      <c r="I2482" s="110">
        <v>56308.75</v>
      </c>
    </row>
    <row r="2483" spans="1:12" x14ac:dyDescent="0.2">
      <c r="A2483" t="s">
        <v>63</v>
      </c>
      <c r="B2483" t="s">
        <v>104</v>
      </c>
      <c r="C2483" t="s">
        <v>220</v>
      </c>
      <c r="D2483" s="110">
        <v>24547.75</v>
      </c>
      <c r="E2483" s="110">
        <v>24547.75</v>
      </c>
      <c r="F2483" s="110">
        <v>24497.75</v>
      </c>
      <c r="G2483" s="110">
        <v>24347.75</v>
      </c>
      <c r="I2483" s="110">
        <v>132.4</v>
      </c>
      <c r="J2483" s="110">
        <v>1022.22</v>
      </c>
      <c r="K2483" s="110">
        <v>2013.73</v>
      </c>
      <c r="L2483" s="110">
        <v>2919.77</v>
      </c>
    </row>
    <row r="2484" spans="1:12" x14ac:dyDescent="0.2">
      <c r="A2484" t="s">
        <v>63</v>
      </c>
      <c r="B2484" t="s">
        <v>104</v>
      </c>
      <c r="C2484" t="s">
        <v>221</v>
      </c>
      <c r="D2484" s="110">
        <v>83803.75</v>
      </c>
      <c r="E2484" s="110">
        <v>83703.75</v>
      </c>
      <c r="F2484" s="110">
        <v>83603.75</v>
      </c>
      <c r="I2484" s="110">
        <v>244.59</v>
      </c>
      <c r="J2484" s="110">
        <v>2572.2399999999998</v>
      </c>
      <c r="K2484" s="110">
        <v>4051.63</v>
      </c>
    </row>
    <row r="2485" spans="1:12" x14ac:dyDescent="0.2">
      <c r="A2485" t="s">
        <v>63</v>
      </c>
      <c r="B2485" t="s">
        <v>104</v>
      </c>
      <c r="C2485" t="s">
        <v>222</v>
      </c>
      <c r="D2485" s="110">
        <v>76086.25</v>
      </c>
      <c r="E2485" s="110">
        <v>76111.25</v>
      </c>
      <c r="I2485" s="110">
        <v>1018.64</v>
      </c>
      <c r="J2485" s="110">
        <v>1690.39</v>
      </c>
    </row>
    <row r="2486" spans="1:12" x14ac:dyDescent="0.2">
      <c r="A2486" t="s">
        <v>63</v>
      </c>
      <c r="B2486" t="s">
        <v>104</v>
      </c>
      <c r="C2486" t="s">
        <v>223</v>
      </c>
      <c r="D2486" s="110">
        <v>24216</v>
      </c>
      <c r="I2486" s="110">
        <v>788.85</v>
      </c>
    </row>
    <row r="2487" spans="1:12" x14ac:dyDescent="0.2">
      <c r="A2487" t="s">
        <v>63</v>
      </c>
      <c r="B2487" t="s">
        <v>140</v>
      </c>
      <c r="C2487" t="s">
        <v>220</v>
      </c>
      <c r="D2487" s="110">
        <v>53098.75</v>
      </c>
      <c r="E2487" s="110">
        <v>53098.75</v>
      </c>
      <c r="F2487" s="110">
        <v>53098.75</v>
      </c>
      <c r="G2487" s="110">
        <v>53098.75</v>
      </c>
      <c r="I2487" s="110">
        <v>0</v>
      </c>
      <c r="J2487" s="110">
        <v>0</v>
      </c>
      <c r="K2487" s="110">
        <v>0</v>
      </c>
      <c r="L2487" s="110">
        <v>0</v>
      </c>
    </row>
    <row r="2488" spans="1:12" x14ac:dyDescent="0.2">
      <c r="A2488" t="s">
        <v>63</v>
      </c>
      <c r="B2488" t="s">
        <v>140</v>
      </c>
      <c r="C2488" t="s">
        <v>221</v>
      </c>
      <c r="D2488" s="110">
        <v>0</v>
      </c>
      <c r="E2488" s="110">
        <v>0</v>
      </c>
      <c r="F2488" s="110">
        <v>0</v>
      </c>
      <c r="I2488" s="110">
        <v>0</v>
      </c>
      <c r="J2488" s="110">
        <v>0</v>
      </c>
      <c r="K2488" s="110">
        <v>0</v>
      </c>
    </row>
    <row r="2489" spans="1:12" x14ac:dyDescent="0.2">
      <c r="A2489" t="s">
        <v>63</v>
      </c>
      <c r="B2489" t="s">
        <v>140</v>
      </c>
      <c r="C2489" t="s">
        <v>222</v>
      </c>
      <c r="D2489" s="110">
        <v>0</v>
      </c>
      <c r="E2489" s="110">
        <v>0</v>
      </c>
      <c r="I2489" s="110">
        <v>0</v>
      </c>
      <c r="J2489" s="110">
        <v>0</v>
      </c>
    </row>
    <row r="2490" spans="1:12" x14ac:dyDescent="0.2">
      <c r="A2490" t="s">
        <v>63</v>
      </c>
      <c r="B2490" t="s">
        <v>140</v>
      </c>
      <c r="C2490" t="s">
        <v>223</v>
      </c>
      <c r="D2490" s="110">
        <v>0</v>
      </c>
      <c r="I2490" s="110">
        <v>0</v>
      </c>
    </row>
    <row r="2491" spans="1:12" x14ac:dyDescent="0.2">
      <c r="A2491" t="s">
        <v>63</v>
      </c>
      <c r="B2491" t="s">
        <v>105</v>
      </c>
      <c r="C2491" t="s">
        <v>220</v>
      </c>
      <c r="D2491" s="110">
        <v>6883.25</v>
      </c>
      <c r="E2491" s="110">
        <v>6883.25</v>
      </c>
      <c r="F2491" s="110">
        <v>6883.25</v>
      </c>
      <c r="G2491" s="110">
        <v>6853.25</v>
      </c>
      <c r="I2491" s="110">
        <v>968.75</v>
      </c>
      <c r="J2491" s="110">
        <v>2873.75</v>
      </c>
      <c r="K2491" s="110">
        <v>3249.75</v>
      </c>
      <c r="L2491" s="110">
        <v>3653.5</v>
      </c>
    </row>
    <row r="2492" spans="1:12" x14ac:dyDescent="0.2">
      <c r="A2492" t="s">
        <v>63</v>
      </c>
      <c r="B2492" t="s">
        <v>105</v>
      </c>
      <c r="C2492" t="s">
        <v>221</v>
      </c>
      <c r="D2492" s="110">
        <v>7200.68</v>
      </c>
      <c r="E2492" s="110">
        <v>7100.68</v>
      </c>
      <c r="F2492" s="110">
        <v>7100.68</v>
      </c>
      <c r="I2492" s="110">
        <v>2022.93</v>
      </c>
      <c r="J2492" s="110">
        <v>3486.18</v>
      </c>
      <c r="K2492" s="110">
        <v>4375.68</v>
      </c>
    </row>
    <row r="2493" spans="1:12" x14ac:dyDescent="0.2">
      <c r="A2493" t="s">
        <v>63</v>
      </c>
      <c r="B2493" t="s">
        <v>105</v>
      </c>
      <c r="C2493" t="s">
        <v>222</v>
      </c>
      <c r="D2493" s="110">
        <v>6183.25</v>
      </c>
      <c r="E2493" s="110">
        <v>5784.25</v>
      </c>
      <c r="I2493" s="110">
        <v>1317.5</v>
      </c>
      <c r="J2493" s="110">
        <v>2459.75</v>
      </c>
    </row>
    <row r="2494" spans="1:12" x14ac:dyDescent="0.2">
      <c r="A2494" t="s">
        <v>63</v>
      </c>
      <c r="B2494" t="s">
        <v>105</v>
      </c>
      <c r="C2494" t="s">
        <v>223</v>
      </c>
      <c r="D2494" s="110">
        <v>5474</v>
      </c>
      <c r="I2494" s="110">
        <v>707.5</v>
      </c>
    </row>
    <row r="2495" spans="1:12" x14ac:dyDescent="0.2">
      <c r="A2495" t="s">
        <v>63</v>
      </c>
      <c r="B2495" t="s">
        <v>111</v>
      </c>
      <c r="C2495" t="s">
        <v>220</v>
      </c>
      <c r="D2495" s="110">
        <v>223.5</v>
      </c>
      <c r="E2495" s="110">
        <v>223.5</v>
      </c>
      <c r="F2495" s="110">
        <v>223.5</v>
      </c>
      <c r="G2495" s="110">
        <v>223.5</v>
      </c>
      <c r="I2495" s="110">
        <v>3.5</v>
      </c>
      <c r="J2495" s="110">
        <v>3.5</v>
      </c>
      <c r="K2495" s="110">
        <v>3.5</v>
      </c>
      <c r="L2495" s="110">
        <v>3.5</v>
      </c>
    </row>
    <row r="2496" spans="1:12" x14ac:dyDescent="0.2">
      <c r="A2496" t="s">
        <v>63</v>
      </c>
      <c r="B2496" t="s">
        <v>111</v>
      </c>
      <c r="C2496" t="s">
        <v>221</v>
      </c>
      <c r="D2496" s="110">
        <v>1471</v>
      </c>
      <c r="E2496" s="110">
        <v>1321</v>
      </c>
      <c r="F2496" s="110">
        <v>1501</v>
      </c>
      <c r="I2496" s="110">
        <v>21</v>
      </c>
      <c r="J2496" s="110">
        <v>191</v>
      </c>
      <c r="K2496" s="110">
        <v>291</v>
      </c>
    </row>
    <row r="2497" spans="1:12" x14ac:dyDescent="0.2">
      <c r="A2497" t="s">
        <v>63</v>
      </c>
      <c r="B2497" t="s">
        <v>111</v>
      </c>
      <c r="C2497" t="s">
        <v>222</v>
      </c>
      <c r="D2497" s="110">
        <v>2031</v>
      </c>
      <c r="E2497" s="110">
        <v>1981</v>
      </c>
      <c r="I2497" s="110">
        <v>21</v>
      </c>
      <c r="J2497" s="110">
        <v>21</v>
      </c>
    </row>
    <row r="2498" spans="1:12" x14ac:dyDescent="0.2">
      <c r="A2498" t="s">
        <v>63</v>
      </c>
      <c r="B2498" t="s">
        <v>111</v>
      </c>
      <c r="C2498" t="s">
        <v>223</v>
      </c>
      <c r="D2498" s="110">
        <v>1171</v>
      </c>
      <c r="I2498" s="110">
        <v>21</v>
      </c>
    </row>
    <row r="2499" spans="1:12" x14ac:dyDescent="0.2">
      <c r="A2499" t="s">
        <v>63</v>
      </c>
      <c r="B2499" t="s">
        <v>109</v>
      </c>
      <c r="C2499" t="s">
        <v>220</v>
      </c>
      <c r="D2499" s="110">
        <v>8092.75</v>
      </c>
      <c r="E2499" s="110">
        <v>8067.75</v>
      </c>
      <c r="F2499" s="110">
        <v>8067.75</v>
      </c>
      <c r="G2499" s="110">
        <v>8067.75</v>
      </c>
      <c r="I2499" s="110">
        <v>1094.25</v>
      </c>
      <c r="J2499" s="110">
        <v>2565.25</v>
      </c>
      <c r="K2499" s="110">
        <v>3508</v>
      </c>
      <c r="L2499" s="110">
        <v>4069</v>
      </c>
    </row>
    <row r="2500" spans="1:12" x14ac:dyDescent="0.2">
      <c r="A2500" t="s">
        <v>63</v>
      </c>
      <c r="B2500" t="s">
        <v>109</v>
      </c>
      <c r="C2500" t="s">
        <v>221</v>
      </c>
      <c r="D2500" s="110">
        <v>11244.5</v>
      </c>
      <c r="E2500" s="110">
        <v>11219.5</v>
      </c>
      <c r="F2500" s="110">
        <v>10719.5</v>
      </c>
      <c r="I2500" s="110">
        <v>1992</v>
      </c>
      <c r="J2500" s="110">
        <v>3152.25</v>
      </c>
      <c r="K2500" s="110">
        <v>3850.75</v>
      </c>
    </row>
    <row r="2501" spans="1:12" x14ac:dyDescent="0.2">
      <c r="A2501" t="s">
        <v>63</v>
      </c>
      <c r="B2501" t="s">
        <v>109</v>
      </c>
      <c r="C2501" t="s">
        <v>222</v>
      </c>
      <c r="D2501" s="110">
        <v>14230.25</v>
      </c>
      <c r="E2501" s="110">
        <v>13778.78</v>
      </c>
      <c r="I2501" s="110">
        <v>2091</v>
      </c>
      <c r="J2501" s="110">
        <v>4310.53</v>
      </c>
    </row>
    <row r="2502" spans="1:12" x14ac:dyDescent="0.2">
      <c r="A2502" t="s">
        <v>63</v>
      </c>
      <c r="B2502" t="s">
        <v>109</v>
      </c>
      <c r="C2502" t="s">
        <v>223</v>
      </c>
      <c r="D2502" s="110">
        <v>7922.5</v>
      </c>
      <c r="I2502" s="110">
        <v>1048.5</v>
      </c>
    </row>
    <row r="2503" spans="1:12" x14ac:dyDescent="0.2">
      <c r="A2503" t="s">
        <v>63</v>
      </c>
      <c r="B2503" t="s">
        <v>106</v>
      </c>
      <c r="C2503" t="s">
        <v>220</v>
      </c>
      <c r="D2503" s="110">
        <v>12629</v>
      </c>
      <c r="E2503" s="110">
        <v>12629</v>
      </c>
      <c r="F2503" s="110">
        <v>12629</v>
      </c>
      <c r="G2503" s="110">
        <v>12629</v>
      </c>
      <c r="I2503" s="110">
        <v>10229</v>
      </c>
      <c r="J2503" s="110">
        <v>10229</v>
      </c>
      <c r="K2503" s="110">
        <v>10229</v>
      </c>
      <c r="L2503" s="110">
        <v>10229</v>
      </c>
    </row>
    <row r="2504" spans="1:12" x14ac:dyDescent="0.2">
      <c r="A2504" t="s">
        <v>63</v>
      </c>
      <c r="B2504" t="s">
        <v>106</v>
      </c>
      <c r="C2504" t="s">
        <v>221</v>
      </c>
      <c r="D2504" s="110">
        <v>14461</v>
      </c>
      <c r="E2504" s="110">
        <v>14461</v>
      </c>
      <c r="F2504" s="110">
        <v>14461</v>
      </c>
      <c r="I2504" s="110">
        <v>12361</v>
      </c>
      <c r="J2504" s="110">
        <v>13330.96</v>
      </c>
      <c r="K2504" s="110">
        <v>13340.96</v>
      </c>
    </row>
    <row r="2505" spans="1:12" x14ac:dyDescent="0.2">
      <c r="A2505" t="s">
        <v>63</v>
      </c>
      <c r="B2505" t="s">
        <v>106</v>
      </c>
      <c r="C2505" t="s">
        <v>222</v>
      </c>
      <c r="D2505" s="110">
        <v>10253.5</v>
      </c>
      <c r="E2505" s="110">
        <v>10253.5</v>
      </c>
      <c r="I2505" s="110">
        <v>9448.18</v>
      </c>
      <c r="J2505" s="110">
        <v>9448.18</v>
      </c>
    </row>
    <row r="2506" spans="1:12" x14ac:dyDescent="0.2">
      <c r="A2506" t="s">
        <v>63</v>
      </c>
      <c r="B2506" t="s">
        <v>106</v>
      </c>
      <c r="C2506" t="s">
        <v>223</v>
      </c>
      <c r="D2506" s="110">
        <v>9791</v>
      </c>
      <c r="I2506" s="110">
        <v>9724</v>
      </c>
    </row>
    <row r="2507" spans="1:12" x14ac:dyDescent="0.2">
      <c r="A2507" t="s">
        <v>63</v>
      </c>
      <c r="B2507" t="s">
        <v>107</v>
      </c>
      <c r="C2507" t="s">
        <v>220</v>
      </c>
      <c r="D2507" s="110">
        <v>17091.330000000002</v>
      </c>
      <c r="E2507" s="110">
        <v>16666.63</v>
      </c>
      <c r="F2507" s="110">
        <v>16666.330000000002</v>
      </c>
      <c r="G2507" s="110">
        <v>16666.330000000002</v>
      </c>
      <c r="I2507" s="110">
        <v>16656.330000000002</v>
      </c>
      <c r="J2507" s="110">
        <v>16666.330000000002</v>
      </c>
      <c r="K2507" s="110">
        <v>16666.330000000002</v>
      </c>
      <c r="L2507" s="110">
        <v>16666.330000000002</v>
      </c>
    </row>
    <row r="2508" spans="1:12" x14ac:dyDescent="0.2">
      <c r="A2508" t="s">
        <v>63</v>
      </c>
      <c r="B2508" t="s">
        <v>107</v>
      </c>
      <c r="C2508" t="s">
        <v>221</v>
      </c>
      <c r="D2508" s="110">
        <v>12017.88</v>
      </c>
      <c r="E2508" s="110">
        <v>12202.88</v>
      </c>
      <c r="F2508" s="110">
        <v>12202.88</v>
      </c>
      <c r="I2508" s="110">
        <v>12017.88</v>
      </c>
      <c r="J2508" s="110">
        <v>12202.88</v>
      </c>
      <c r="K2508" s="110">
        <v>12202.88</v>
      </c>
    </row>
    <row r="2509" spans="1:12" x14ac:dyDescent="0.2">
      <c r="A2509" t="s">
        <v>63</v>
      </c>
      <c r="B2509" t="s">
        <v>107</v>
      </c>
      <c r="C2509" t="s">
        <v>222</v>
      </c>
      <c r="D2509" s="110">
        <v>19476.04</v>
      </c>
      <c r="E2509" s="110">
        <v>19476.04</v>
      </c>
      <c r="I2509" s="110">
        <v>19301.04</v>
      </c>
      <c r="J2509" s="110">
        <v>19301.34</v>
      </c>
    </row>
    <row r="2510" spans="1:12" x14ac:dyDescent="0.2">
      <c r="A2510" t="s">
        <v>63</v>
      </c>
      <c r="B2510" t="s">
        <v>107</v>
      </c>
      <c r="C2510" t="s">
        <v>223</v>
      </c>
      <c r="D2510" s="110">
        <v>15289.98</v>
      </c>
      <c r="I2510" s="110">
        <v>15104.98</v>
      </c>
    </row>
    <row r="2511" spans="1:12" x14ac:dyDescent="0.2">
      <c r="A2511" t="s">
        <v>63</v>
      </c>
      <c r="B2511" t="s">
        <v>108</v>
      </c>
      <c r="C2511" t="s">
        <v>220</v>
      </c>
      <c r="D2511" s="110">
        <v>3125</v>
      </c>
      <c r="E2511" s="110">
        <v>3125</v>
      </c>
      <c r="F2511" s="110">
        <v>3125</v>
      </c>
      <c r="G2511" s="110">
        <v>3125</v>
      </c>
      <c r="I2511" s="110">
        <v>3125</v>
      </c>
      <c r="J2511" s="110">
        <v>3125</v>
      </c>
      <c r="K2511" s="110">
        <v>3125</v>
      </c>
      <c r="L2511" s="110">
        <v>3125</v>
      </c>
    </row>
    <row r="2512" spans="1:12" x14ac:dyDescent="0.2">
      <c r="A2512" t="s">
        <v>63</v>
      </c>
      <c r="B2512" t="s">
        <v>108</v>
      </c>
      <c r="C2512" t="s">
        <v>221</v>
      </c>
      <c r="D2512" s="110">
        <v>2811</v>
      </c>
      <c r="E2512" s="110">
        <v>2811</v>
      </c>
      <c r="F2512" s="110">
        <v>2811</v>
      </c>
      <c r="I2512" s="110">
        <v>2811</v>
      </c>
      <c r="J2512" s="110">
        <v>2811</v>
      </c>
      <c r="K2512" s="110">
        <v>2811</v>
      </c>
    </row>
    <row r="2513" spans="1:12" x14ac:dyDescent="0.2">
      <c r="A2513" t="s">
        <v>63</v>
      </c>
      <c r="B2513" t="s">
        <v>108</v>
      </c>
      <c r="C2513" t="s">
        <v>222</v>
      </c>
      <c r="D2513" s="110">
        <v>1467</v>
      </c>
      <c r="E2513" s="110">
        <v>1467</v>
      </c>
      <c r="I2513" s="110">
        <v>1467</v>
      </c>
      <c r="J2513" s="110">
        <v>1467</v>
      </c>
    </row>
    <row r="2514" spans="1:12" x14ac:dyDescent="0.2">
      <c r="A2514" t="s">
        <v>63</v>
      </c>
      <c r="B2514" t="s">
        <v>108</v>
      </c>
      <c r="C2514" t="s">
        <v>223</v>
      </c>
      <c r="D2514" s="110">
        <v>4591</v>
      </c>
      <c r="I2514" s="110">
        <v>4591</v>
      </c>
    </row>
    <row r="2515" spans="1:12" x14ac:dyDescent="0.2">
      <c r="A2515" t="s">
        <v>63</v>
      </c>
      <c r="B2515" t="s">
        <v>70</v>
      </c>
      <c r="C2515" t="s">
        <v>220</v>
      </c>
      <c r="D2515" s="110">
        <v>8083</v>
      </c>
      <c r="E2515" s="110">
        <v>8083</v>
      </c>
      <c r="F2515" s="110">
        <v>8083</v>
      </c>
      <c r="G2515" s="110">
        <v>8083</v>
      </c>
      <c r="I2515" s="110">
        <v>7332</v>
      </c>
      <c r="J2515" s="110">
        <v>7557</v>
      </c>
      <c r="K2515" s="110">
        <v>7675</v>
      </c>
      <c r="L2515" s="110">
        <v>7675</v>
      </c>
    </row>
    <row r="2516" spans="1:12" x14ac:dyDescent="0.2">
      <c r="A2516" t="s">
        <v>63</v>
      </c>
      <c r="B2516" t="s">
        <v>70</v>
      </c>
      <c r="C2516" t="s">
        <v>221</v>
      </c>
      <c r="D2516" s="110">
        <v>8211.5</v>
      </c>
      <c r="E2516" s="110">
        <v>8211.5</v>
      </c>
      <c r="F2516" s="110">
        <v>8211.5</v>
      </c>
      <c r="I2516" s="110">
        <v>7853.5</v>
      </c>
      <c r="J2516" s="110">
        <v>7853.5</v>
      </c>
      <c r="K2516" s="110">
        <v>7853.5</v>
      </c>
    </row>
    <row r="2517" spans="1:12" x14ac:dyDescent="0.2">
      <c r="A2517" t="s">
        <v>63</v>
      </c>
      <c r="B2517" t="s">
        <v>70</v>
      </c>
      <c r="C2517" t="s">
        <v>222</v>
      </c>
      <c r="D2517" s="110">
        <v>6472</v>
      </c>
      <c r="E2517" s="110">
        <v>6472</v>
      </c>
      <c r="I2517" s="110">
        <v>6412</v>
      </c>
      <c r="J2517" s="110">
        <v>6412</v>
      </c>
    </row>
    <row r="2518" spans="1:12" x14ac:dyDescent="0.2">
      <c r="A2518" t="s">
        <v>63</v>
      </c>
      <c r="B2518" t="s">
        <v>70</v>
      </c>
      <c r="C2518" t="s">
        <v>223</v>
      </c>
      <c r="D2518" s="110">
        <v>11872</v>
      </c>
      <c r="I2518" s="110">
        <v>10773</v>
      </c>
    </row>
    <row r="2519" spans="1:12" x14ac:dyDescent="0.2">
      <c r="A2519" t="s">
        <v>63</v>
      </c>
      <c r="B2519" t="s">
        <v>110</v>
      </c>
      <c r="C2519" t="s">
        <v>220</v>
      </c>
      <c r="D2519" s="110">
        <v>17792</v>
      </c>
      <c r="E2519" s="110">
        <v>17013.349999999999</v>
      </c>
      <c r="F2519" s="110">
        <v>16737.349999999999</v>
      </c>
      <c r="G2519" s="110">
        <v>16298.35</v>
      </c>
      <c r="I2519" s="110">
        <v>8096.5</v>
      </c>
      <c r="J2519" s="110">
        <v>12816.85</v>
      </c>
      <c r="K2519" s="110">
        <v>13512.85</v>
      </c>
      <c r="L2519" s="110">
        <v>13675.85</v>
      </c>
    </row>
    <row r="2520" spans="1:12" x14ac:dyDescent="0.2">
      <c r="A2520" t="s">
        <v>63</v>
      </c>
      <c r="B2520" t="s">
        <v>110</v>
      </c>
      <c r="C2520" t="s">
        <v>221</v>
      </c>
      <c r="D2520" s="110">
        <v>23194.400000000001</v>
      </c>
      <c r="E2520" s="110">
        <v>23410.75</v>
      </c>
      <c r="F2520" s="110">
        <v>23231.75</v>
      </c>
      <c r="I2520" s="110">
        <v>13274.15</v>
      </c>
      <c r="J2520" s="110">
        <v>19023.75</v>
      </c>
      <c r="K2520" s="110">
        <v>19593.75</v>
      </c>
    </row>
    <row r="2521" spans="1:12" x14ac:dyDescent="0.2">
      <c r="A2521" t="s">
        <v>63</v>
      </c>
      <c r="B2521" t="s">
        <v>110</v>
      </c>
      <c r="C2521" t="s">
        <v>222</v>
      </c>
      <c r="D2521" s="110">
        <v>18243.2</v>
      </c>
      <c r="E2521" s="110">
        <v>17266.8</v>
      </c>
      <c r="I2521" s="110">
        <v>9918.2000000000007</v>
      </c>
      <c r="J2521" s="110">
        <v>12939.8</v>
      </c>
    </row>
    <row r="2522" spans="1:12" x14ac:dyDescent="0.2">
      <c r="A2522" t="s">
        <v>63</v>
      </c>
      <c r="B2522" t="s">
        <v>110</v>
      </c>
      <c r="C2522" t="s">
        <v>223</v>
      </c>
      <c r="D2522" s="110">
        <v>14692.15</v>
      </c>
      <c r="I2522" s="110">
        <v>8860.5499999999993</v>
      </c>
    </row>
    <row r="2523" spans="1:12" x14ac:dyDescent="0.2">
      <c r="A2523" t="s">
        <v>64</v>
      </c>
      <c r="B2523" t="s">
        <v>104</v>
      </c>
      <c r="C2523" t="s">
        <v>220</v>
      </c>
      <c r="D2523" s="110">
        <v>2050894.95</v>
      </c>
      <c r="E2523" s="110">
        <v>2047751.95</v>
      </c>
      <c r="F2523" s="110">
        <v>2046351.94</v>
      </c>
      <c r="G2523" s="110">
        <v>2045781.94</v>
      </c>
      <c r="I2523" s="110">
        <v>30554.19</v>
      </c>
      <c r="J2523" s="110">
        <v>59740.7</v>
      </c>
      <c r="K2523" s="110">
        <v>87321.600000000006</v>
      </c>
      <c r="L2523" s="110">
        <v>106946.64</v>
      </c>
    </row>
    <row r="2524" spans="1:12" x14ac:dyDescent="0.2">
      <c r="A2524" t="s">
        <v>64</v>
      </c>
      <c r="B2524" t="s">
        <v>104</v>
      </c>
      <c r="C2524" t="s">
        <v>221</v>
      </c>
      <c r="D2524" s="110">
        <v>1438670.04</v>
      </c>
      <c r="E2524" s="110">
        <v>1432213.35</v>
      </c>
      <c r="F2524" s="110">
        <v>1428712.35</v>
      </c>
      <c r="I2524" s="110">
        <v>51072.41</v>
      </c>
      <c r="J2524" s="110">
        <v>88475.38</v>
      </c>
      <c r="K2524" s="110">
        <v>110642.92</v>
      </c>
    </row>
    <row r="2525" spans="1:12" x14ac:dyDescent="0.2">
      <c r="A2525" t="s">
        <v>64</v>
      </c>
      <c r="B2525" t="s">
        <v>104</v>
      </c>
      <c r="C2525" t="s">
        <v>222</v>
      </c>
      <c r="D2525" s="110">
        <v>1403918.99</v>
      </c>
      <c r="E2525" s="110">
        <v>1401348.49</v>
      </c>
      <c r="I2525" s="110">
        <v>32035.17</v>
      </c>
      <c r="J2525" s="110">
        <v>58474.94</v>
      </c>
    </row>
    <row r="2526" spans="1:12" x14ac:dyDescent="0.2">
      <c r="A2526" t="s">
        <v>64</v>
      </c>
      <c r="B2526" t="s">
        <v>104</v>
      </c>
      <c r="C2526" t="s">
        <v>223</v>
      </c>
      <c r="D2526" s="110">
        <v>1464831.39</v>
      </c>
      <c r="I2526" s="110">
        <v>30376.7</v>
      </c>
    </row>
    <row r="2527" spans="1:12" x14ac:dyDescent="0.2">
      <c r="A2527" t="s">
        <v>64</v>
      </c>
      <c r="B2527" t="s">
        <v>140</v>
      </c>
      <c r="C2527" t="s">
        <v>220</v>
      </c>
      <c r="D2527" s="110">
        <v>655812</v>
      </c>
      <c r="E2527" s="110">
        <v>655862</v>
      </c>
      <c r="F2527" s="110">
        <v>656012</v>
      </c>
      <c r="G2527" s="110">
        <v>656012</v>
      </c>
      <c r="I2527" s="110">
        <v>1002.64</v>
      </c>
      <c r="J2527" s="110">
        <v>1626.33</v>
      </c>
      <c r="K2527" s="110">
        <v>2013.63</v>
      </c>
      <c r="L2527" s="110">
        <v>2089.3200000000002</v>
      </c>
    </row>
    <row r="2528" spans="1:12" x14ac:dyDescent="0.2">
      <c r="A2528" t="s">
        <v>64</v>
      </c>
      <c r="B2528" t="s">
        <v>140</v>
      </c>
      <c r="C2528" t="s">
        <v>221</v>
      </c>
      <c r="D2528" s="110">
        <v>316467.88</v>
      </c>
      <c r="E2528" s="110">
        <v>316467.88</v>
      </c>
      <c r="F2528" s="110">
        <v>316517.88</v>
      </c>
      <c r="I2528" s="110">
        <v>12342</v>
      </c>
      <c r="J2528" s="110">
        <v>12653.33</v>
      </c>
      <c r="K2528" s="110">
        <v>12772.87</v>
      </c>
    </row>
    <row r="2529" spans="1:12" x14ac:dyDescent="0.2">
      <c r="A2529" t="s">
        <v>64</v>
      </c>
      <c r="B2529" t="s">
        <v>140</v>
      </c>
      <c r="C2529" t="s">
        <v>222</v>
      </c>
      <c r="D2529" s="110">
        <v>232382</v>
      </c>
      <c r="E2529" s="110">
        <v>232332</v>
      </c>
      <c r="I2529" s="110">
        <v>42</v>
      </c>
      <c r="J2529" s="110">
        <v>497.09</v>
      </c>
    </row>
    <row r="2530" spans="1:12" x14ac:dyDescent="0.2">
      <c r="A2530" t="s">
        <v>64</v>
      </c>
      <c r="B2530" t="s">
        <v>140</v>
      </c>
      <c r="C2530" t="s">
        <v>223</v>
      </c>
      <c r="D2530" s="110">
        <v>279241.11</v>
      </c>
      <c r="I2530" s="110">
        <v>0</v>
      </c>
    </row>
    <row r="2531" spans="1:12" x14ac:dyDescent="0.2">
      <c r="A2531" t="s">
        <v>64</v>
      </c>
      <c r="B2531" t="s">
        <v>105</v>
      </c>
      <c r="C2531" t="s">
        <v>220</v>
      </c>
      <c r="D2531" s="110">
        <v>731414.82</v>
      </c>
      <c r="E2531" s="110">
        <v>719387.22</v>
      </c>
      <c r="F2531" s="110">
        <v>715175.21</v>
      </c>
      <c r="G2531" s="110">
        <v>713949.71</v>
      </c>
      <c r="I2531" s="110">
        <v>115186.54</v>
      </c>
      <c r="J2531" s="110">
        <v>176501.45</v>
      </c>
      <c r="K2531" s="110">
        <v>208529.48</v>
      </c>
      <c r="L2531" s="110">
        <v>224944.76</v>
      </c>
    </row>
    <row r="2532" spans="1:12" x14ac:dyDescent="0.2">
      <c r="A2532" t="s">
        <v>64</v>
      </c>
      <c r="B2532" t="s">
        <v>105</v>
      </c>
      <c r="C2532" t="s">
        <v>221</v>
      </c>
      <c r="D2532" s="110">
        <v>747564.68</v>
      </c>
      <c r="E2532" s="110">
        <v>735213.16</v>
      </c>
      <c r="F2532" s="110">
        <v>730795.16</v>
      </c>
      <c r="I2532" s="110">
        <v>163956.92000000001</v>
      </c>
      <c r="J2532" s="110">
        <v>219416.26</v>
      </c>
      <c r="K2532" s="110">
        <v>242809.49</v>
      </c>
    </row>
    <row r="2533" spans="1:12" x14ac:dyDescent="0.2">
      <c r="A2533" t="s">
        <v>64</v>
      </c>
      <c r="B2533" t="s">
        <v>105</v>
      </c>
      <c r="C2533" t="s">
        <v>222</v>
      </c>
      <c r="D2533" s="110">
        <v>807237.77</v>
      </c>
      <c r="E2533" s="110">
        <v>795932.77</v>
      </c>
      <c r="I2533" s="110">
        <v>201760.07</v>
      </c>
      <c r="J2533" s="110">
        <v>248922.87</v>
      </c>
    </row>
    <row r="2534" spans="1:12" x14ac:dyDescent="0.2">
      <c r="A2534" t="s">
        <v>64</v>
      </c>
      <c r="B2534" t="s">
        <v>105</v>
      </c>
      <c r="C2534" t="s">
        <v>223</v>
      </c>
      <c r="D2534" s="110">
        <v>566954.86</v>
      </c>
      <c r="I2534" s="110">
        <v>118715.75</v>
      </c>
    </row>
    <row r="2535" spans="1:12" x14ac:dyDescent="0.2">
      <c r="A2535" t="s">
        <v>64</v>
      </c>
      <c r="B2535" t="s">
        <v>111</v>
      </c>
      <c r="C2535" t="s">
        <v>220</v>
      </c>
      <c r="D2535" s="110">
        <v>32125</v>
      </c>
      <c r="E2535" s="110">
        <v>31607</v>
      </c>
      <c r="F2535" s="110">
        <v>31557</v>
      </c>
      <c r="G2535" s="110">
        <v>31557</v>
      </c>
      <c r="I2535" s="110">
        <v>900</v>
      </c>
      <c r="J2535" s="110">
        <v>2071</v>
      </c>
      <c r="K2535" s="110">
        <v>2580</v>
      </c>
      <c r="L2535" s="110">
        <v>2880</v>
      </c>
    </row>
    <row r="2536" spans="1:12" x14ac:dyDescent="0.2">
      <c r="A2536" t="s">
        <v>64</v>
      </c>
      <c r="B2536" t="s">
        <v>111</v>
      </c>
      <c r="C2536" t="s">
        <v>221</v>
      </c>
      <c r="D2536" s="110">
        <v>37584.5</v>
      </c>
      <c r="E2536" s="110">
        <v>37484.5</v>
      </c>
      <c r="F2536" s="110">
        <v>37484.5</v>
      </c>
      <c r="I2536" s="110">
        <v>1928.5</v>
      </c>
      <c r="J2536" s="110">
        <v>2321.5</v>
      </c>
      <c r="K2536" s="110">
        <v>3508.5</v>
      </c>
    </row>
    <row r="2537" spans="1:12" x14ac:dyDescent="0.2">
      <c r="A2537" t="s">
        <v>64</v>
      </c>
      <c r="B2537" t="s">
        <v>111</v>
      </c>
      <c r="C2537" t="s">
        <v>222</v>
      </c>
      <c r="D2537" s="110">
        <v>26790</v>
      </c>
      <c r="E2537" s="110">
        <v>26440</v>
      </c>
      <c r="I2537" s="110">
        <v>1412</v>
      </c>
      <c r="J2537" s="110">
        <v>2367</v>
      </c>
    </row>
    <row r="2538" spans="1:12" x14ac:dyDescent="0.2">
      <c r="A2538" t="s">
        <v>64</v>
      </c>
      <c r="B2538" t="s">
        <v>111</v>
      </c>
      <c r="C2538" t="s">
        <v>223</v>
      </c>
      <c r="D2538" s="110">
        <v>34871</v>
      </c>
      <c r="I2538" s="110">
        <v>1065</v>
      </c>
    </row>
    <row r="2539" spans="1:12" x14ac:dyDescent="0.2">
      <c r="A2539" t="s">
        <v>64</v>
      </c>
      <c r="B2539" t="s">
        <v>109</v>
      </c>
      <c r="C2539" t="s">
        <v>220</v>
      </c>
      <c r="D2539" s="110">
        <v>585059.71</v>
      </c>
      <c r="E2539" s="110">
        <v>467227.94</v>
      </c>
      <c r="F2539" s="110">
        <v>444182.94</v>
      </c>
      <c r="G2539" s="110">
        <v>434456.94</v>
      </c>
      <c r="I2539" s="110">
        <v>105313.34</v>
      </c>
      <c r="J2539" s="110">
        <v>179871.2</v>
      </c>
      <c r="K2539" s="110">
        <v>221135.26</v>
      </c>
      <c r="L2539" s="110">
        <v>246593.56</v>
      </c>
    </row>
    <row r="2540" spans="1:12" x14ac:dyDescent="0.2">
      <c r="A2540" t="s">
        <v>64</v>
      </c>
      <c r="B2540" t="s">
        <v>109</v>
      </c>
      <c r="C2540" t="s">
        <v>221</v>
      </c>
      <c r="D2540" s="110">
        <v>689283.9</v>
      </c>
      <c r="E2540" s="110">
        <v>552939</v>
      </c>
      <c r="F2540" s="110">
        <v>515974.5</v>
      </c>
      <c r="I2540" s="110">
        <v>126904.6</v>
      </c>
      <c r="J2540" s="110">
        <v>206786.88</v>
      </c>
      <c r="K2540" s="110">
        <v>277964.53000000003</v>
      </c>
    </row>
    <row r="2541" spans="1:12" x14ac:dyDescent="0.2">
      <c r="A2541" t="s">
        <v>64</v>
      </c>
      <c r="B2541" t="s">
        <v>109</v>
      </c>
      <c r="C2541" t="s">
        <v>222</v>
      </c>
      <c r="D2541" s="110">
        <v>717900.55</v>
      </c>
      <c r="E2541" s="110">
        <v>558794.85</v>
      </c>
      <c r="I2541" s="110">
        <v>129496.09</v>
      </c>
      <c r="J2541" s="110">
        <v>216838.52</v>
      </c>
    </row>
    <row r="2542" spans="1:12" x14ac:dyDescent="0.2">
      <c r="A2542" t="s">
        <v>64</v>
      </c>
      <c r="B2542" t="s">
        <v>109</v>
      </c>
      <c r="C2542" t="s">
        <v>223</v>
      </c>
      <c r="D2542" s="110">
        <v>722510.19</v>
      </c>
      <c r="I2542" s="110">
        <v>217402.52</v>
      </c>
    </row>
    <row r="2543" spans="1:12" x14ac:dyDescent="0.2">
      <c r="A2543" t="s">
        <v>64</v>
      </c>
      <c r="B2543" t="s">
        <v>106</v>
      </c>
      <c r="C2543" t="s">
        <v>220</v>
      </c>
      <c r="D2543" s="110">
        <v>803558.39</v>
      </c>
      <c r="E2543" s="110">
        <v>800834.98</v>
      </c>
      <c r="F2543" s="110">
        <v>797039.98</v>
      </c>
      <c r="G2543" s="110">
        <v>795224.98</v>
      </c>
      <c r="I2543" s="110">
        <v>769479.3</v>
      </c>
      <c r="J2543" s="110">
        <v>793586.89</v>
      </c>
      <c r="K2543" s="110">
        <v>790751.89</v>
      </c>
      <c r="L2543" s="110">
        <v>789536.89</v>
      </c>
    </row>
    <row r="2544" spans="1:12" x14ac:dyDescent="0.2">
      <c r="A2544" t="s">
        <v>64</v>
      </c>
      <c r="B2544" t="s">
        <v>106</v>
      </c>
      <c r="C2544" t="s">
        <v>221</v>
      </c>
      <c r="D2544" s="110">
        <v>937568.92</v>
      </c>
      <c r="E2544" s="110">
        <v>933739.88</v>
      </c>
      <c r="F2544" s="110">
        <v>931827.38</v>
      </c>
      <c r="I2544" s="110">
        <v>873027.38</v>
      </c>
      <c r="J2544" s="110">
        <v>925364.88</v>
      </c>
      <c r="K2544" s="110">
        <v>925482.38</v>
      </c>
    </row>
    <row r="2545" spans="1:12" x14ac:dyDescent="0.2">
      <c r="A2545" t="s">
        <v>64</v>
      </c>
      <c r="B2545" t="s">
        <v>106</v>
      </c>
      <c r="C2545" t="s">
        <v>222</v>
      </c>
      <c r="D2545" s="110">
        <v>866210.18</v>
      </c>
      <c r="E2545" s="110">
        <v>861895.18</v>
      </c>
      <c r="I2545" s="110">
        <v>814918.76</v>
      </c>
      <c r="J2545" s="110">
        <v>856381.18</v>
      </c>
    </row>
    <row r="2546" spans="1:12" x14ac:dyDescent="0.2">
      <c r="A2546" t="s">
        <v>64</v>
      </c>
      <c r="B2546" t="s">
        <v>106</v>
      </c>
      <c r="C2546" t="s">
        <v>223</v>
      </c>
      <c r="D2546" s="110">
        <v>792025.73</v>
      </c>
      <c r="I2546" s="110">
        <v>749008.07</v>
      </c>
    </row>
    <row r="2547" spans="1:12" x14ac:dyDescent="0.2">
      <c r="A2547" t="s">
        <v>64</v>
      </c>
      <c r="B2547" t="s">
        <v>107</v>
      </c>
      <c r="C2547" t="s">
        <v>220</v>
      </c>
      <c r="D2547" s="110">
        <v>757808.91</v>
      </c>
      <c r="E2547" s="110">
        <v>757376.91</v>
      </c>
      <c r="F2547" s="110">
        <v>757366.91</v>
      </c>
      <c r="G2547" s="110">
        <v>757281.91</v>
      </c>
      <c r="I2547" s="110">
        <v>727249.66</v>
      </c>
      <c r="J2547" s="110">
        <v>754841.61</v>
      </c>
      <c r="K2547" s="110">
        <v>754841.61</v>
      </c>
      <c r="L2547" s="110">
        <v>754851.61</v>
      </c>
    </row>
    <row r="2548" spans="1:12" x14ac:dyDescent="0.2">
      <c r="A2548" t="s">
        <v>64</v>
      </c>
      <c r="B2548" t="s">
        <v>107</v>
      </c>
      <c r="C2548" t="s">
        <v>221</v>
      </c>
      <c r="D2548" s="110">
        <v>795811.03</v>
      </c>
      <c r="E2548" s="110">
        <v>794464.03</v>
      </c>
      <c r="F2548" s="110">
        <v>793899.03</v>
      </c>
      <c r="I2548" s="110">
        <v>763669.03</v>
      </c>
      <c r="J2548" s="110">
        <v>791773.03</v>
      </c>
      <c r="K2548" s="110">
        <v>792028.03</v>
      </c>
    </row>
    <row r="2549" spans="1:12" x14ac:dyDescent="0.2">
      <c r="A2549" t="s">
        <v>64</v>
      </c>
      <c r="B2549" t="s">
        <v>107</v>
      </c>
      <c r="C2549" t="s">
        <v>222</v>
      </c>
      <c r="D2549" s="110">
        <v>795108.44</v>
      </c>
      <c r="E2549" s="110">
        <v>792880.14</v>
      </c>
      <c r="I2549" s="110">
        <v>759452.94</v>
      </c>
      <c r="J2549" s="110">
        <v>790221.44</v>
      </c>
    </row>
    <row r="2550" spans="1:12" x14ac:dyDescent="0.2">
      <c r="A2550" t="s">
        <v>64</v>
      </c>
      <c r="B2550" t="s">
        <v>107</v>
      </c>
      <c r="C2550" t="s">
        <v>223</v>
      </c>
      <c r="D2550" s="110">
        <v>913939.16</v>
      </c>
      <c r="I2550" s="110">
        <v>860093.41</v>
      </c>
    </row>
    <row r="2551" spans="1:12" x14ac:dyDescent="0.2">
      <c r="A2551" t="s">
        <v>64</v>
      </c>
      <c r="B2551" t="s">
        <v>108</v>
      </c>
      <c r="C2551" t="s">
        <v>220</v>
      </c>
      <c r="D2551" s="110">
        <v>226824.95999999999</v>
      </c>
      <c r="E2551" s="110">
        <v>225092.96</v>
      </c>
      <c r="F2551" s="110">
        <v>224747.96</v>
      </c>
      <c r="G2551" s="110">
        <v>224747.96</v>
      </c>
      <c r="I2551" s="110">
        <v>218888.95999999999</v>
      </c>
      <c r="J2551" s="110">
        <v>223051.96</v>
      </c>
      <c r="K2551" s="110">
        <v>222706.96</v>
      </c>
      <c r="L2551" s="110">
        <v>222742.96</v>
      </c>
    </row>
    <row r="2552" spans="1:12" x14ac:dyDescent="0.2">
      <c r="A2552" t="s">
        <v>64</v>
      </c>
      <c r="B2552" t="s">
        <v>108</v>
      </c>
      <c r="C2552" t="s">
        <v>221</v>
      </c>
      <c r="D2552" s="110">
        <v>258114.19</v>
      </c>
      <c r="E2552" s="110">
        <v>256595.19</v>
      </c>
      <c r="F2552" s="110">
        <v>256250.19</v>
      </c>
      <c r="I2552" s="110">
        <v>240706.19</v>
      </c>
      <c r="J2552" s="110">
        <v>254219.19</v>
      </c>
      <c r="K2552" s="110">
        <v>254043.19</v>
      </c>
    </row>
    <row r="2553" spans="1:12" x14ac:dyDescent="0.2">
      <c r="A2553" t="s">
        <v>64</v>
      </c>
      <c r="B2553" t="s">
        <v>108</v>
      </c>
      <c r="C2553" t="s">
        <v>222</v>
      </c>
      <c r="D2553" s="110">
        <v>248123.97</v>
      </c>
      <c r="E2553" s="110">
        <v>247803.97</v>
      </c>
      <c r="I2553" s="110">
        <v>235394.47</v>
      </c>
      <c r="J2553" s="110">
        <v>245013.47</v>
      </c>
    </row>
    <row r="2554" spans="1:12" x14ac:dyDescent="0.2">
      <c r="A2554" t="s">
        <v>64</v>
      </c>
      <c r="B2554" t="s">
        <v>108</v>
      </c>
      <c r="C2554" t="s">
        <v>223</v>
      </c>
      <c r="D2554" s="110">
        <v>232959.18</v>
      </c>
      <c r="I2554" s="110">
        <v>221412.18</v>
      </c>
    </row>
    <row r="2555" spans="1:12" x14ac:dyDescent="0.2">
      <c r="A2555" t="s">
        <v>64</v>
      </c>
      <c r="B2555" t="s">
        <v>70</v>
      </c>
      <c r="C2555" t="s">
        <v>220</v>
      </c>
      <c r="D2555" s="110">
        <v>224923.06</v>
      </c>
      <c r="E2555" s="110">
        <v>221696.06</v>
      </c>
      <c r="F2555" s="110">
        <v>221646.06</v>
      </c>
      <c r="G2555" s="110">
        <v>221596.06</v>
      </c>
      <c r="I2555" s="110">
        <v>204604.73</v>
      </c>
      <c r="J2555" s="110">
        <v>213057.73</v>
      </c>
      <c r="K2555" s="110">
        <v>213844.23</v>
      </c>
      <c r="L2555" s="110">
        <v>213945.23</v>
      </c>
    </row>
    <row r="2556" spans="1:12" x14ac:dyDescent="0.2">
      <c r="A2556" t="s">
        <v>64</v>
      </c>
      <c r="B2556" t="s">
        <v>70</v>
      </c>
      <c r="C2556" t="s">
        <v>221</v>
      </c>
      <c r="D2556" s="110">
        <v>247696.95</v>
      </c>
      <c r="E2556" s="110">
        <v>244121.45</v>
      </c>
      <c r="F2556" s="110">
        <v>243826.45</v>
      </c>
      <c r="I2556" s="110">
        <v>228096.75</v>
      </c>
      <c r="J2556" s="110">
        <v>235665.75</v>
      </c>
      <c r="K2556" s="110">
        <v>235917.25</v>
      </c>
    </row>
    <row r="2557" spans="1:12" x14ac:dyDescent="0.2">
      <c r="A2557" t="s">
        <v>64</v>
      </c>
      <c r="B2557" t="s">
        <v>70</v>
      </c>
      <c r="C2557" t="s">
        <v>222</v>
      </c>
      <c r="D2557" s="110">
        <v>262246.2</v>
      </c>
      <c r="E2557" s="110">
        <v>261704.2</v>
      </c>
      <c r="I2557" s="110">
        <v>246796.7</v>
      </c>
      <c r="J2557" s="110">
        <v>253066.2</v>
      </c>
    </row>
    <row r="2558" spans="1:12" x14ac:dyDescent="0.2">
      <c r="A2558" t="s">
        <v>64</v>
      </c>
      <c r="B2558" t="s">
        <v>70</v>
      </c>
      <c r="C2558" t="s">
        <v>223</v>
      </c>
      <c r="D2558" s="110">
        <v>256779.5</v>
      </c>
      <c r="I2558" s="110">
        <v>236568</v>
      </c>
    </row>
    <row r="2559" spans="1:12" x14ac:dyDescent="0.2">
      <c r="A2559" t="s">
        <v>64</v>
      </c>
      <c r="B2559" t="s">
        <v>110</v>
      </c>
      <c r="C2559" t="s">
        <v>220</v>
      </c>
      <c r="D2559" s="110">
        <v>1848257.5</v>
      </c>
      <c r="E2559" s="110">
        <v>1568284.75</v>
      </c>
      <c r="F2559" s="110">
        <v>1555922.45</v>
      </c>
      <c r="G2559" s="110">
        <v>1552569.45</v>
      </c>
      <c r="I2559" s="110">
        <v>800403.75</v>
      </c>
      <c r="J2559" s="110">
        <v>1262761.93</v>
      </c>
      <c r="K2559" s="110">
        <v>1393509.92</v>
      </c>
      <c r="L2559" s="110">
        <v>1423190.28</v>
      </c>
    </row>
    <row r="2560" spans="1:12" x14ac:dyDescent="0.2">
      <c r="A2560" t="s">
        <v>64</v>
      </c>
      <c r="B2560" t="s">
        <v>110</v>
      </c>
      <c r="C2560" t="s">
        <v>221</v>
      </c>
      <c r="D2560" s="110">
        <v>1853038.5</v>
      </c>
      <c r="E2560" s="110">
        <v>1577393.4</v>
      </c>
      <c r="F2560" s="110">
        <v>1563146.2</v>
      </c>
      <c r="I2560" s="110">
        <v>939622.1</v>
      </c>
      <c r="J2560" s="110">
        <v>1304635.32</v>
      </c>
      <c r="K2560" s="110">
        <v>1416184.07</v>
      </c>
    </row>
    <row r="2561" spans="1:12" x14ac:dyDescent="0.2">
      <c r="A2561" t="s">
        <v>64</v>
      </c>
      <c r="B2561" t="s">
        <v>110</v>
      </c>
      <c r="C2561" t="s">
        <v>222</v>
      </c>
      <c r="D2561" s="110">
        <v>2526688.1</v>
      </c>
      <c r="E2561" s="110">
        <v>2173540.5</v>
      </c>
      <c r="I2561" s="110">
        <v>1187410.81</v>
      </c>
      <c r="J2561" s="110">
        <v>1716547.65</v>
      </c>
    </row>
    <row r="2562" spans="1:12" x14ac:dyDescent="0.2">
      <c r="A2562" t="s">
        <v>64</v>
      </c>
      <c r="B2562" t="s">
        <v>110</v>
      </c>
      <c r="C2562" t="s">
        <v>223</v>
      </c>
      <c r="D2562" s="110">
        <v>4670174.5999999996</v>
      </c>
      <c r="I2562" s="110">
        <v>2721403.7</v>
      </c>
    </row>
    <row r="2563" spans="1:12" x14ac:dyDescent="0.2">
      <c r="A2563" t="s">
        <v>65</v>
      </c>
      <c r="B2563" t="s">
        <v>104</v>
      </c>
      <c r="C2563" t="s">
        <v>220</v>
      </c>
      <c r="D2563" s="110">
        <v>151699</v>
      </c>
      <c r="E2563" s="110">
        <v>151699</v>
      </c>
      <c r="F2563" s="110">
        <v>151614.39999999999</v>
      </c>
      <c r="G2563" s="110">
        <v>150329</v>
      </c>
      <c r="I2563" s="110">
        <v>4115</v>
      </c>
      <c r="J2563" s="110">
        <v>9623</v>
      </c>
      <c r="K2563" s="110">
        <v>12549</v>
      </c>
      <c r="L2563" s="110">
        <v>16579.39</v>
      </c>
    </row>
    <row r="2564" spans="1:12" x14ac:dyDescent="0.2">
      <c r="A2564" t="s">
        <v>65</v>
      </c>
      <c r="B2564" t="s">
        <v>104</v>
      </c>
      <c r="C2564" t="s">
        <v>221</v>
      </c>
      <c r="D2564" s="110">
        <v>106899.75</v>
      </c>
      <c r="E2564" s="110">
        <v>106899.75</v>
      </c>
      <c r="F2564" s="110">
        <v>106649.75</v>
      </c>
      <c r="I2564" s="110">
        <v>1885.5</v>
      </c>
      <c r="J2564" s="110">
        <v>7697.5</v>
      </c>
      <c r="K2564" s="110">
        <v>11268.5</v>
      </c>
    </row>
    <row r="2565" spans="1:12" x14ac:dyDescent="0.2">
      <c r="A2565" t="s">
        <v>65</v>
      </c>
      <c r="B2565" t="s">
        <v>104</v>
      </c>
      <c r="C2565" t="s">
        <v>222</v>
      </c>
      <c r="D2565" s="110">
        <v>94854.02</v>
      </c>
      <c r="E2565" s="110">
        <v>94854.02</v>
      </c>
      <c r="I2565" s="110">
        <v>5092.0200000000004</v>
      </c>
      <c r="J2565" s="110">
        <v>10962.02</v>
      </c>
    </row>
    <row r="2566" spans="1:12" x14ac:dyDescent="0.2">
      <c r="A2566" t="s">
        <v>65</v>
      </c>
      <c r="B2566" t="s">
        <v>104</v>
      </c>
      <c r="C2566" t="s">
        <v>223</v>
      </c>
      <c r="D2566" s="110">
        <v>90019</v>
      </c>
      <c r="I2566" s="110">
        <v>1854</v>
      </c>
    </row>
    <row r="2567" spans="1:12" x14ac:dyDescent="0.2">
      <c r="A2567" t="s">
        <v>65</v>
      </c>
      <c r="B2567" t="s">
        <v>140</v>
      </c>
      <c r="C2567" t="s">
        <v>220</v>
      </c>
      <c r="D2567" s="110">
        <v>2765</v>
      </c>
      <c r="E2567" s="110">
        <v>2765</v>
      </c>
      <c r="F2567" s="110">
        <v>2765</v>
      </c>
      <c r="G2567" s="110">
        <v>2765</v>
      </c>
      <c r="I2567" s="110">
        <v>0</v>
      </c>
      <c r="J2567" s="110">
        <v>0</v>
      </c>
      <c r="K2567" s="110">
        <v>0</v>
      </c>
      <c r="L2567" s="110">
        <v>0</v>
      </c>
    </row>
    <row r="2568" spans="1:12" x14ac:dyDescent="0.2">
      <c r="A2568" t="s">
        <v>65</v>
      </c>
      <c r="B2568" t="s">
        <v>140</v>
      </c>
      <c r="C2568" t="s">
        <v>221</v>
      </c>
      <c r="D2568" s="110">
        <v>0</v>
      </c>
      <c r="E2568" s="110">
        <v>0</v>
      </c>
      <c r="F2568" s="110">
        <v>0</v>
      </c>
      <c r="I2568" s="110">
        <v>0</v>
      </c>
      <c r="J2568" s="110">
        <v>0</v>
      </c>
      <c r="K2568" s="110">
        <v>0</v>
      </c>
    </row>
    <row r="2569" spans="1:12" x14ac:dyDescent="0.2">
      <c r="A2569" t="s">
        <v>65</v>
      </c>
      <c r="B2569" t="s">
        <v>140</v>
      </c>
      <c r="C2569" t="s">
        <v>222</v>
      </c>
      <c r="D2569" s="110">
        <v>0</v>
      </c>
      <c r="E2569" s="110">
        <v>0</v>
      </c>
      <c r="I2569" s="110">
        <v>0</v>
      </c>
      <c r="J2569" s="110">
        <v>0</v>
      </c>
    </row>
    <row r="2570" spans="1:12" x14ac:dyDescent="0.2">
      <c r="A2570" t="s">
        <v>65</v>
      </c>
      <c r="B2570" t="s">
        <v>140</v>
      </c>
      <c r="C2570" t="s">
        <v>223</v>
      </c>
      <c r="D2570" s="110">
        <v>0</v>
      </c>
      <c r="I2570" s="110">
        <v>0</v>
      </c>
    </row>
    <row r="2571" spans="1:12" x14ac:dyDescent="0.2">
      <c r="A2571" t="s">
        <v>65</v>
      </c>
      <c r="B2571" t="s">
        <v>105</v>
      </c>
      <c r="C2571" t="s">
        <v>220</v>
      </c>
      <c r="D2571" s="110">
        <v>18255.75</v>
      </c>
      <c r="E2571" s="110">
        <v>18205.75</v>
      </c>
      <c r="F2571" s="110">
        <v>18105.75</v>
      </c>
      <c r="G2571" s="110">
        <v>18105.75</v>
      </c>
      <c r="I2571" s="110">
        <v>3296.75</v>
      </c>
      <c r="J2571" s="110">
        <v>5475.73</v>
      </c>
      <c r="K2571" s="110">
        <v>7153.75</v>
      </c>
      <c r="L2571" s="110">
        <v>7693.75</v>
      </c>
    </row>
    <row r="2572" spans="1:12" x14ac:dyDescent="0.2">
      <c r="A2572" t="s">
        <v>65</v>
      </c>
      <c r="B2572" t="s">
        <v>105</v>
      </c>
      <c r="C2572" t="s">
        <v>221</v>
      </c>
      <c r="D2572" s="110">
        <v>22522.400000000001</v>
      </c>
      <c r="E2572" s="110">
        <v>22137.8</v>
      </c>
      <c r="F2572" s="110">
        <v>21893.22</v>
      </c>
      <c r="I2572" s="110">
        <v>4254.3999999999996</v>
      </c>
      <c r="J2572" s="110">
        <v>6334.84</v>
      </c>
      <c r="K2572" s="110">
        <v>8238.4</v>
      </c>
    </row>
    <row r="2573" spans="1:12" x14ac:dyDescent="0.2">
      <c r="A2573" t="s">
        <v>65</v>
      </c>
      <c r="B2573" t="s">
        <v>105</v>
      </c>
      <c r="C2573" t="s">
        <v>222</v>
      </c>
      <c r="D2573" s="110">
        <v>31385.96</v>
      </c>
      <c r="E2573" s="110">
        <v>30450.959999999999</v>
      </c>
      <c r="I2573" s="110">
        <v>7343.73</v>
      </c>
      <c r="J2573" s="110">
        <v>10764.16</v>
      </c>
    </row>
    <row r="2574" spans="1:12" x14ac:dyDescent="0.2">
      <c r="A2574" t="s">
        <v>65</v>
      </c>
      <c r="B2574" t="s">
        <v>105</v>
      </c>
      <c r="C2574" t="s">
        <v>223</v>
      </c>
      <c r="D2574" s="110">
        <v>31557.35</v>
      </c>
      <c r="I2574" s="110">
        <v>6370.76</v>
      </c>
    </row>
    <row r="2575" spans="1:12" x14ac:dyDescent="0.2">
      <c r="A2575" t="s">
        <v>65</v>
      </c>
      <c r="B2575" t="s">
        <v>111</v>
      </c>
      <c r="C2575" t="s">
        <v>220</v>
      </c>
      <c r="D2575" s="110">
        <v>570</v>
      </c>
      <c r="E2575" s="110">
        <v>250</v>
      </c>
      <c r="F2575" s="110">
        <v>200</v>
      </c>
      <c r="G2575" s="110">
        <v>200</v>
      </c>
      <c r="I2575" s="110">
        <v>0</v>
      </c>
      <c r="J2575" s="110">
        <v>50</v>
      </c>
      <c r="K2575" s="110">
        <v>50</v>
      </c>
      <c r="L2575" s="110">
        <v>50</v>
      </c>
    </row>
    <row r="2576" spans="1:12" x14ac:dyDescent="0.2">
      <c r="A2576" t="s">
        <v>65</v>
      </c>
      <c r="B2576" t="s">
        <v>111</v>
      </c>
      <c r="C2576" t="s">
        <v>221</v>
      </c>
      <c r="D2576" s="110">
        <v>3125.4</v>
      </c>
      <c r="E2576" s="110">
        <v>2910</v>
      </c>
      <c r="F2576" s="110">
        <v>2910</v>
      </c>
      <c r="I2576" s="110">
        <v>195</v>
      </c>
      <c r="J2576" s="110">
        <v>195</v>
      </c>
      <c r="K2576" s="110">
        <v>195</v>
      </c>
    </row>
    <row r="2577" spans="1:12" x14ac:dyDescent="0.2">
      <c r="A2577" t="s">
        <v>65</v>
      </c>
      <c r="B2577" t="s">
        <v>111</v>
      </c>
      <c r="C2577" t="s">
        <v>222</v>
      </c>
      <c r="D2577" s="110">
        <v>850</v>
      </c>
      <c r="E2577" s="110">
        <v>800</v>
      </c>
      <c r="I2577" s="110">
        <v>200</v>
      </c>
      <c r="J2577" s="110">
        <v>200</v>
      </c>
    </row>
    <row r="2578" spans="1:12" x14ac:dyDescent="0.2">
      <c r="A2578" t="s">
        <v>65</v>
      </c>
      <c r="B2578" t="s">
        <v>111</v>
      </c>
      <c r="C2578" t="s">
        <v>223</v>
      </c>
      <c r="D2578" s="110">
        <v>3044</v>
      </c>
      <c r="I2578" s="110">
        <v>0</v>
      </c>
    </row>
    <row r="2579" spans="1:12" x14ac:dyDescent="0.2">
      <c r="A2579" t="s">
        <v>65</v>
      </c>
      <c r="B2579" t="s">
        <v>109</v>
      </c>
      <c r="C2579" t="s">
        <v>220</v>
      </c>
      <c r="D2579" s="110">
        <v>17818.25</v>
      </c>
      <c r="E2579" s="110">
        <v>17790</v>
      </c>
      <c r="F2579" s="110">
        <v>17790</v>
      </c>
      <c r="G2579" s="110">
        <v>17790</v>
      </c>
      <c r="I2579" s="110">
        <v>2100.5</v>
      </c>
      <c r="J2579" s="110">
        <v>3888.5</v>
      </c>
      <c r="K2579" s="110">
        <v>6293.5</v>
      </c>
      <c r="L2579" s="110">
        <v>6998.5</v>
      </c>
    </row>
    <row r="2580" spans="1:12" x14ac:dyDescent="0.2">
      <c r="A2580" t="s">
        <v>65</v>
      </c>
      <c r="B2580" t="s">
        <v>109</v>
      </c>
      <c r="C2580" t="s">
        <v>221</v>
      </c>
      <c r="D2580" s="110">
        <v>19388</v>
      </c>
      <c r="E2580" s="110">
        <v>19338</v>
      </c>
      <c r="F2580" s="110">
        <v>19338</v>
      </c>
      <c r="I2580" s="110">
        <v>759</v>
      </c>
      <c r="J2580" s="110">
        <v>2749</v>
      </c>
      <c r="K2580" s="110">
        <v>3909</v>
      </c>
    </row>
    <row r="2581" spans="1:12" x14ac:dyDescent="0.2">
      <c r="A2581" t="s">
        <v>65</v>
      </c>
      <c r="B2581" t="s">
        <v>109</v>
      </c>
      <c r="C2581" t="s">
        <v>222</v>
      </c>
      <c r="D2581" s="110">
        <v>15558</v>
      </c>
      <c r="E2581" s="110">
        <v>15358</v>
      </c>
      <c r="I2581" s="110">
        <v>1855</v>
      </c>
      <c r="J2581" s="110">
        <v>3400</v>
      </c>
    </row>
    <row r="2582" spans="1:12" x14ac:dyDescent="0.2">
      <c r="A2582" t="s">
        <v>65</v>
      </c>
      <c r="B2582" t="s">
        <v>109</v>
      </c>
      <c r="C2582" t="s">
        <v>223</v>
      </c>
      <c r="D2582" s="110">
        <v>18148.5</v>
      </c>
      <c r="I2582" s="110">
        <v>2298.5</v>
      </c>
    </row>
    <row r="2583" spans="1:12" x14ac:dyDescent="0.2">
      <c r="A2583" t="s">
        <v>65</v>
      </c>
      <c r="B2583" t="s">
        <v>106</v>
      </c>
      <c r="C2583" t="s">
        <v>220</v>
      </c>
      <c r="D2583" s="110">
        <v>24186.799999999999</v>
      </c>
      <c r="E2583" s="110">
        <v>24186.799999999999</v>
      </c>
      <c r="F2583" s="110">
        <v>24186.799999999999</v>
      </c>
      <c r="G2583" s="110">
        <v>24186.799999999999</v>
      </c>
      <c r="I2583" s="110">
        <v>24186.799999999999</v>
      </c>
      <c r="J2583" s="110">
        <v>24186.799999999999</v>
      </c>
      <c r="K2583" s="110">
        <v>24186.799999999999</v>
      </c>
      <c r="L2583" s="110">
        <v>24186.799999999999</v>
      </c>
    </row>
    <row r="2584" spans="1:12" x14ac:dyDescent="0.2">
      <c r="A2584" t="s">
        <v>65</v>
      </c>
      <c r="B2584" t="s">
        <v>106</v>
      </c>
      <c r="C2584" t="s">
        <v>221</v>
      </c>
      <c r="D2584" s="110">
        <v>37113.97</v>
      </c>
      <c r="E2584" s="110">
        <v>37113.97</v>
      </c>
      <c r="F2584" s="110">
        <v>37113.97</v>
      </c>
      <c r="I2584" s="110">
        <v>36276.97</v>
      </c>
      <c r="J2584" s="110">
        <v>37113.97</v>
      </c>
      <c r="K2584" s="110">
        <v>37113.97</v>
      </c>
    </row>
    <row r="2585" spans="1:12" x14ac:dyDescent="0.2">
      <c r="A2585" t="s">
        <v>65</v>
      </c>
      <c r="B2585" t="s">
        <v>106</v>
      </c>
      <c r="C2585" t="s">
        <v>222</v>
      </c>
      <c r="D2585" s="110">
        <v>52111</v>
      </c>
      <c r="E2585" s="110">
        <v>52111</v>
      </c>
      <c r="I2585" s="110">
        <v>50471</v>
      </c>
      <c r="J2585" s="110">
        <v>52111</v>
      </c>
    </row>
    <row r="2586" spans="1:12" x14ac:dyDescent="0.2">
      <c r="A2586" t="s">
        <v>65</v>
      </c>
      <c r="B2586" t="s">
        <v>106</v>
      </c>
      <c r="C2586" t="s">
        <v>223</v>
      </c>
      <c r="D2586" s="110">
        <v>55850</v>
      </c>
      <c r="I2586" s="110">
        <v>54308.5</v>
      </c>
    </row>
    <row r="2587" spans="1:12" x14ac:dyDescent="0.2">
      <c r="A2587" t="s">
        <v>65</v>
      </c>
      <c r="B2587" t="s">
        <v>107</v>
      </c>
      <c r="C2587" t="s">
        <v>220</v>
      </c>
      <c r="D2587" s="110">
        <v>30888.46</v>
      </c>
      <c r="E2587" s="110">
        <v>30588.46</v>
      </c>
      <c r="F2587" s="110">
        <v>30588.46</v>
      </c>
      <c r="G2587" s="110">
        <v>30588.46</v>
      </c>
      <c r="I2587" s="110">
        <v>29963.46</v>
      </c>
      <c r="J2587" s="110">
        <v>29963.46</v>
      </c>
      <c r="K2587" s="110">
        <v>29963.46</v>
      </c>
      <c r="L2587" s="110">
        <v>29963.46</v>
      </c>
    </row>
    <row r="2588" spans="1:12" x14ac:dyDescent="0.2">
      <c r="A2588" t="s">
        <v>65</v>
      </c>
      <c r="B2588" t="s">
        <v>107</v>
      </c>
      <c r="C2588" t="s">
        <v>221</v>
      </c>
      <c r="D2588" s="110">
        <v>38146.800000000003</v>
      </c>
      <c r="E2588" s="110">
        <v>38146.800000000003</v>
      </c>
      <c r="F2588" s="110">
        <v>38146.800000000003</v>
      </c>
      <c r="I2588" s="110">
        <v>36261.800000000003</v>
      </c>
      <c r="J2588" s="110">
        <v>37706.800000000003</v>
      </c>
      <c r="K2588" s="110">
        <v>37876.800000000003</v>
      </c>
    </row>
    <row r="2589" spans="1:12" x14ac:dyDescent="0.2">
      <c r="A2589" t="s">
        <v>65</v>
      </c>
      <c r="B2589" t="s">
        <v>107</v>
      </c>
      <c r="C2589" t="s">
        <v>222</v>
      </c>
      <c r="D2589" s="110">
        <v>37017</v>
      </c>
      <c r="E2589" s="110">
        <v>37329</v>
      </c>
      <c r="I2589" s="110">
        <v>35872</v>
      </c>
      <c r="J2589" s="110">
        <v>36389</v>
      </c>
    </row>
    <row r="2590" spans="1:12" x14ac:dyDescent="0.2">
      <c r="A2590" t="s">
        <v>65</v>
      </c>
      <c r="B2590" t="s">
        <v>107</v>
      </c>
      <c r="C2590" t="s">
        <v>223</v>
      </c>
      <c r="D2590" s="110">
        <v>32781.620000000003</v>
      </c>
      <c r="I2590" s="110">
        <v>32171.62</v>
      </c>
    </row>
    <row r="2591" spans="1:12" x14ac:dyDescent="0.2">
      <c r="A2591" t="s">
        <v>65</v>
      </c>
      <c r="B2591" t="s">
        <v>108</v>
      </c>
      <c r="C2591" t="s">
        <v>220</v>
      </c>
      <c r="D2591" s="110">
        <v>5163</v>
      </c>
      <c r="E2591" s="110">
        <v>5163</v>
      </c>
      <c r="F2591" s="110">
        <v>5163</v>
      </c>
      <c r="G2591" s="110">
        <v>5163</v>
      </c>
      <c r="I2591" s="110">
        <v>5153</v>
      </c>
      <c r="J2591" s="110">
        <v>5153</v>
      </c>
      <c r="K2591" s="110">
        <v>5153</v>
      </c>
      <c r="L2591" s="110">
        <v>5153</v>
      </c>
    </row>
    <row r="2592" spans="1:12" x14ac:dyDescent="0.2">
      <c r="A2592" t="s">
        <v>65</v>
      </c>
      <c r="B2592" t="s">
        <v>108</v>
      </c>
      <c r="C2592" t="s">
        <v>221</v>
      </c>
      <c r="D2592" s="110">
        <v>6296</v>
      </c>
      <c r="E2592" s="110">
        <v>6065</v>
      </c>
      <c r="F2592" s="110">
        <v>6065</v>
      </c>
      <c r="I2592" s="110">
        <v>6065</v>
      </c>
      <c r="J2592" s="110">
        <v>6065</v>
      </c>
      <c r="K2592" s="110">
        <v>6065</v>
      </c>
    </row>
    <row r="2593" spans="1:12" x14ac:dyDescent="0.2">
      <c r="A2593" t="s">
        <v>65</v>
      </c>
      <c r="B2593" t="s">
        <v>108</v>
      </c>
      <c r="C2593" t="s">
        <v>222</v>
      </c>
      <c r="D2593" s="110">
        <v>10989</v>
      </c>
      <c r="E2593" s="110">
        <v>10989</v>
      </c>
      <c r="I2593" s="110">
        <v>10299</v>
      </c>
      <c r="J2593" s="110">
        <v>10299</v>
      </c>
    </row>
    <row r="2594" spans="1:12" x14ac:dyDescent="0.2">
      <c r="A2594" t="s">
        <v>65</v>
      </c>
      <c r="B2594" t="s">
        <v>108</v>
      </c>
      <c r="C2594" t="s">
        <v>223</v>
      </c>
      <c r="D2594" s="110">
        <v>7880</v>
      </c>
      <c r="I2594" s="110">
        <v>7630</v>
      </c>
    </row>
    <row r="2595" spans="1:12" x14ac:dyDescent="0.2">
      <c r="A2595" t="s">
        <v>65</v>
      </c>
      <c r="B2595" t="s">
        <v>70</v>
      </c>
      <c r="C2595" t="s">
        <v>220</v>
      </c>
      <c r="D2595" s="110">
        <v>15112</v>
      </c>
      <c r="E2595" s="110">
        <v>15112</v>
      </c>
      <c r="F2595" s="110">
        <v>15112</v>
      </c>
      <c r="G2595" s="110">
        <v>15112</v>
      </c>
      <c r="I2595" s="110">
        <v>13762</v>
      </c>
      <c r="J2595" s="110">
        <v>14220</v>
      </c>
      <c r="K2595" s="110">
        <v>14220</v>
      </c>
      <c r="L2595" s="110">
        <v>14220</v>
      </c>
    </row>
    <row r="2596" spans="1:12" x14ac:dyDescent="0.2">
      <c r="A2596" t="s">
        <v>65</v>
      </c>
      <c r="B2596" t="s">
        <v>70</v>
      </c>
      <c r="C2596" t="s">
        <v>221</v>
      </c>
      <c r="D2596" s="110">
        <v>19917</v>
      </c>
      <c r="E2596" s="110">
        <v>19499</v>
      </c>
      <c r="F2596" s="110">
        <v>19499</v>
      </c>
      <c r="I2596" s="110">
        <v>18156</v>
      </c>
      <c r="J2596" s="110">
        <v>18564</v>
      </c>
      <c r="K2596" s="110">
        <v>18564</v>
      </c>
    </row>
    <row r="2597" spans="1:12" x14ac:dyDescent="0.2">
      <c r="A2597" t="s">
        <v>65</v>
      </c>
      <c r="B2597" t="s">
        <v>70</v>
      </c>
      <c r="C2597" t="s">
        <v>222</v>
      </c>
      <c r="D2597" s="110">
        <v>20122</v>
      </c>
      <c r="E2597" s="110">
        <v>19714</v>
      </c>
      <c r="I2597" s="110">
        <v>17767</v>
      </c>
      <c r="J2597" s="110">
        <v>17767</v>
      </c>
    </row>
    <row r="2598" spans="1:12" x14ac:dyDescent="0.2">
      <c r="A2598" t="s">
        <v>65</v>
      </c>
      <c r="B2598" t="s">
        <v>70</v>
      </c>
      <c r="C2598" t="s">
        <v>223</v>
      </c>
      <c r="D2598" s="110">
        <v>10602</v>
      </c>
      <c r="I2598" s="110">
        <v>10302</v>
      </c>
    </row>
    <row r="2599" spans="1:12" x14ac:dyDescent="0.2">
      <c r="A2599" t="s">
        <v>65</v>
      </c>
      <c r="B2599" t="s">
        <v>110</v>
      </c>
      <c r="C2599" t="s">
        <v>220</v>
      </c>
      <c r="D2599" s="110">
        <v>82365.75</v>
      </c>
      <c r="E2599" s="110">
        <v>81657.2</v>
      </c>
      <c r="F2599" s="110">
        <v>80873.2</v>
      </c>
      <c r="G2599" s="110">
        <v>80551.199999999997</v>
      </c>
      <c r="I2599" s="110">
        <v>43697.75</v>
      </c>
      <c r="J2599" s="110">
        <v>70453.2</v>
      </c>
      <c r="K2599" s="110">
        <v>71852.2</v>
      </c>
      <c r="L2599" s="110">
        <v>72150.2</v>
      </c>
    </row>
    <row r="2600" spans="1:12" x14ac:dyDescent="0.2">
      <c r="A2600" t="s">
        <v>65</v>
      </c>
      <c r="B2600" t="s">
        <v>110</v>
      </c>
      <c r="C2600" t="s">
        <v>221</v>
      </c>
      <c r="D2600" s="110">
        <v>116567</v>
      </c>
      <c r="E2600" s="110">
        <v>114100.35</v>
      </c>
      <c r="F2600" s="110">
        <v>113451.85</v>
      </c>
      <c r="I2600" s="110">
        <v>68375.149999999994</v>
      </c>
      <c r="J2600" s="110">
        <v>102202.15</v>
      </c>
      <c r="K2600" s="110">
        <v>104176.4</v>
      </c>
    </row>
    <row r="2601" spans="1:12" x14ac:dyDescent="0.2">
      <c r="A2601" t="s">
        <v>65</v>
      </c>
      <c r="B2601" t="s">
        <v>110</v>
      </c>
      <c r="C2601" t="s">
        <v>222</v>
      </c>
      <c r="D2601" s="110">
        <v>127678.8</v>
      </c>
      <c r="E2601" s="110">
        <v>124322.47</v>
      </c>
      <c r="I2601" s="110">
        <v>77561.7</v>
      </c>
      <c r="J2601" s="110">
        <v>107026.88</v>
      </c>
    </row>
    <row r="2602" spans="1:12" x14ac:dyDescent="0.2">
      <c r="A2602" t="s">
        <v>65</v>
      </c>
      <c r="B2602" t="s">
        <v>110</v>
      </c>
      <c r="C2602" t="s">
        <v>223</v>
      </c>
      <c r="D2602" s="110">
        <v>91846.75</v>
      </c>
      <c r="I2602" s="110">
        <v>55895.5</v>
      </c>
    </row>
    <row r="2603" spans="1:12" x14ac:dyDescent="0.2">
      <c r="A2603" t="s">
        <v>66</v>
      </c>
      <c r="B2603" t="s">
        <v>104</v>
      </c>
      <c r="C2603" t="s">
        <v>220</v>
      </c>
      <c r="D2603" s="110">
        <v>159541</v>
      </c>
      <c r="E2603" s="110">
        <v>159541</v>
      </c>
      <c r="F2603" s="110">
        <v>159541</v>
      </c>
      <c r="G2603" s="110">
        <v>159541</v>
      </c>
      <c r="I2603" s="110">
        <v>6475</v>
      </c>
      <c r="J2603" s="110">
        <v>13764</v>
      </c>
      <c r="K2603" s="110">
        <v>18722</v>
      </c>
      <c r="L2603" s="110">
        <v>22605</v>
      </c>
    </row>
    <row r="2604" spans="1:12" x14ac:dyDescent="0.2">
      <c r="A2604" t="s">
        <v>66</v>
      </c>
      <c r="B2604" t="s">
        <v>104</v>
      </c>
      <c r="C2604" t="s">
        <v>221</v>
      </c>
      <c r="D2604" s="110">
        <v>275864</v>
      </c>
      <c r="E2604" s="110">
        <v>275864</v>
      </c>
      <c r="F2604" s="110">
        <v>275864</v>
      </c>
      <c r="I2604" s="110">
        <v>5469</v>
      </c>
      <c r="J2604" s="110">
        <v>10891</v>
      </c>
      <c r="K2604" s="110">
        <v>17431</v>
      </c>
    </row>
    <row r="2605" spans="1:12" x14ac:dyDescent="0.2">
      <c r="A2605" t="s">
        <v>66</v>
      </c>
      <c r="B2605" t="s">
        <v>104</v>
      </c>
      <c r="C2605" t="s">
        <v>222</v>
      </c>
      <c r="D2605" s="110">
        <v>194902</v>
      </c>
      <c r="E2605" s="110">
        <v>194902</v>
      </c>
      <c r="I2605" s="110">
        <v>4404</v>
      </c>
      <c r="J2605" s="110">
        <v>7763</v>
      </c>
    </row>
    <row r="2606" spans="1:12" x14ac:dyDescent="0.2">
      <c r="A2606" t="s">
        <v>66</v>
      </c>
      <c r="B2606" t="s">
        <v>104</v>
      </c>
      <c r="C2606" t="s">
        <v>223</v>
      </c>
      <c r="D2606" s="110">
        <v>341994</v>
      </c>
      <c r="I2606" s="110">
        <v>9301</v>
      </c>
    </row>
    <row r="2607" spans="1:12" x14ac:dyDescent="0.2">
      <c r="A2607" t="s">
        <v>66</v>
      </c>
      <c r="B2607" t="s">
        <v>140</v>
      </c>
      <c r="C2607" t="s">
        <v>220</v>
      </c>
      <c r="D2607" s="110">
        <v>0</v>
      </c>
      <c r="E2607" s="110">
        <v>0</v>
      </c>
      <c r="F2607" s="110">
        <v>0</v>
      </c>
      <c r="G2607" s="110">
        <v>0</v>
      </c>
      <c r="I2607" s="110">
        <v>0</v>
      </c>
      <c r="J2607" s="110">
        <v>0</v>
      </c>
      <c r="K2607" s="110">
        <v>0</v>
      </c>
      <c r="L2607" s="110">
        <v>0</v>
      </c>
    </row>
    <row r="2608" spans="1:12" x14ac:dyDescent="0.2">
      <c r="A2608" t="s">
        <v>66</v>
      </c>
      <c r="B2608" t="s">
        <v>140</v>
      </c>
      <c r="C2608" t="s">
        <v>221</v>
      </c>
      <c r="D2608" s="110">
        <v>151425</v>
      </c>
      <c r="E2608" s="110">
        <v>151425</v>
      </c>
      <c r="F2608" s="110">
        <v>14125</v>
      </c>
      <c r="I2608" s="110">
        <v>40</v>
      </c>
      <c r="J2608" s="110">
        <v>40</v>
      </c>
      <c r="K2608" s="110">
        <v>40</v>
      </c>
    </row>
    <row r="2609" spans="1:12" x14ac:dyDescent="0.2">
      <c r="A2609" t="s">
        <v>66</v>
      </c>
      <c r="B2609" t="s">
        <v>140</v>
      </c>
      <c r="C2609" t="s">
        <v>222</v>
      </c>
      <c r="D2609" s="110">
        <v>50500</v>
      </c>
      <c r="E2609" s="110">
        <v>50500</v>
      </c>
      <c r="I2609" s="110">
        <v>0</v>
      </c>
      <c r="J2609" s="110">
        <v>0</v>
      </c>
    </row>
    <row r="2610" spans="1:12" x14ac:dyDescent="0.2">
      <c r="A2610" t="s">
        <v>66</v>
      </c>
      <c r="B2610" t="s">
        <v>140</v>
      </c>
      <c r="C2610" t="s">
        <v>223</v>
      </c>
      <c r="D2610" s="110">
        <v>152225</v>
      </c>
      <c r="I2610" s="110">
        <v>0</v>
      </c>
    </row>
    <row r="2611" spans="1:12" x14ac:dyDescent="0.2">
      <c r="A2611" t="s">
        <v>66</v>
      </c>
      <c r="B2611" t="s">
        <v>105</v>
      </c>
      <c r="C2611" t="s">
        <v>220</v>
      </c>
      <c r="D2611" s="110">
        <v>82330</v>
      </c>
      <c r="E2611" s="110">
        <v>82330</v>
      </c>
      <c r="F2611" s="110">
        <v>82330</v>
      </c>
      <c r="G2611" s="110">
        <v>82330</v>
      </c>
      <c r="I2611" s="110">
        <v>20099</v>
      </c>
      <c r="J2611" s="110">
        <v>32888</v>
      </c>
      <c r="K2611" s="110">
        <v>42894</v>
      </c>
      <c r="L2611" s="110">
        <v>46066</v>
      </c>
    </row>
    <row r="2612" spans="1:12" x14ac:dyDescent="0.2">
      <c r="A2612" t="s">
        <v>66</v>
      </c>
      <c r="B2612" t="s">
        <v>105</v>
      </c>
      <c r="C2612" t="s">
        <v>221</v>
      </c>
      <c r="D2612" s="110">
        <v>81226</v>
      </c>
      <c r="E2612" s="110">
        <v>81226</v>
      </c>
      <c r="F2612" s="110">
        <v>81226</v>
      </c>
      <c r="I2612" s="110">
        <v>20217</v>
      </c>
      <c r="J2612" s="110">
        <v>37814</v>
      </c>
      <c r="K2612" s="110">
        <v>46399</v>
      </c>
    </row>
    <row r="2613" spans="1:12" x14ac:dyDescent="0.2">
      <c r="A2613" t="s">
        <v>66</v>
      </c>
      <c r="B2613" t="s">
        <v>105</v>
      </c>
      <c r="C2613" t="s">
        <v>222</v>
      </c>
      <c r="D2613" s="110">
        <v>108320</v>
      </c>
      <c r="E2613" s="110">
        <v>108320</v>
      </c>
      <c r="I2613" s="110">
        <v>42136</v>
      </c>
      <c r="J2613" s="110">
        <v>63676</v>
      </c>
    </row>
    <row r="2614" spans="1:12" x14ac:dyDescent="0.2">
      <c r="A2614" t="s">
        <v>66</v>
      </c>
      <c r="B2614" t="s">
        <v>105</v>
      </c>
      <c r="C2614" t="s">
        <v>223</v>
      </c>
      <c r="D2614" s="110">
        <v>117874</v>
      </c>
      <c r="I2614" s="110">
        <v>47756</v>
      </c>
    </row>
    <row r="2615" spans="1:12" x14ac:dyDescent="0.2">
      <c r="A2615" t="s">
        <v>66</v>
      </c>
      <c r="B2615" t="s">
        <v>111</v>
      </c>
      <c r="C2615" t="s">
        <v>220</v>
      </c>
      <c r="D2615" s="110">
        <v>998</v>
      </c>
      <c r="E2615" s="110">
        <v>998</v>
      </c>
      <c r="F2615" s="110">
        <v>998</v>
      </c>
      <c r="G2615" s="110">
        <v>998</v>
      </c>
      <c r="I2615" s="110">
        <v>798</v>
      </c>
      <c r="J2615" s="110">
        <v>998</v>
      </c>
      <c r="K2615" s="110">
        <v>998</v>
      </c>
      <c r="L2615" s="110">
        <v>998</v>
      </c>
    </row>
    <row r="2616" spans="1:12" x14ac:dyDescent="0.2">
      <c r="A2616" t="s">
        <v>66</v>
      </c>
      <c r="B2616" t="s">
        <v>111</v>
      </c>
      <c r="C2616" t="s">
        <v>221</v>
      </c>
      <c r="D2616" s="110">
        <v>1951</v>
      </c>
      <c r="E2616" s="110">
        <v>1951</v>
      </c>
      <c r="F2616" s="110">
        <v>1951</v>
      </c>
      <c r="I2616" s="110">
        <v>1551</v>
      </c>
      <c r="J2616" s="110">
        <v>1801</v>
      </c>
      <c r="K2616" s="110">
        <v>1801</v>
      </c>
    </row>
    <row r="2617" spans="1:12" x14ac:dyDescent="0.2">
      <c r="A2617" t="s">
        <v>66</v>
      </c>
      <c r="B2617" t="s">
        <v>111</v>
      </c>
      <c r="C2617" t="s">
        <v>222</v>
      </c>
      <c r="D2617" s="110">
        <v>14671</v>
      </c>
      <c r="E2617" s="110">
        <v>14671</v>
      </c>
      <c r="I2617" s="110">
        <v>14017</v>
      </c>
      <c r="J2617" s="110">
        <v>14517</v>
      </c>
    </row>
    <row r="2618" spans="1:12" x14ac:dyDescent="0.2">
      <c r="A2618" t="s">
        <v>66</v>
      </c>
      <c r="B2618" t="s">
        <v>111</v>
      </c>
      <c r="C2618" t="s">
        <v>223</v>
      </c>
      <c r="D2618" s="110">
        <v>2271</v>
      </c>
      <c r="I2618" s="110">
        <v>2118</v>
      </c>
    </row>
    <row r="2619" spans="1:12" x14ac:dyDescent="0.2">
      <c r="A2619" t="s">
        <v>66</v>
      </c>
      <c r="B2619" t="s">
        <v>109</v>
      </c>
      <c r="C2619" t="s">
        <v>220</v>
      </c>
      <c r="D2619" s="110">
        <v>110889</v>
      </c>
      <c r="E2619" s="110">
        <v>110889</v>
      </c>
      <c r="F2619" s="110">
        <v>110889</v>
      </c>
      <c r="G2619" s="110">
        <v>110889</v>
      </c>
      <c r="I2619" s="110">
        <v>48517</v>
      </c>
      <c r="J2619" s="110">
        <v>67997</v>
      </c>
      <c r="K2619" s="110">
        <v>80061</v>
      </c>
      <c r="L2619" s="110">
        <v>86816</v>
      </c>
    </row>
    <row r="2620" spans="1:12" x14ac:dyDescent="0.2">
      <c r="A2620" t="s">
        <v>66</v>
      </c>
      <c r="B2620" t="s">
        <v>109</v>
      </c>
      <c r="C2620" t="s">
        <v>221</v>
      </c>
      <c r="D2620" s="110">
        <v>129532</v>
      </c>
      <c r="E2620" s="110">
        <v>129532</v>
      </c>
      <c r="F2620" s="110">
        <v>129532</v>
      </c>
      <c r="I2620" s="110">
        <v>59487</v>
      </c>
      <c r="J2620" s="110">
        <v>81650</v>
      </c>
      <c r="K2620" s="110">
        <v>91569</v>
      </c>
    </row>
    <row r="2621" spans="1:12" x14ac:dyDescent="0.2">
      <c r="A2621" t="s">
        <v>66</v>
      </c>
      <c r="B2621" t="s">
        <v>109</v>
      </c>
      <c r="C2621" t="s">
        <v>222</v>
      </c>
      <c r="D2621" s="110">
        <v>103535</v>
      </c>
      <c r="E2621" s="110">
        <v>103535</v>
      </c>
      <c r="I2621" s="110">
        <v>59717</v>
      </c>
      <c r="J2621" s="110">
        <v>70863</v>
      </c>
    </row>
    <row r="2622" spans="1:12" x14ac:dyDescent="0.2">
      <c r="A2622" t="s">
        <v>66</v>
      </c>
      <c r="B2622" t="s">
        <v>109</v>
      </c>
      <c r="C2622" t="s">
        <v>223</v>
      </c>
      <c r="D2622" s="110">
        <v>173843</v>
      </c>
      <c r="I2622" s="110">
        <v>89693</v>
      </c>
    </row>
    <row r="2623" spans="1:12" x14ac:dyDescent="0.2">
      <c r="A2623" t="s">
        <v>66</v>
      </c>
      <c r="B2623" t="s">
        <v>106</v>
      </c>
      <c r="C2623" t="s">
        <v>220</v>
      </c>
      <c r="D2623" s="110">
        <v>108349</v>
      </c>
      <c r="E2623" s="110">
        <v>108349</v>
      </c>
      <c r="F2623" s="110">
        <v>108349</v>
      </c>
      <c r="G2623" s="110">
        <v>108349</v>
      </c>
      <c r="I2623" s="110">
        <v>107142</v>
      </c>
      <c r="J2623" s="110">
        <v>107549</v>
      </c>
      <c r="K2623" s="110">
        <v>107549</v>
      </c>
      <c r="L2623" s="110">
        <v>107558</v>
      </c>
    </row>
    <row r="2624" spans="1:12" x14ac:dyDescent="0.2">
      <c r="A2624" t="s">
        <v>66</v>
      </c>
      <c r="B2624" t="s">
        <v>106</v>
      </c>
      <c r="C2624" t="s">
        <v>221</v>
      </c>
      <c r="D2624" s="110">
        <v>125638</v>
      </c>
      <c r="E2624" s="110">
        <v>125638</v>
      </c>
      <c r="F2624" s="110">
        <v>125638</v>
      </c>
      <c r="I2624" s="110">
        <v>124398</v>
      </c>
      <c r="J2624" s="110">
        <v>125238</v>
      </c>
      <c r="K2624" s="110">
        <v>125238</v>
      </c>
    </row>
    <row r="2625" spans="1:12" x14ac:dyDescent="0.2">
      <c r="A2625" t="s">
        <v>66</v>
      </c>
      <c r="B2625" t="s">
        <v>106</v>
      </c>
      <c r="C2625" t="s">
        <v>222</v>
      </c>
      <c r="D2625" s="110">
        <v>119490</v>
      </c>
      <c r="E2625" s="110">
        <v>119490</v>
      </c>
      <c r="I2625" s="110">
        <v>118660</v>
      </c>
      <c r="J2625" s="110">
        <v>119490</v>
      </c>
    </row>
    <row r="2626" spans="1:12" x14ac:dyDescent="0.2">
      <c r="A2626" t="s">
        <v>66</v>
      </c>
      <c r="B2626" t="s">
        <v>106</v>
      </c>
      <c r="C2626" t="s">
        <v>223</v>
      </c>
      <c r="D2626" s="110">
        <v>106084</v>
      </c>
      <c r="I2626" s="110">
        <v>103549</v>
      </c>
    </row>
    <row r="2627" spans="1:12" x14ac:dyDescent="0.2">
      <c r="A2627" t="s">
        <v>66</v>
      </c>
      <c r="B2627" t="s">
        <v>107</v>
      </c>
      <c r="C2627" t="s">
        <v>220</v>
      </c>
      <c r="D2627" s="110">
        <v>72742</v>
      </c>
      <c r="E2627" s="110">
        <v>72742</v>
      </c>
      <c r="F2627" s="110">
        <v>72742</v>
      </c>
      <c r="G2627" s="110">
        <v>72742</v>
      </c>
      <c r="I2627" s="110">
        <v>72557</v>
      </c>
      <c r="J2627" s="110">
        <v>72742</v>
      </c>
      <c r="K2627" s="110">
        <v>72742</v>
      </c>
      <c r="L2627" s="110">
        <v>72742</v>
      </c>
    </row>
    <row r="2628" spans="1:12" x14ac:dyDescent="0.2">
      <c r="A2628" t="s">
        <v>66</v>
      </c>
      <c r="B2628" t="s">
        <v>107</v>
      </c>
      <c r="C2628" t="s">
        <v>221</v>
      </c>
      <c r="D2628" s="110">
        <v>80880</v>
      </c>
      <c r="E2628" s="110">
        <v>80880</v>
      </c>
      <c r="F2628" s="110">
        <v>80880</v>
      </c>
      <c r="I2628" s="110">
        <v>80560</v>
      </c>
      <c r="J2628" s="110">
        <v>80880</v>
      </c>
      <c r="K2628" s="110">
        <v>80880</v>
      </c>
    </row>
    <row r="2629" spans="1:12" x14ac:dyDescent="0.2">
      <c r="A2629" t="s">
        <v>66</v>
      </c>
      <c r="B2629" t="s">
        <v>107</v>
      </c>
      <c r="C2629" t="s">
        <v>222</v>
      </c>
      <c r="D2629" s="110">
        <v>86292</v>
      </c>
      <c r="E2629" s="110">
        <v>86292</v>
      </c>
      <c r="I2629" s="110">
        <v>84887</v>
      </c>
      <c r="J2629" s="110">
        <v>86292</v>
      </c>
    </row>
    <row r="2630" spans="1:12" x14ac:dyDescent="0.2">
      <c r="A2630" t="s">
        <v>66</v>
      </c>
      <c r="B2630" t="s">
        <v>107</v>
      </c>
      <c r="C2630" t="s">
        <v>223</v>
      </c>
      <c r="D2630" s="110">
        <v>74342</v>
      </c>
      <c r="I2630" s="110">
        <v>73607</v>
      </c>
    </row>
    <row r="2631" spans="1:12" x14ac:dyDescent="0.2">
      <c r="A2631" t="s">
        <v>66</v>
      </c>
      <c r="B2631" t="s">
        <v>108</v>
      </c>
      <c r="C2631" t="s">
        <v>220</v>
      </c>
      <c r="D2631" s="110">
        <v>30032</v>
      </c>
      <c r="E2631" s="110">
        <v>30032</v>
      </c>
      <c r="F2631" s="110">
        <v>30032</v>
      </c>
      <c r="G2631" s="110">
        <v>30032</v>
      </c>
      <c r="I2631" s="110">
        <v>30032</v>
      </c>
      <c r="J2631" s="110">
        <v>30032</v>
      </c>
      <c r="K2631" s="110">
        <v>30032</v>
      </c>
      <c r="L2631" s="110">
        <v>30032</v>
      </c>
    </row>
    <row r="2632" spans="1:12" x14ac:dyDescent="0.2">
      <c r="A2632" t="s">
        <v>66</v>
      </c>
      <c r="B2632" t="s">
        <v>108</v>
      </c>
      <c r="C2632" t="s">
        <v>221</v>
      </c>
      <c r="D2632" s="110">
        <v>32057</v>
      </c>
      <c r="E2632" s="110">
        <v>32057</v>
      </c>
      <c r="F2632" s="110">
        <v>32057</v>
      </c>
      <c r="I2632" s="110">
        <v>32037</v>
      </c>
      <c r="J2632" s="110">
        <v>32057</v>
      </c>
      <c r="K2632" s="110">
        <v>32057</v>
      </c>
    </row>
    <row r="2633" spans="1:12" x14ac:dyDescent="0.2">
      <c r="A2633" t="s">
        <v>66</v>
      </c>
      <c r="B2633" t="s">
        <v>108</v>
      </c>
      <c r="C2633" t="s">
        <v>222</v>
      </c>
      <c r="D2633" s="110">
        <v>37570</v>
      </c>
      <c r="E2633" s="110">
        <v>37570</v>
      </c>
      <c r="I2633" s="110">
        <v>37108</v>
      </c>
      <c r="J2633" s="110">
        <v>37570</v>
      </c>
    </row>
    <row r="2634" spans="1:12" x14ac:dyDescent="0.2">
      <c r="A2634" t="s">
        <v>66</v>
      </c>
      <c r="B2634" t="s">
        <v>108</v>
      </c>
      <c r="C2634" t="s">
        <v>223</v>
      </c>
      <c r="D2634" s="110">
        <v>31769</v>
      </c>
      <c r="I2634" s="110">
        <v>31024</v>
      </c>
    </row>
    <row r="2635" spans="1:12" x14ac:dyDescent="0.2">
      <c r="A2635" t="s">
        <v>66</v>
      </c>
      <c r="B2635" t="s">
        <v>70</v>
      </c>
      <c r="C2635" t="s">
        <v>220</v>
      </c>
      <c r="D2635" s="110">
        <v>43746</v>
      </c>
      <c r="E2635" s="110">
        <v>43746</v>
      </c>
      <c r="F2635" s="110">
        <v>43746</v>
      </c>
      <c r="G2635" s="110">
        <v>43746</v>
      </c>
      <c r="I2635" s="110">
        <v>43696</v>
      </c>
      <c r="J2635" s="110">
        <v>43746</v>
      </c>
      <c r="K2635" s="110">
        <v>43746</v>
      </c>
      <c r="L2635" s="110">
        <v>43746</v>
      </c>
    </row>
    <row r="2636" spans="1:12" x14ac:dyDescent="0.2">
      <c r="A2636" t="s">
        <v>66</v>
      </c>
      <c r="B2636" t="s">
        <v>70</v>
      </c>
      <c r="C2636" t="s">
        <v>221</v>
      </c>
      <c r="D2636" s="110">
        <v>48062</v>
      </c>
      <c r="E2636" s="110">
        <v>48062</v>
      </c>
      <c r="F2636" s="110">
        <v>48062</v>
      </c>
      <c r="I2636" s="110">
        <v>47242</v>
      </c>
      <c r="J2636" s="110">
        <v>47652</v>
      </c>
      <c r="K2636" s="110">
        <v>47652</v>
      </c>
    </row>
    <row r="2637" spans="1:12" x14ac:dyDescent="0.2">
      <c r="A2637" t="s">
        <v>66</v>
      </c>
      <c r="B2637" t="s">
        <v>70</v>
      </c>
      <c r="C2637" t="s">
        <v>222</v>
      </c>
      <c r="D2637" s="110">
        <v>55762</v>
      </c>
      <c r="E2637" s="110">
        <v>55762</v>
      </c>
      <c r="I2637" s="110">
        <v>55762</v>
      </c>
      <c r="J2637" s="110">
        <v>55762</v>
      </c>
    </row>
    <row r="2638" spans="1:12" x14ac:dyDescent="0.2">
      <c r="A2638" t="s">
        <v>66</v>
      </c>
      <c r="B2638" t="s">
        <v>70</v>
      </c>
      <c r="C2638" t="s">
        <v>223</v>
      </c>
      <c r="D2638" s="110">
        <v>56798</v>
      </c>
      <c r="I2638" s="110">
        <v>55033</v>
      </c>
    </row>
    <row r="2639" spans="1:12" x14ac:dyDescent="0.2">
      <c r="A2639" t="s">
        <v>66</v>
      </c>
      <c r="B2639" t="s">
        <v>110</v>
      </c>
      <c r="C2639" t="s">
        <v>220</v>
      </c>
      <c r="D2639" s="110">
        <v>85522</v>
      </c>
      <c r="E2639" s="110">
        <v>85522</v>
      </c>
      <c r="F2639" s="110">
        <v>85522</v>
      </c>
      <c r="G2639" s="110">
        <v>85522</v>
      </c>
      <c r="I2639" s="110">
        <v>40639</v>
      </c>
      <c r="J2639" s="110">
        <v>67338</v>
      </c>
      <c r="K2639" s="110">
        <v>74795</v>
      </c>
      <c r="L2639" s="110">
        <v>76138</v>
      </c>
    </row>
    <row r="2640" spans="1:12" x14ac:dyDescent="0.2">
      <c r="A2640" t="s">
        <v>66</v>
      </c>
      <c r="B2640" t="s">
        <v>110</v>
      </c>
      <c r="C2640" t="s">
        <v>221</v>
      </c>
      <c r="D2640" s="110">
        <v>119232</v>
      </c>
      <c r="E2640" s="110">
        <v>119232</v>
      </c>
      <c r="F2640" s="110">
        <v>119232</v>
      </c>
      <c r="I2640" s="110">
        <v>55965</v>
      </c>
      <c r="J2640" s="110">
        <v>102879</v>
      </c>
      <c r="K2640" s="110">
        <v>106993</v>
      </c>
    </row>
    <row r="2641" spans="1:12" x14ac:dyDescent="0.2">
      <c r="A2641" t="s">
        <v>66</v>
      </c>
      <c r="B2641" t="s">
        <v>110</v>
      </c>
      <c r="C2641" t="s">
        <v>222</v>
      </c>
      <c r="D2641" s="110">
        <v>170627</v>
      </c>
      <c r="E2641" s="110">
        <v>170627</v>
      </c>
      <c r="I2641" s="110">
        <v>83690</v>
      </c>
      <c r="J2641" s="110">
        <v>148100</v>
      </c>
    </row>
    <row r="2642" spans="1:12" x14ac:dyDescent="0.2">
      <c r="A2642" t="s">
        <v>66</v>
      </c>
      <c r="B2642" t="s">
        <v>110</v>
      </c>
      <c r="C2642" t="s">
        <v>223</v>
      </c>
      <c r="D2642" s="110">
        <v>297974</v>
      </c>
      <c r="I2642" s="110">
        <v>174442</v>
      </c>
    </row>
    <row r="2643" spans="1:12" ht="13.5" x14ac:dyDescent="0.25">
      <c r="A2643" s="65" t="s">
        <v>67</v>
      </c>
      <c r="B2643" t="s">
        <v>104</v>
      </c>
      <c r="C2643" t="s">
        <v>220</v>
      </c>
      <c r="D2643" s="110">
        <v>212495.5</v>
      </c>
      <c r="E2643" s="110">
        <v>212488.5</v>
      </c>
      <c r="F2643" s="110">
        <v>212488.5</v>
      </c>
      <c r="G2643" s="110">
        <v>212488.5</v>
      </c>
      <c r="I2643" s="110">
        <v>3084.99</v>
      </c>
      <c r="J2643" s="110">
        <v>6755.95</v>
      </c>
      <c r="K2643" s="110">
        <v>8926.33</v>
      </c>
      <c r="L2643" s="110">
        <v>11175.11</v>
      </c>
    </row>
    <row r="2644" spans="1:12" ht="13.5" x14ac:dyDescent="0.25">
      <c r="A2644" s="65" t="s">
        <v>67</v>
      </c>
      <c r="B2644" t="s">
        <v>104</v>
      </c>
      <c r="C2644" t="s">
        <v>221</v>
      </c>
      <c r="D2644" s="110">
        <v>223296.5</v>
      </c>
      <c r="E2644" s="110">
        <v>225194.5</v>
      </c>
      <c r="F2644" s="110">
        <v>224819.5</v>
      </c>
      <c r="I2644" s="110">
        <v>4148.88</v>
      </c>
      <c r="J2644" s="110">
        <v>10128.44</v>
      </c>
      <c r="K2644" s="110">
        <v>13907.99</v>
      </c>
    </row>
    <row r="2645" spans="1:12" ht="13.5" x14ac:dyDescent="0.25">
      <c r="A2645" s="65" t="s">
        <v>67</v>
      </c>
      <c r="B2645" t="s">
        <v>104</v>
      </c>
      <c r="C2645" t="s">
        <v>222</v>
      </c>
      <c r="D2645" s="110">
        <v>229494.5</v>
      </c>
      <c r="E2645" s="110">
        <v>229144.5</v>
      </c>
      <c r="I2645" s="110">
        <v>5878.48</v>
      </c>
      <c r="J2645" s="110">
        <v>8708.0300000000007</v>
      </c>
    </row>
    <row r="2646" spans="1:12" ht="13.5" x14ac:dyDescent="0.25">
      <c r="A2646" s="65" t="s">
        <v>67</v>
      </c>
      <c r="B2646" t="s">
        <v>104</v>
      </c>
      <c r="C2646" t="s">
        <v>223</v>
      </c>
      <c r="D2646" s="110">
        <v>295067.11</v>
      </c>
      <c r="I2646" s="110">
        <v>4630.96</v>
      </c>
    </row>
    <row r="2647" spans="1:12" ht="13.5" x14ac:dyDescent="0.25">
      <c r="A2647" s="65" t="s">
        <v>67</v>
      </c>
      <c r="B2647" t="s">
        <v>140</v>
      </c>
      <c r="C2647" t="s">
        <v>220</v>
      </c>
      <c r="D2647" s="110">
        <v>0</v>
      </c>
      <c r="E2647" s="110">
        <v>0</v>
      </c>
      <c r="F2647" s="110">
        <v>0</v>
      </c>
      <c r="G2647" s="110">
        <v>0</v>
      </c>
      <c r="I2647" s="110">
        <v>0</v>
      </c>
      <c r="J2647" s="110">
        <v>0</v>
      </c>
      <c r="K2647" s="110">
        <v>0</v>
      </c>
      <c r="L2647" s="110">
        <v>0</v>
      </c>
    </row>
    <row r="2648" spans="1:12" ht="13.5" x14ac:dyDescent="0.25">
      <c r="A2648" s="65" t="s">
        <v>67</v>
      </c>
      <c r="B2648" t="s">
        <v>140</v>
      </c>
      <c r="C2648" t="s">
        <v>221</v>
      </c>
      <c r="D2648" s="110">
        <v>7</v>
      </c>
      <c r="E2648" s="110">
        <v>7</v>
      </c>
      <c r="F2648" s="110">
        <v>7</v>
      </c>
      <c r="I2648" s="110">
        <v>0</v>
      </c>
      <c r="J2648" s="110">
        <v>0</v>
      </c>
      <c r="K2648" s="110">
        <v>0</v>
      </c>
    </row>
    <row r="2649" spans="1:12" ht="13.5" x14ac:dyDescent="0.25">
      <c r="A2649" s="65" t="s">
        <v>67</v>
      </c>
      <c r="B2649" t="s">
        <v>140</v>
      </c>
      <c r="C2649" t="s">
        <v>222</v>
      </c>
      <c r="D2649" s="110">
        <v>0</v>
      </c>
      <c r="E2649" s="110">
        <v>0</v>
      </c>
      <c r="I2649" s="110">
        <v>0</v>
      </c>
      <c r="J2649" s="110">
        <v>0</v>
      </c>
    </row>
    <row r="2650" spans="1:12" ht="13.5" x14ac:dyDescent="0.25">
      <c r="A2650" s="65" t="s">
        <v>67</v>
      </c>
      <c r="B2650" t="s">
        <v>140</v>
      </c>
      <c r="C2650" t="s">
        <v>223</v>
      </c>
      <c r="D2650" s="110">
        <v>0</v>
      </c>
      <c r="I2650" s="110">
        <v>0</v>
      </c>
    </row>
    <row r="2651" spans="1:12" ht="13.5" x14ac:dyDescent="0.25">
      <c r="A2651" s="65" t="s">
        <v>67</v>
      </c>
      <c r="B2651" t="s">
        <v>105</v>
      </c>
      <c r="C2651" t="s">
        <v>220</v>
      </c>
      <c r="D2651" s="110">
        <v>36396.5</v>
      </c>
      <c r="E2651" s="110">
        <v>36396.5</v>
      </c>
      <c r="F2651" s="110">
        <v>35923.33</v>
      </c>
      <c r="G2651" s="110">
        <v>35923.33</v>
      </c>
      <c r="I2651" s="110">
        <v>7349.64</v>
      </c>
      <c r="J2651" s="110">
        <v>13714.64</v>
      </c>
      <c r="K2651" s="110">
        <v>18926.53</v>
      </c>
      <c r="L2651" s="110">
        <v>20331.330000000002</v>
      </c>
    </row>
    <row r="2652" spans="1:12" ht="13.5" x14ac:dyDescent="0.25">
      <c r="A2652" s="65" t="s">
        <v>67</v>
      </c>
      <c r="B2652" t="s">
        <v>105</v>
      </c>
      <c r="C2652" t="s">
        <v>221</v>
      </c>
      <c r="D2652" s="110">
        <v>34813</v>
      </c>
      <c r="E2652" s="110">
        <v>34468</v>
      </c>
      <c r="F2652" s="110">
        <v>34468</v>
      </c>
      <c r="I2652" s="110">
        <v>5978.89</v>
      </c>
      <c r="J2652" s="110">
        <v>13102.79</v>
      </c>
      <c r="K2652" s="110">
        <v>15748.98</v>
      </c>
    </row>
    <row r="2653" spans="1:12" ht="13.5" x14ac:dyDescent="0.25">
      <c r="A2653" s="65" t="s">
        <v>67</v>
      </c>
      <c r="B2653" t="s">
        <v>105</v>
      </c>
      <c r="C2653" t="s">
        <v>222</v>
      </c>
      <c r="D2653" s="110">
        <v>47326.5</v>
      </c>
      <c r="E2653" s="110">
        <v>47029.58</v>
      </c>
      <c r="I2653" s="110">
        <v>9294.83</v>
      </c>
      <c r="J2653" s="110">
        <v>14923.85</v>
      </c>
    </row>
    <row r="2654" spans="1:12" ht="13.5" x14ac:dyDescent="0.25">
      <c r="A2654" s="65" t="s">
        <v>67</v>
      </c>
      <c r="B2654" t="s">
        <v>105</v>
      </c>
      <c r="C2654" t="s">
        <v>223</v>
      </c>
      <c r="D2654" s="110">
        <v>54813</v>
      </c>
      <c r="I2654" s="110">
        <v>9320.4599999999991</v>
      </c>
    </row>
    <row r="2655" spans="1:12" ht="13.5" x14ac:dyDescent="0.25">
      <c r="A2655" s="65" t="s">
        <v>67</v>
      </c>
      <c r="B2655" t="s">
        <v>111</v>
      </c>
      <c r="C2655" t="s">
        <v>220</v>
      </c>
      <c r="D2655" s="110">
        <v>223.5</v>
      </c>
      <c r="E2655" s="110">
        <v>223.5</v>
      </c>
      <c r="F2655" s="110">
        <v>223.5</v>
      </c>
      <c r="G2655" s="110">
        <v>223.5</v>
      </c>
      <c r="I2655" s="110">
        <v>53.5</v>
      </c>
      <c r="J2655" s="110">
        <v>191.5</v>
      </c>
      <c r="K2655" s="110">
        <v>191.5</v>
      </c>
      <c r="L2655" s="110">
        <v>191.5</v>
      </c>
    </row>
    <row r="2656" spans="1:12" ht="13.5" x14ac:dyDescent="0.25">
      <c r="A2656" s="65" t="s">
        <v>67</v>
      </c>
      <c r="B2656" t="s">
        <v>111</v>
      </c>
      <c r="C2656" t="s">
        <v>221</v>
      </c>
      <c r="D2656" s="110">
        <v>241.5</v>
      </c>
      <c r="E2656" s="110">
        <v>241.5</v>
      </c>
      <c r="F2656" s="110">
        <v>241.5</v>
      </c>
      <c r="I2656" s="110">
        <v>103.5</v>
      </c>
      <c r="J2656" s="110">
        <v>103.5</v>
      </c>
      <c r="K2656" s="110">
        <v>103.5</v>
      </c>
    </row>
    <row r="2657" spans="1:12" ht="13.5" x14ac:dyDescent="0.25">
      <c r="A2657" s="65" t="s">
        <v>67</v>
      </c>
      <c r="B2657" t="s">
        <v>111</v>
      </c>
      <c r="C2657" t="s">
        <v>222</v>
      </c>
      <c r="D2657" s="110">
        <v>303.5</v>
      </c>
      <c r="E2657" s="110">
        <v>303.5</v>
      </c>
      <c r="I2657" s="110">
        <v>10.5</v>
      </c>
      <c r="J2657" s="110">
        <v>10.5</v>
      </c>
    </row>
    <row r="2658" spans="1:12" ht="13.5" x14ac:dyDescent="0.25">
      <c r="A2658" s="65" t="s">
        <v>67</v>
      </c>
      <c r="B2658" t="s">
        <v>111</v>
      </c>
      <c r="C2658" t="s">
        <v>223</v>
      </c>
      <c r="D2658" s="110">
        <v>691.5</v>
      </c>
      <c r="I2658" s="110">
        <v>64</v>
      </c>
    </row>
    <row r="2659" spans="1:12" ht="13.5" x14ac:dyDescent="0.25">
      <c r="A2659" s="65" t="s">
        <v>67</v>
      </c>
      <c r="B2659" t="s">
        <v>109</v>
      </c>
      <c r="C2659" t="s">
        <v>220</v>
      </c>
      <c r="D2659" s="110">
        <v>10681</v>
      </c>
      <c r="E2659" s="110">
        <v>10681</v>
      </c>
      <c r="F2659" s="110">
        <v>10681</v>
      </c>
      <c r="G2659" s="110">
        <v>10681</v>
      </c>
      <c r="I2659" s="110">
        <v>1499.33</v>
      </c>
      <c r="J2659" s="110">
        <v>4794.66</v>
      </c>
      <c r="K2659" s="110">
        <v>6060</v>
      </c>
      <c r="L2659" s="110">
        <v>7120</v>
      </c>
    </row>
    <row r="2660" spans="1:12" ht="13.5" x14ac:dyDescent="0.25">
      <c r="A2660" s="65" t="s">
        <v>67</v>
      </c>
      <c r="B2660" t="s">
        <v>109</v>
      </c>
      <c r="C2660" t="s">
        <v>221</v>
      </c>
      <c r="D2660" s="110">
        <v>17145.580000000002</v>
      </c>
      <c r="E2660" s="110">
        <v>16923.5</v>
      </c>
      <c r="F2660" s="110">
        <v>16923.5</v>
      </c>
      <c r="I2660" s="110">
        <v>4388.8100000000004</v>
      </c>
      <c r="J2660" s="110">
        <v>8862.49</v>
      </c>
      <c r="K2660" s="110">
        <v>9819.61</v>
      </c>
    </row>
    <row r="2661" spans="1:12" ht="13.5" x14ac:dyDescent="0.25">
      <c r="A2661" s="65" t="s">
        <v>67</v>
      </c>
      <c r="B2661" t="s">
        <v>109</v>
      </c>
      <c r="C2661" t="s">
        <v>222</v>
      </c>
      <c r="D2661" s="110">
        <v>16577</v>
      </c>
      <c r="E2661" s="110">
        <v>16577</v>
      </c>
      <c r="I2661" s="110">
        <v>2983.12</v>
      </c>
      <c r="J2661" s="110">
        <v>6087.43</v>
      </c>
    </row>
    <row r="2662" spans="1:12" ht="13.5" x14ac:dyDescent="0.25">
      <c r="A2662" s="65" t="s">
        <v>67</v>
      </c>
      <c r="B2662" t="s">
        <v>109</v>
      </c>
      <c r="C2662" t="s">
        <v>223</v>
      </c>
      <c r="D2662" s="110">
        <v>10424</v>
      </c>
      <c r="I2662" s="110">
        <v>3091</v>
      </c>
    </row>
    <row r="2663" spans="1:12" ht="13.5" x14ac:dyDescent="0.25">
      <c r="A2663" s="65" t="s">
        <v>67</v>
      </c>
      <c r="B2663" t="s">
        <v>106</v>
      </c>
      <c r="C2663" t="s">
        <v>220</v>
      </c>
      <c r="D2663" s="110">
        <v>88091.03</v>
      </c>
      <c r="E2663" s="110">
        <v>88091.03</v>
      </c>
      <c r="F2663" s="110">
        <v>88091.03</v>
      </c>
      <c r="G2663" s="110">
        <v>88091.03</v>
      </c>
      <c r="I2663" s="110">
        <v>88021.03</v>
      </c>
      <c r="J2663" s="110">
        <v>88021.03</v>
      </c>
      <c r="K2663" s="110">
        <v>88021.03</v>
      </c>
      <c r="L2663" s="110">
        <v>88091.03</v>
      </c>
    </row>
    <row r="2664" spans="1:12" ht="13.5" x14ac:dyDescent="0.25">
      <c r="A2664" s="65" t="s">
        <v>67</v>
      </c>
      <c r="B2664" t="s">
        <v>106</v>
      </c>
      <c r="C2664" t="s">
        <v>221</v>
      </c>
      <c r="D2664" s="110">
        <v>610094.5</v>
      </c>
      <c r="E2664" s="110">
        <v>609694.5</v>
      </c>
      <c r="F2664" s="110">
        <v>609694.5</v>
      </c>
      <c r="I2664" s="110">
        <v>609524.5</v>
      </c>
      <c r="J2664" s="110">
        <v>609524.5</v>
      </c>
      <c r="K2664" s="110">
        <v>609524.5</v>
      </c>
    </row>
    <row r="2665" spans="1:12" ht="13.5" x14ac:dyDescent="0.25">
      <c r="A2665" s="65" t="s">
        <v>67</v>
      </c>
      <c r="B2665" t="s">
        <v>106</v>
      </c>
      <c r="C2665" t="s">
        <v>222</v>
      </c>
      <c r="D2665" s="110">
        <v>505790</v>
      </c>
      <c r="E2665" s="110">
        <v>505790</v>
      </c>
      <c r="I2665" s="110">
        <v>503880</v>
      </c>
      <c r="J2665" s="110">
        <v>505790</v>
      </c>
    </row>
    <row r="2666" spans="1:12" ht="13.5" x14ac:dyDescent="0.25">
      <c r="A2666" s="65" t="s">
        <v>67</v>
      </c>
      <c r="B2666" t="s">
        <v>106</v>
      </c>
      <c r="C2666" t="s">
        <v>223</v>
      </c>
      <c r="D2666" s="110">
        <v>1299569.56</v>
      </c>
      <c r="I2666" s="110">
        <v>1297404.56</v>
      </c>
    </row>
    <row r="2667" spans="1:12" ht="13.5" x14ac:dyDescent="0.25">
      <c r="A2667" s="65" t="s">
        <v>67</v>
      </c>
      <c r="B2667" t="s">
        <v>107</v>
      </c>
      <c r="C2667" t="s">
        <v>220</v>
      </c>
      <c r="D2667" s="110">
        <v>22515.5</v>
      </c>
      <c r="E2667" s="110">
        <v>22515.5</v>
      </c>
      <c r="F2667" s="110">
        <v>22515.5</v>
      </c>
      <c r="G2667" s="110">
        <v>22515.5</v>
      </c>
      <c r="I2667" s="110">
        <v>22515.5</v>
      </c>
      <c r="J2667" s="110">
        <v>22515.5</v>
      </c>
      <c r="K2667" s="110">
        <v>22515.5</v>
      </c>
      <c r="L2667" s="110">
        <v>22515.5</v>
      </c>
    </row>
    <row r="2668" spans="1:12" ht="13.5" x14ac:dyDescent="0.25">
      <c r="A2668" s="65" t="s">
        <v>67</v>
      </c>
      <c r="B2668" t="s">
        <v>107</v>
      </c>
      <c r="C2668" t="s">
        <v>221</v>
      </c>
      <c r="D2668" s="110">
        <v>26994.73</v>
      </c>
      <c r="E2668" s="110">
        <v>26994.73</v>
      </c>
      <c r="F2668" s="110">
        <v>26994.73</v>
      </c>
      <c r="I2668" s="110">
        <v>26674.73</v>
      </c>
      <c r="J2668" s="110">
        <v>26994.73</v>
      </c>
      <c r="K2668" s="110">
        <v>26994.73</v>
      </c>
    </row>
    <row r="2669" spans="1:12" ht="13.5" x14ac:dyDescent="0.25">
      <c r="A2669" s="65" t="s">
        <v>67</v>
      </c>
      <c r="B2669" t="s">
        <v>107</v>
      </c>
      <c r="C2669" t="s">
        <v>222</v>
      </c>
      <c r="D2669" s="110">
        <v>33212.5</v>
      </c>
      <c r="E2669" s="110">
        <v>33212.5</v>
      </c>
      <c r="I2669" s="110">
        <v>32757.5</v>
      </c>
      <c r="J2669" s="110">
        <v>33212.5</v>
      </c>
    </row>
    <row r="2670" spans="1:12" ht="13.5" x14ac:dyDescent="0.25">
      <c r="A2670" s="65" t="s">
        <v>67</v>
      </c>
      <c r="B2670" t="s">
        <v>107</v>
      </c>
      <c r="C2670" t="s">
        <v>223</v>
      </c>
      <c r="D2670" s="110">
        <v>31729.49</v>
      </c>
      <c r="I2670" s="110">
        <v>31409.49</v>
      </c>
    </row>
    <row r="2671" spans="1:12" ht="13.5" x14ac:dyDescent="0.25">
      <c r="A2671" s="65" t="s">
        <v>67</v>
      </c>
      <c r="B2671" t="s">
        <v>108</v>
      </c>
      <c r="C2671" t="s">
        <v>220</v>
      </c>
      <c r="D2671" s="110">
        <v>8822</v>
      </c>
      <c r="E2671" s="110">
        <v>8822</v>
      </c>
      <c r="F2671" s="110">
        <v>8822</v>
      </c>
      <c r="G2671" s="110">
        <v>8822</v>
      </c>
      <c r="I2671" s="110">
        <v>8822</v>
      </c>
      <c r="J2671" s="110">
        <v>8822</v>
      </c>
      <c r="K2671" s="110">
        <v>8822</v>
      </c>
      <c r="L2671" s="110">
        <v>8822</v>
      </c>
    </row>
    <row r="2672" spans="1:12" ht="13.5" x14ac:dyDescent="0.25">
      <c r="A2672" s="65" t="s">
        <v>67</v>
      </c>
      <c r="B2672" t="s">
        <v>108</v>
      </c>
      <c r="C2672" t="s">
        <v>221</v>
      </c>
      <c r="D2672" s="110">
        <v>9618</v>
      </c>
      <c r="E2672" s="110">
        <v>9618</v>
      </c>
      <c r="F2672" s="110">
        <v>9618</v>
      </c>
      <c r="I2672" s="110">
        <v>9618</v>
      </c>
      <c r="J2672" s="110">
        <v>9618</v>
      </c>
      <c r="K2672" s="110">
        <v>9618</v>
      </c>
    </row>
    <row r="2673" spans="1:12" ht="13.5" x14ac:dyDescent="0.25">
      <c r="A2673" s="65" t="s">
        <v>67</v>
      </c>
      <c r="B2673" t="s">
        <v>108</v>
      </c>
      <c r="C2673" t="s">
        <v>222</v>
      </c>
      <c r="D2673" s="110">
        <v>10905</v>
      </c>
      <c r="E2673" s="110">
        <v>10905</v>
      </c>
      <c r="I2673" s="110">
        <v>10905</v>
      </c>
      <c r="J2673" s="110">
        <v>10905</v>
      </c>
    </row>
    <row r="2674" spans="1:12" ht="13.5" x14ac:dyDescent="0.25">
      <c r="A2674" s="65" t="s">
        <v>67</v>
      </c>
      <c r="B2674" t="s">
        <v>108</v>
      </c>
      <c r="C2674" t="s">
        <v>223</v>
      </c>
      <c r="D2674" s="110">
        <v>7041</v>
      </c>
      <c r="I2674" s="110">
        <v>7041</v>
      </c>
    </row>
    <row r="2675" spans="1:12" ht="13.5" x14ac:dyDescent="0.25">
      <c r="A2675" s="65" t="s">
        <v>67</v>
      </c>
      <c r="B2675" t="s">
        <v>70</v>
      </c>
      <c r="C2675" t="s">
        <v>220</v>
      </c>
      <c r="D2675" s="110">
        <v>10323.049999999999</v>
      </c>
      <c r="E2675" s="110">
        <v>10623.05</v>
      </c>
      <c r="F2675" s="110">
        <v>10323.049999999999</v>
      </c>
      <c r="G2675" s="110">
        <v>10323.049999999999</v>
      </c>
      <c r="I2675" s="110">
        <v>9400.5499999999993</v>
      </c>
      <c r="J2675" s="110">
        <v>9686.0499999999993</v>
      </c>
      <c r="K2675" s="110">
        <v>9736.0499999999993</v>
      </c>
      <c r="L2675" s="110">
        <v>9963.0499999999993</v>
      </c>
    </row>
    <row r="2676" spans="1:12" ht="13.5" x14ac:dyDescent="0.25">
      <c r="A2676" s="65" t="s">
        <v>67</v>
      </c>
      <c r="B2676" t="s">
        <v>70</v>
      </c>
      <c r="C2676" t="s">
        <v>221</v>
      </c>
      <c r="D2676" s="110">
        <v>18787.5</v>
      </c>
      <c r="E2676" s="110">
        <v>18787.5</v>
      </c>
      <c r="F2676" s="110">
        <v>18787.5</v>
      </c>
      <c r="I2676" s="110">
        <v>17550</v>
      </c>
      <c r="J2676" s="110">
        <v>17910</v>
      </c>
      <c r="K2676" s="110">
        <v>17910</v>
      </c>
    </row>
    <row r="2677" spans="1:12" ht="13.5" x14ac:dyDescent="0.25">
      <c r="A2677" s="65" t="s">
        <v>67</v>
      </c>
      <c r="B2677" t="s">
        <v>70</v>
      </c>
      <c r="C2677" t="s">
        <v>222</v>
      </c>
      <c r="D2677" s="110">
        <v>18335.5</v>
      </c>
      <c r="E2677" s="110">
        <v>18335.5</v>
      </c>
      <c r="I2677" s="110">
        <v>16378</v>
      </c>
      <c r="J2677" s="110">
        <v>17158</v>
      </c>
    </row>
    <row r="2678" spans="1:12" ht="13.5" x14ac:dyDescent="0.25">
      <c r="A2678" s="65" t="s">
        <v>67</v>
      </c>
      <c r="B2678" t="s">
        <v>70</v>
      </c>
      <c r="C2678" t="s">
        <v>223</v>
      </c>
      <c r="D2678" s="110">
        <v>16595.5</v>
      </c>
      <c r="I2678" s="110">
        <v>12923</v>
      </c>
    </row>
    <row r="2679" spans="1:12" ht="13.5" x14ac:dyDescent="0.25">
      <c r="A2679" s="65" t="s">
        <v>67</v>
      </c>
      <c r="B2679" t="s">
        <v>110</v>
      </c>
      <c r="C2679" t="s">
        <v>220</v>
      </c>
      <c r="D2679" s="110">
        <v>50766.25</v>
      </c>
      <c r="E2679" s="110">
        <v>48951.199999999997</v>
      </c>
      <c r="F2679" s="110">
        <v>48719.199999999997</v>
      </c>
      <c r="G2679" s="110">
        <v>48719.199999999997</v>
      </c>
      <c r="I2679" s="110">
        <v>19892.25</v>
      </c>
      <c r="J2679" s="110">
        <v>38322</v>
      </c>
      <c r="K2679" s="110">
        <v>39402</v>
      </c>
      <c r="L2679" s="110">
        <v>40222</v>
      </c>
    </row>
    <row r="2680" spans="1:12" ht="13.5" x14ac:dyDescent="0.25">
      <c r="A2680" s="65" t="s">
        <v>67</v>
      </c>
      <c r="B2680" t="s">
        <v>110</v>
      </c>
      <c r="C2680" t="s">
        <v>221</v>
      </c>
      <c r="D2680" s="110">
        <v>79582.850000000006</v>
      </c>
      <c r="E2680" s="110">
        <v>77274.8</v>
      </c>
      <c r="F2680" s="110">
        <v>77316.2</v>
      </c>
      <c r="I2680" s="110">
        <v>40310.85</v>
      </c>
      <c r="J2680" s="110">
        <v>64011.3</v>
      </c>
      <c r="K2680" s="110">
        <v>67456.95</v>
      </c>
    </row>
    <row r="2681" spans="1:12" ht="13.5" x14ac:dyDescent="0.25">
      <c r="A2681" s="65" t="s">
        <v>67</v>
      </c>
      <c r="B2681" t="s">
        <v>110</v>
      </c>
      <c r="C2681" t="s">
        <v>222</v>
      </c>
      <c r="D2681" s="110">
        <v>79113.61</v>
      </c>
      <c r="E2681" s="110">
        <v>76818.210000000006</v>
      </c>
      <c r="I2681" s="110">
        <v>38151.21</v>
      </c>
      <c r="J2681" s="110">
        <v>62356.959999999999</v>
      </c>
    </row>
    <row r="2682" spans="1:12" ht="13.5" x14ac:dyDescent="0.25">
      <c r="A2682" s="65" t="s">
        <v>67</v>
      </c>
      <c r="B2682" t="s">
        <v>110</v>
      </c>
      <c r="C2682" t="s">
        <v>223</v>
      </c>
      <c r="D2682" s="110">
        <v>67342.5</v>
      </c>
      <c r="I2682" s="110">
        <v>30238.5</v>
      </c>
    </row>
  </sheetData>
  <sortState ref="A3:M2682">
    <sortCondition ref="A3:A2682"/>
  </sortState>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workbookViewId="0">
      <selection activeCell="B11" sqref="B11"/>
    </sheetView>
  </sheetViews>
  <sheetFormatPr defaultColWidth="9.140625" defaultRowHeight="13.5" x14ac:dyDescent="0.25"/>
  <cols>
    <col min="1" max="1" width="20.85546875" style="2" customWidth="1"/>
    <col min="2" max="2" width="14.42578125" style="2" customWidth="1"/>
    <col min="3" max="3" width="12.42578125" style="2" customWidth="1"/>
    <col min="4" max="4" width="18.42578125" style="2" bestFit="1"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x14ac:dyDescent="0.25">
      <c r="A1" s="4" t="s">
        <v>81</v>
      </c>
      <c r="B1" s="2" t="s">
        <v>189</v>
      </c>
      <c r="D1" s="4" t="s">
        <v>82</v>
      </c>
      <c r="E1" s="2" t="str">
        <f>IF('Circuit Criminal'!D4="","None",'Circuit Criminal'!D4)</f>
        <v>Brevard</v>
      </c>
      <c r="G1" s="22" t="s">
        <v>119</v>
      </c>
      <c r="H1" s="23" t="s">
        <v>113</v>
      </c>
      <c r="I1" s="23" t="s">
        <v>114</v>
      </c>
      <c r="J1" s="23" t="s">
        <v>115</v>
      </c>
      <c r="K1" s="23" t="s">
        <v>116</v>
      </c>
      <c r="L1" s="24" t="s">
        <v>117</v>
      </c>
    </row>
    <row r="2" spans="1:12" x14ac:dyDescent="0.25">
      <c r="A2" s="4" t="s">
        <v>80</v>
      </c>
      <c r="B2" s="2" t="s">
        <v>188</v>
      </c>
      <c r="G2" s="16">
        <v>1</v>
      </c>
      <c r="H2" s="17" t="s">
        <v>190</v>
      </c>
      <c r="I2" s="17" t="s">
        <v>118</v>
      </c>
      <c r="J2" s="17" t="s">
        <v>204</v>
      </c>
      <c r="K2" s="17">
        <v>21</v>
      </c>
      <c r="L2" s="18">
        <v>100</v>
      </c>
    </row>
    <row r="3" spans="1:12" x14ac:dyDescent="0.25">
      <c r="G3" s="16">
        <v>2</v>
      </c>
      <c r="H3" s="95" t="s">
        <v>206</v>
      </c>
      <c r="I3" s="17" t="s">
        <v>118</v>
      </c>
      <c r="J3" s="17" t="s">
        <v>205</v>
      </c>
      <c r="K3" s="17">
        <v>102</v>
      </c>
      <c r="L3" s="18">
        <v>209</v>
      </c>
    </row>
    <row r="4" spans="1:12" x14ac:dyDescent="0.25">
      <c r="G4" s="16">
        <v>3</v>
      </c>
      <c r="H4" s="95" t="s">
        <v>120</v>
      </c>
      <c r="I4" s="17" t="s">
        <v>118</v>
      </c>
      <c r="J4" s="17" t="s">
        <v>121</v>
      </c>
      <c r="K4" s="17">
        <v>211</v>
      </c>
      <c r="L4" s="18">
        <v>246</v>
      </c>
    </row>
    <row r="5" spans="1:12" x14ac:dyDescent="0.25">
      <c r="A5" s="3" t="s">
        <v>83</v>
      </c>
      <c r="B5" s="26"/>
      <c r="G5" s="16">
        <v>4</v>
      </c>
      <c r="H5" s="17"/>
      <c r="I5" s="17"/>
      <c r="J5" s="17"/>
      <c r="K5" s="17"/>
      <c r="L5" s="18"/>
    </row>
    <row r="6" spans="1:12" x14ac:dyDescent="0.25">
      <c r="A6" s="3" t="s">
        <v>84</v>
      </c>
      <c r="B6" s="27"/>
      <c r="G6" s="16">
        <v>5</v>
      </c>
      <c r="H6" s="17"/>
      <c r="I6" s="17"/>
      <c r="J6" s="17"/>
      <c r="K6" s="17"/>
      <c r="L6" s="18"/>
    </row>
    <row r="7" spans="1:12" x14ac:dyDescent="0.25">
      <c r="A7" s="3" t="s">
        <v>86</v>
      </c>
      <c r="B7" s="2" t="str">
        <f>'Circuit Criminal'!H4</f>
        <v>Qtr 2: Jan - Mar</v>
      </c>
      <c r="G7" s="16">
        <v>6</v>
      </c>
      <c r="H7" s="17"/>
      <c r="I7" s="17"/>
      <c r="J7" s="17"/>
      <c r="K7" s="17"/>
      <c r="L7" s="18"/>
    </row>
    <row r="8" spans="1:12" x14ac:dyDescent="0.25">
      <c r="A8" s="3" t="s">
        <v>88</v>
      </c>
      <c r="B8" s="2">
        <f>IF('Circuit Criminal'!L4="",1,'Circuit Criminal'!L4)</f>
        <v>2</v>
      </c>
      <c r="G8" s="16">
        <v>7</v>
      </c>
      <c r="H8" s="17"/>
      <c r="I8" s="17"/>
      <c r="J8" s="17"/>
      <c r="K8" s="17"/>
      <c r="L8" s="18"/>
    </row>
    <row r="9" spans="1:12" x14ac:dyDescent="0.25">
      <c r="A9" s="3" t="s">
        <v>85</v>
      </c>
      <c r="B9" s="13" t="str">
        <f>IF('Circuit Criminal'!H4="","Unknown",'Circuit Criminal'!H4)</f>
        <v>Qtr 2: Jan - Mar</v>
      </c>
      <c r="C9" s="25"/>
      <c r="G9" s="16">
        <v>8</v>
      </c>
      <c r="H9" s="17"/>
      <c r="I9" s="17"/>
      <c r="J9" s="17"/>
      <c r="K9" s="17"/>
      <c r="L9" s="18"/>
    </row>
    <row r="10" spans="1:12" x14ac:dyDescent="0.25">
      <c r="A10" s="3" t="s">
        <v>87</v>
      </c>
      <c r="B10" s="2" t="str">
        <f>E1&amp;" FY1718 "&amp;B1&amp;" "&amp;B9&amp;" Ver"&amp;B8&amp;" "&amp;TEXT(B5,"Mmddyy")&amp;".xlsx"</f>
        <v>Brevard FY1718 Collections Qtr 2: Jan - Mar Ver2 010000.xlsx</v>
      </c>
      <c r="G10" s="16">
        <v>9</v>
      </c>
      <c r="H10" s="17"/>
      <c r="I10" s="17"/>
      <c r="J10" s="17"/>
      <c r="K10" s="17"/>
      <c r="L10" s="18"/>
    </row>
    <row r="11" spans="1:12" x14ac:dyDescent="0.25">
      <c r="A11" s="3" t="s">
        <v>89</v>
      </c>
      <c r="G11" s="16">
        <v>10</v>
      </c>
      <c r="H11" s="17"/>
      <c r="I11" s="17"/>
      <c r="J11" s="17"/>
      <c r="K11" s="17"/>
      <c r="L11" s="18"/>
    </row>
    <row r="12" spans="1:12" ht="14.25" thickBot="1" x14ac:dyDescent="0.3">
      <c r="G12" s="19">
        <v>11</v>
      </c>
      <c r="H12" s="20"/>
      <c r="I12" s="20"/>
      <c r="J12" s="20"/>
      <c r="K12" s="20"/>
      <c r="L12" s="21"/>
    </row>
    <row r="13" spans="1:12" x14ac:dyDescent="0.25">
      <c r="A13" s="3" t="s">
        <v>112</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71</v>
      </c>
      <c r="B20" s="5" t="s">
        <v>171</v>
      </c>
      <c r="C20" s="5" t="s">
        <v>172</v>
      </c>
      <c r="D20" s="5" t="s">
        <v>173</v>
      </c>
      <c r="E20" s="5" t="s">
        <v>174</v>
      </c>
      <c r="F20" s="5" t="s">
        <v>175</v>
      </c>
      <c r="G20" s="5" t="s">
        <v>176</v>
      </c>
      <c r="H20" s="5" t="s">
        <v>197</v>
      </c>
      <c r="I20" s="5" t="s">
        <v>178</v>
      </c>
      <c r="J20" s="5" t="s">
        <v>179</v>
      </c>
      <c r="K20" s="5" t="s">
        <v>180</v>
      </c>
      <c r="L20" s="5" t="s">
        <v>181</v>
      </c>
      <c r="M20" s="5" t="s">
        <v>198</v>
      </c>
      <c r="N20" s="5" t="s">
        <v>199</v>
      </c>
      <c r="O20" s="4" t="s">
        <v>103</v>
      </c>
    </row>
    <row r="21" spans="1:28" ht="15" x14ac:dyDescent="0.25">
      <c r="A21" s="2">
        <f>IFERROR(INDEX(LookupData!O3:O69,MATCH(E1,LookupData!S3:S69,0)),0)</f>
        <v>5</v>
      </c>
      <c r="B21" t="s">
        <v>104</v>
      </c>
      <c r="C21" t="s">
        <v>220</v>
      </c>
      <c r="D21" s="15">
        <f ca="1">INDIRECT("'"&amp;$B21&amp;"'!$e$14")</f>
        <v>1268761.2</v>
      </c>
      <c r="E21" s="15">
        <f ca="1">INDIRECT("'"&amp;$B21&amp;"'!$f$14")</f>
        <v>1262685.7</v>
      </c>
      <c r="F21" s="15">
        <f ca="1">INDIRECT("'"&amp;$B21&amp;"'!$g$14")</f>
        <v>1262320.2</v>
      </c>
      <c r="G21" s="15">
        <f ca="1">INDIRECT("'"&amp;$B21&amp;"'!$h$14")</f>
        <v>1262063.2</v>
      </c>
      <c r="H21" s="15">
        <f ca="1">INDIRECT("'"&amp;$B21&amp;"'!$i$14")</f>
        <v>1261756.2</v>
      </c>
      <c r="I21" s="15">
        <f ca="1">INDIRECT("'"&amp;$B21&amp;"'!$e$13")</f>
        <v>42628.2</v>
      </c>
      <c r="J21" s="15">
        <f ca="1">INDIRECT("'"&amp;$B21&amp;"'!$f$13")</f>
        <v>63175.43</v>
      </c>
      <c r="K21" s="15">
        <f ca="1">INDIRECT("'"&amp;$B21&amp;"'!$g$13")</f>
        <v>86017.35</v>
      </c>
      <c r="L21" s="15">
        <f ca="1">INDIRECT("'"&amp;$B21&amp;"'!$h$13")</f>
        <v>103042.19</v>
      </c>
      <c r="M21" s="15">
        <f ca="1">INDIRECT("'"&amp;$B21&amp;"'!$i$13")</f>
        <v>118471.69</v>
      </c>
      <c r="N21" s="94">
        <f ca="1">IFERROR(INDIRECT("'"&amp;$B21&amp;"'!$i$13")/INDIRECT("'"&amp;$B21&amp;"'!$i$14"),1)</f>
        <v>9.3894280051883244E-2</v>
      </c>
      <c r="O21" s="2">
        <v>12</v>
      </c>
      <c r="Q21" s="90"/>
      <c r="R21" s="90"/>
      <c r="S21" s="90"/>
      <c r="T21" s="90"/>
      <c r="U21" s="90"/>
      <c r="V21" s="14"/>
      <c r="Y21" s="14"/>
      <c r="Z21" s="14"/>
      <c r="AA21" s="14"/>
      <c r="AB21" s="14"/>
    </row>
    <row r="22" spans="1:28" ht="15" x14ac:dyDescent="0.25">
      <c r="A22" s="2">
        <f>A$21</f>
        <v>5</v>
      </c>
      <c r="B22" t="s">
        <v>104</v>
      </c>
      <c r="C22" t="s">
        <v>221</v>
      </c>
      <c r="D22" s="15">
        <f ca="1">INDIRECT("'"&amp;$B22&amp;"'!$f$18")</f>
        <v>1293894.45</v>
      </c>
      <c r="E22" s="15">
        <f ca="1">INDIRECT("'"&amp;$B22&amp;"'!$g$18")</f>
        <v>1289040.45</v>
      </c>
      <c r="F22" s="15">
        <f ca="1">INDIRECT("'"&amp;$B22&amp;"'!$h$18")</f>
        <v>1287923.45</v>
      </c>
      <c r="G22" s="15">
        <f ca="1">INDIRECT("'"&amp;$B22&amp;"'!$i$18")</f>
        <v>1287409.45</v>
      </c>
      <c r="H22" s="15">
        <f ca="1">INDIRECT("'"&amp;$B22&amp;"'!$j$18")</f>
        <v>1287184.45</v>
      </c>
      <c r="I22" s="15">
        <f ca="1">INDIRECT("'"&amp;$B22&amp;"'!$f$17")</f>
        <v>43634.83</v>
      </c>
      <c r="J22" s="15">
        <f ca="1">INDIRECT("'"&amp;$B22&amp;"'!$g$17")</f>
        <v>67205.59</v>
      </c>
      <c r="K22" s="15">
        <f ca="1">INDIRECT("'"&amp;$B22&amp;"'!$h$17")</f>
        <v>87415.92</v>
      </c>
      <c r="L22" s="15">
        <f ca="1">INDIRECT("'"&amp;$B22&amp;"'!$i$17")</f>
        <v>108312.1</v>
      </c>
      <c r="M22" s="15">
        <f ca="1">INDIRECT("'"&amp;$B22&amp;"'!$j$17")</f>
        <v>132346.13</v>
      </c>
      <c r="N22" s="94">
        <f ca="1">IFERROR(INDIRECT("'"&amp;$B22&amp;"'!$j$17")/INDIRECT("'"&amp;$B22&amp;"'!$j$18"),1)</f>
        <v>0.10281831014972252</v>
      </c>
      <c r="O22" s="2">
        <v>12</v>
      </c>
      <c r="Q22" s="90"/>
      <c r="R22" s="90"/>
      <c r="S22" s="90"/>
      <c r="T22" s="90"/>
      <c r="U22" s="14"/>
      <c r="V22" s="14"/>
      <c r="Y22" s="14"/>
      <c r="Z22" s="14"/>
      <c r="AA22" s="14"/>
      <c r="AB22" s="14"/>
    </row>
    <row r="23" spans="1:28" x14ac:dyDescent="0.25">
      <c r="A23" s="2">
        <f t="shared" ref="A23:A86" si="0">A$21</f>
        <v>5</v>
      </c>
      <c r="B23" t="s">
        <v>104</v>
      </c>
      <c r="C23" t="s">
        <v>222</v>
      </c>
      <c r="D23" s="15">
        <f ca="1">INDIRECT("'"&amp;$B23&amp;"'!$g$22")</f>
        <v>891894.26</v>
      </c>
      <c r="E23" s="15">
        <f ca="1">INDIRECT("'"&amp;$B23&amp;"'!$h$22")</f>
        <v>887151.26</v>
      </c>
      <c r="F23" s="15">
        <f ca="1">INDIRECT("'"&amp;$B23&amp;"'!$i$22")</f>
        <v>886178.76</v>
      </c>
      <c r="G23" s="15">
        <f ca="1">INDIRECT("'"&amp;$B23&amp;"'!$j$22")</f>
        <v>885716.76</v>
      </c>
      <c r="H23" s="15">
        <f ca="1">INDIRECT("'"&amp;$B23&amp;"'!$k$22")</f>
        <v>0</v>
      </c>
      <c r="I23" s="15">
        <f ca="1">INDIRECT("'"&amp;$B23&amp;"'!$g$21")</f>
        <v>42614.15</v>
      </c>
      <c r="J23" s="15">
        <f ca="1">INDIRECT("'"&amp;$B23&amp;"'!$h$21")</f>
        <v>61928.05</v>
      </c>
      <c r="K23" s="15">
        <f ca="1">INDIRECT("'"&amp;$B23&amp;"'!$i$21")</f>
        <v>80086.13</v>
      </c>
      <c r="L23" s="15">
        <f ca="1">INDIRECT("'"&amp;$B23&amp;"'!$j$21")</f>
        <v>109898.32</v>
      </c>
      <c r="M23" s="15">
        <f ca="1">INDIRECT("'"&amp;$B23&amp;"'!$k$21")</f>
        <v>0</v>
      </c>
      <c r="N23" s="94">
        <f ca="1">IFERROR(INDIRECT("'"&amp;$B23&amp;"'!$k$21")/INDIRECT("'"&amp;$B23&amp;"'!$k$22"),1)</f>
        <v>1</v>
      </c>
      <c r="O23" s="2">
        <v>12</v>
      </c>
      <c r="U23" s="14"/>
      <c r="V23" s="14"/>
      <c r="W23" s="14"/>
      <c r="Y23" s="14"/>
      <c r="Z23" s="14"/>
      <c r="AA23" s="14"/>
      <c r="AB23" s="14"/>
    </row>
    <row r="24" spans="1:28" x14ac:dyDescent="0.25">
      <c r="A24" s="2">
        <f t="shared" si="0"/>
        <v>5</v>
      </c>
      <c r="B24" t="s">
        <v>104</v>
      </c>
      <c r="C24" t="s">
        <v>223</v>
      </c>
      <c r="D24" s="15">
        <f ca="1">INDIRECT("'"&amp;$B24&amp;"'!$h$26")</f>
        <v>1113000.55</v>
      </c>
      <c r="E24" s="15">
        <f ca="1">INDIRECT("'"&amp;$B24&amp;"'!$i$26")</f>
        <v>1107876.55</v>
      </c>
      <c r="F24" s="15">
        <f ca="1">INDIRECT("'"&amp;$B24&amp;"'!$j$26")</f>
        <v>1105968.05</v>
      </c>
      <c r="G24" s="15">
        <f ca="1">INDIRECT("'"&amp;$B24&amp;"'!$k$26")</f>
        <v>0</v>
      </c>
      <c r="H24" s="15">
        <f ca="1">INDIRECT("'"&amp;$B24&amp;"'!$l$26")</f>
        <v>0</v>
      </c>
      <c r="I24" s="15">
        <f ca="1">INDIRECT("'"&amp;$B24&amp;"'!$h$25")</f>
        <v>34682.01</v>
      </c>
      <c r="J24" s="15">
        <f ca="1">INDIRECT("'"&amp;$B24&amp;"'!$i$25")</f>
        <v>56711.89</v>
      </c>
      <c r="K24" s="15">
        <f ca="1">INDIRECT("'"&amp;$B24&amp;"'!$j$25")</f>
        <v>75800.55</v>
      </c>
      <c r="L24" s="15">
        <f ca="1">INDIRECT("'"&amp;$B24&amp;"'!$k$25")</f>
        <v>0</v>
      </c>
      <c r="M24" s="15">
        <f ca="1">INDIRECT("'"&amp;$B24&amp;"'!$l$25")</f>
        <v>0</v>
      </c>
      <c r="N24" s="94">
        <f ca="1">IFERROR(INDIRECT("'"&amp;$B24&amp;"'!$l$25")/INDIRECT("'"&amp;$B24&amp;"'!$l$26"),1)</f>
        <v>1</v>
      </c>
      <c r="O24" s="2">
        <v>12</v>
      </c>
      <c r="U24" s="14"/>
      <c r="V24" s="14"/>
      <c r="X24" s="14"/>
      <c r="Y24" s="14"/>
      <c r="Z24" s="14"/>
      <c r="AA24" s="14"/>
      <c r="AB24" s="14"/>
    </row>
    <row r="25" spans="1:28" x14ac:dyDescent="0.25">
      <c r="A25" s="2">
        <f t="shared" si="0"/>
        <v>5</v>
      </c>
      <c r="B25" t="s">
        <v>104</v>
      </c>
      <c r="C25" t="s">
        <v>224</v>
      </c>
      <c r="D25" s="15">
        <f ca="1">INDIRECT("'"&amp;$B25&amp;"'!$i$30")</f>
        <v>898984.65</v>
      </c>
      <c r="E25" s="15">
        <f ca="1">INDIRECT("'"&amp;$B25&amp;"'!$j$30")</f>
        <v>844196.15</v>
      </c>
      <c r="F25" s="15">
        <f ca="1">INDIRECT("'"&amp;$B25&amp;"'!$k$30")</f>
        <v>0</v>
      </c>
      <c r="G25" s="15">
        <f ca="1">INDIRECT("'"&amp;$B25&amp;"'!$l$30")</f>
        <v>0</v>
      </c>
      <c r="H25" s="15"/>
      <c r="I25" s="15">
        <f ca="1">INDIRECT("'"&amp;$B25&amp;"'!$i$29")</f>
        <v>32986.14</v>
      </c>
      <c r="J25" s="15">
        <f ca="1">INDIRECT("'"&amp;$B25&amp;"'!$j$29")</f>
        <v>50676.160000000003</v>
      </c>
      <c r="K25" s="15">
        <f ca="1">INDIRECT("'"&amp;$B25&amp;"'!$k$29")</f>
        <v>0</v>
      </c>
      <c r="L25" s="15">
        <f ca="1">INDIRECT("'"&amp;$B25&amp;"'!$l$29")</f>
        <v>0</v>
      </c>
      <c r="M25" s="15"/>
      <c r="N25" s="94">
        <v>1</v>
      </c>
      <c r="O25" s="2">
        <v>12</v>
      </c>
      <c r="U25" s="14"/>
      <c r="V25" s="14"/>
      <c r="X25" s="14"/>
      <c r="Y25" s="14"/>
      <c r="Z25" s="14"/>
      <c r="AA25" s="14"/>
      <c r="AB25" s="14"/>
    </row>
    <row r="26" spans="1:28" x14ac:dyDescent="0.25">
      <c r="A26" s="2">
        <f t="shared" si="0"/>
        <v>5</v>
      </c>
      <c r="B26" t="s">
        <v>104</v>
      </c>
      <c r="C26" t="s">
        <v>225</v>
      </c>
      <c r="D26" s="15">
        <f ca="1">INDIRECT("'"&amp;$B26&amp;"'!$j$34")</f>
        <v>1620671.45</v>
      </c>
      <c r="E26" s="15">
        <f ca="1">INDIRECT("'"&amp;$B26&amp;"'!$k$34")</f>
        <v>0</v>
      </c>
      <c r="F26" s="15">
        <f ca="1">INDIRECT("'"&amp;$B26&amp;"'!$l$34")</f>
        <v>0</v>
      </c>
      <c r="G26" s="15"/>
      <c r="H26" s="15"/>
      <c r="I26" s="15">
        <f ca="1">INDIRECT("'"&amp;$B26&amp;"'!$j$33")</f>
        <v>45023.79</v>
      </c>
      <c r="J26" s="15">
        <f ca="1">INDIRECT("'"&amp;$B26&amp;"'!$k$33")</f>
        <v>0</v>
      </c>
      <c r="K26" s="15">
        <f ca="1">INDIRECT("'"&amp;$B26&amp;"'!$l$33")</f>
        <v>0</v>
      </c>
      <c r="L26" s="15"/>
      <c r="M26" s="15"/>
      <c r="N26" s="94">
        <v>1</v>
      </c>
      <c r="O26" s="2">
        <v>12</v>
      </c>
      <c r="U26" s="14"/>
      <c r="V26" s="14"/>
      <c r="W26" s="14"/>
      <c r="X26" s="14"/>
      <c r="Y26" s="14"/>
      <c r="Z26" s="14"/>
      <c r="AA26" s="14"/>
      <c r="AB26" s="14"/>
    </row>
    <row r="27" spans="1:28" x14ac:dyDescent="0.25">
      <c r="A27" s="2">
        <f t="shared" si="0"/>
        <v>5</v>
      </c>
      <c r="B27" t="s">
        <v>104</v>
      </c>
      <c r="C27" t="s">
        <v>226</v>
      </c>
      <c r="D27" s="15">
        <f ca="1">INDIRECT("'"&amp;$B27&amp;"'!$k$38")</f>
        <v>0</v>
      </c>
      <c r="E27" s="15">
        <f ca="1">INDIRECT("'"&amp;$B27&amp;"'!$l$38")</f>
        <v>0</v>
      </c>
      <c r="F27" s="15"/>
      <c r="G27" s="15"/>
      <c r="H27" s="15"/>
      <c r="I27" s="15">
        <f ca="1">INDIRECT("'"&amp;$B27&amp;"'!$k$37")</f>
        <v>0</v>
      </c>
      <c r="J27" s="15">
        <f ca="1">INDIRECT("'"&amp;$B27&amp;"'!$l$37")</f>
        <v>0</v>
      </c>
      <c r="K27" s="15"/>
      <c r="L27" s="15"/>
      <c r="M27" s="15"/>
      <c r="N27" s="94">
        <v>1</v>
      </c>
      <c r="O27" s="2">
        <v>12</v>
      </c>
      <c r="U27" s="14"/>
      <c r="V27" s="14"/>
      <c r="X27" s="14"/>
      <c r="Y27" s="14"/>
      <c r="Z27" s="14"/>
      <c r="AA27" s="14"/>
      <c r="AB27" s="14"/>
    </row>
    <row r="28" spans="1:28" x14ac:dyDescent="0.25">
      <c r="A28" s="2">
        <f t="shared" si="0"/>
        <v>5</v>
      </c>
      <c r="B28" t="s">
        <v>104</v>
      </c>
      <c r="C28" t="s">
        <v>227</v>
      </c>
      <c r="D28" s="15">
        <f ca="1">INDIRECT("'"&amp;$B28&amp;"'!$l$42")</f>
        <v>0</v>
      </c>
      <c r="E28" s="15"/>
      <c r="F28" s="15"/>
      <c r="G28" s="15"/>
      <c r="H28" s="15"/>
      <c r="I28" s="15">
        <f ca="1">INDIRECT("'"&amp;$B28&amp;"'!$l$41")</f>
        <v>0</v>
      </c>
      <c r="J28" s="15"/>
      <c r="K28" s="15"/>
      <c r="L28" s="15"/>
      <c r="M28" s="15"/>
      <c r="N28" s="94">
        <v>1</v>
      </c>
      <c r="O28" s="2">
        <v>12</v>
      </c>
      <c r="U28" s="14"/>
      <c r="V28" s="14"/>
      <c r="X28" s="14"/>
      <c r="Y28" s="14"/>
      <c r="Z28" s="14"/>
      <c r="AA28" s="14"/>
      <c r="AB28" s="14"/>
    </row>
    <row r="29" spans="1:28" x14ac:dyDescent="0.25">
      <c r="A29" s="2">
        <f t="shared" si="0"/>
        <v>5</v>
      </c>
      <c r="B29" t="s">
        <v>140</v>
      </c>
      <c r="C29" t="s">
        <v>220</v>
      </c>
      <c r="D29" s="15">
        <f t="shared" ref="D29" ca="1" si="1">INDIRECT("'"&amp;$B29&amp;"'!$e$14")</f>
        <v>527003</v>
      </c>
      <c r="E29" s="15">
        <f t="shared" ref="E29" ca="1" si="2">INDIRECT("'"&amp;$B29&amp;"'!$f$14")</f>
        <v>527003</v>
      </c>
      <c r="F29" s="15">
        <f t="shared" ref="F29" ca="1" si="3">INDIRECT("'"&amp;$B29&amp;"'!$g$14")</f>
        <v>527003</v>
      </c>
      <c r="G29" s="15">
        <f t="shared" ref="G29" ca="1" si="4">INDIRECT("'"&amp;$B29&amp;"'!$h$14")</f>
        <v>527003</v>
      </c>
      <c r="H29" s="15">
        <f t="shared" ref="H29" ca="1" si="5">INDIRECT("'"&amp;$B29&amp;"'!$i$14")</f>
        <v>527003</v>
      </c>
      <c r="I29" s="15">
        <f t="shared" ref="I29" ca="1" si="6">INDIRECT("'"&amp;$B29&amp;"'!$e$13")</f>
        <v>224</v>
      </c>
      <c r="J29" s="15">
        <f t="shared" ref="J29" ca="1" si="7">INDIRECT("'"&amp;$B29&amp;"'!$f$13")</f>
        <v>317.98</v>
      </c>
      <c r="K29" s="15">
        <f t="shared" ref="K29" ca="1" si="8">INDIRECT("'"&amp;$B29&amp;"'!$g$13")</f>
        <v>324.98</v>
      </c>
      <c r="L29" s="15">
        <f t="shared" ref="L29" ca="1" si="9">INDIRECT("'"&amp;$B29&amp;"'!$h$13")</f>
        <v>324.98</v>
      </c>
      <c r="M29" s="15">
        <f t="shared" ref="M29" ca="1" si="10">INDIRECT("'"&amp;$B29&amp;"'!$i$13")</f>
        <v>324.98</v>
      </c>
      <c r="N29" s="94">
        <f ca="1">IFERROR(INDIRECT("'"&amp;$B29&amp;"'!$i$13")/INDIRECT("'"&amp;$B29&amp;"'!$i$14"),1)</f>
        <v>6.1665683117553415E-4</v>
      </c>
      <c r="O29" s="2">
        <v>12</v>
      </c>
      <c r="V29" s="14"/>
      <c r="W29" s="14"/>
      <c r="X29" s="14"/>
      <c r="Y29" s="14"/>
      <c r="Z29" s="14"/>
      <c r="AA29" s="14"/>
    </row>
    <row r="30" spans="1:28" x14ac:dyDescent="0.25">
      <c r="A30" s="2">
        <f t="shared" si="0"/>
        <v>5</v>
      </c>
      <c r="B30" t="s">
        <v>140</v>
      </c>
      <c r="C30" t="s">
        <v>221</v>
      </c>
      <c r="D30" s="15">
        <f t="shared" ref="D30" ca="1" si="11">INDIRECT("'"&amp;$B30&amp;"'!$f$18")</f>
        <v>173944.5</v>
      </c>
      <c r="E30" s="15">
        <f t="shared" ref="E30" ca="1" si="12">INDIRECT("'"&amp;$B30&amp;"'!$g$18")</f>
        <v>173944.5</v>
      </c>
      <c r="F30" s="15">
        <f t="shared" ref="F30" ca="1" si="13">INDIRECT("'"&amp;$B30&amp;"'!$h$18")</f>
        <v>173844.5</v>
      </c>
      <c r="G30" s="15">
        <f t="shared" ref="G30" ca="1" si="14">INDIRECT("'"&amp;$B30&amp;"'!$i$18")</f>
        <v>173844.5</v>
      </c>
      <c r="H30" s="15">
        <f t="shared" ref="H30" ca="1" si="15">INDIRECT("'"&amp;$B30&amp;"'!$j$18")</f>
        <v>173844.5</v>
      </c>
      <c r="I30" s="15">
        <f t="shared" ref="I30" ca="1" si="16">INDIRECT("'"&amp;$B30&amp;"'!$f$17")</f>
        <v>316</v>
      </c>
      <c r="J30" s="15">
        <f t="shared" ref="J30" ca="1" si="17">INDIRECT("'"&amp;$B30&amp;"'!$g$17")</f>
        <v>323</v>
      </c>
      <c r="K30" s="15">
        <f t="shared" ref="K30" ca="1" si="18">INDIRECT("'"&amp;$B30&amp;"'!$h$17")</f>
        <v>323</v>
      </c>
      <c r="L30" s="15">
        <f t="shared" ref="L30" ca="1" si="19">INDIRECT("'"&amp;$B30&amp;"'!$i$17")</f>
        <v>323</v>
      </c>
      <c r="M30" s="15">
        <f t="shared" ref="M30" ca="1" si="20">INDIRECT("'"&amp;$B30&amp;"'!$j$17")</f>
        <v>372.56</v>
      </c>
      <c r="N30" s="94">
        <f ca="1">IFERROR(INDIRECT("'"&amp;$B30&amp;"'!$j$17")/INDIRECT("'"&amp;$B30&amp;"'!$j$18"),1)</f>
        <v>2.1430646353494073E-3</v>
      </c>
      <c r="O30" s="2">
        <v>12</v>
      </c>
      <c r="V30" s="14"/>
      <c r="W30" s="14"/>
      <c r="X30" s="14"/>
      <c r="Y30" s="14"/>
      <c r="Z30" s="14"/>
      <c r="AA30" s="14"/>
    </row>
    <row r="31" spans="1:28" x14ac:dyDescent="0.25">
      <c r="A31" s="2">
        <f t="shared" si="0"/>
        <v>5</v>
      </c>
      <c r="B31" t="s">
        <v>140</v>
      </c>
      <c r="C31" t="s">
        <v>222</v>
      </c>
      <c r="D31" s="15">
        <f t="shared" ref="D31" ca="1" si="21">INDIRECT("'"&amp;$B31&amp;"'!$g$22")</f>
        <v>107661</v>
      </c>
      <c r="E31" s="15">
        <f t="shared" ref="E31" ca="1" si="22">INDIRECT("'"&amp;$B31&amp;"'!$h$22")</f>
        <v>107661</v>
      </c>
      <c r="F31" s="15">
        <f t="shared" ref="F31" ca="1" si="23">INDIRECT("'"&amp;$B31&amp;"'!$i$22")</f>
        <v>107661</v>
      </c>
      <c r="G31" s="15">
        <f t="shared" ref="G31" ca="1" si="24">INDIRECT("'"&amp;$B31&amp;"'!$j$22")</f>
        <v>107661</v>
      </c>
      <c r="H31" s="15">
        <f t="shared" ref="H31" ca="1" si="25">INDIRECT("'"&amp;$B31&amp;"'!$k$22")</f>
        <v>0</v>
      </c>
      <c r="I31" s="15">
        <f t="shared" ref="I31" ca="1" si="26">INDIRECT("'"&amp;$B31&amp;"'!$g$21")</f>
        <v>380</v>
      </c>
      <c r="J31" s="15">
        <f t="shared" ref="J31" ca="1" si="27">INDIRECT("'"&amp;$B31&amp;"'!$h$21")</f>
        <v>400</v>
      </c>
      <c r="K31" s="15">
        <f t="shared" ref="K31" ca="1" si="28">INDIRECT("'"&amp;$B31&amp;"'!$i$21")</f>
        <v>400</v>
      </c>
      <c r="L31" s="15">
        <f t="shared" ref="L31" ca="1" si="29">INDIRECT("'"&amp;$B31&amp;"'!$j$21")</f>
        <v>400</v>
      </c>
      <c r="M31" s="15">
        <f t="shared" ref="M31" ca="1" si="30">INDIRECT("'"&amp;$B31&amp;"'!$k$21")</f>
        <v>0</v>
      </c>
      <c r="N31" s="94">
        <f ca="1">IFERROR(INDIRECT("'"&amp;$B31&amp;"'!$k$21")/INDIRECT("'"&amp;$B31&amp;"'!$k$22"),1)</f>
        <v>1</v>
      </c>
      <c r="O31" s="2">
        <v>12</v>
      </c>
      <c r="V31" s="14"/>
      <c r="W31" s="14"/>
      <c r="X31" s="14"/>
      <c r="Y31" s="14"/>
      <c r="Z31" s="14"/>
      <c r="AA31" s="14"/>
    </row>
    <row r="32" spans="1:28" x14ac:dyDescent="0.25">
      <c r="A32" s="2">
        <f t="shared" si="0"/>
        <v>5</v>
      </c>
      <c r="B32" t="s">
        <v>140</v>
      </c>
      <c r="C32" t="s">
        <v>223</v>
      </c>
      <c r="D32" s="15">
        <f t="shared" ref="D32" ca="1" si="31">INDIRECT("'"&amp;$B32&amp;"'!$h$26")</f>
        <v>267654</v>
      </c>
      <c r="E32" s="15">
        <f t="shared" ref="E32" ca="1" si="32">INDIRECT("'"&amp;$B32&amp;"'!$i$26")</f>
        <v>267654</v>
      </c>
      <c r="F32" s="15">
        <f t="shared" ref="F32" ca="1" si="33">INDIRECT("'"&amp;$B32&amp;"'!$j$26")</f>
        <v>267654</v>
      </c>
      <c r="G32" s="15">
        <f t="shared" ref="G32" ca="1" si="34">INDIRECT("'"&amp;$B32&amp;"'!$k$26")</f>
        <v>0</v>
      </c>
      <c r="H32" s="15">
        <f t="shared" ref="H32" ca="1" si="35">INDIRECT("'"&amp;$B32&amp;"'!$l$26")</f>
        <v>0</v>
      </c>
      <c r="I32" s="15">
        <f t="shared" ref="I32" ca="1" si="36">INDIRECT("'"&amp;$B32&amp;"'!$h$25")</f>
        <v>285</v>
      </c>
      <c r="J32" s="15">
        <f t="shared" ref="J32" ca="1" si="37">INDIRECT("'"&amp;$B32&amp;"'!$i$25")</f>
        <v>345</v>
      </c>
      <c r="K32" s="15">
        <f t="shared" ref="K32" ca="1" si="38">INDIRECT("'"&amp;$B32&amp;"'!$j$25")</f>
        <v>345</v>
      </c>
      <c r="L32" s="15">
        <f t="shared" ref="L32" ca="1" si="39">INDIRECT("'"&amp;$B32&amp;"'!$k$25")</f>
        <v>0</v>
      </c>
      <c r="M32" s="15">
        <f t="shared" ref="M32" ca="1" si="40">INDIRECT("'"&amp;$B32&amp;"'!$l$25")</f>
        <v>0</v>
      </c>
      <c r="N32" s="94">
        <f ca="1">IFERROR(INDIRECT("'"&amp;$B32&amp;"'!$l$25")/INDIRECT("'"&amp;$B32&amp;"'!$l$26"),1)</f>
        <v>1</v>
      </c>
      <c r="O32" s="2">
        <v>12</v>
      </c>
      <c r="V32" s="14"/>
      <c r="W32" s="14"/>
      <c r="X32" s="14"/>
      <c r="Y32" s="14"/>
      <c r="Z32" s="14"/>
      <c r="AA32" s="14"/>
    </row>
    <row r="33" spans="1:27" x14ac:dyDescent="0.25">
      <c r="A33" s="2">
        <f t="shared" si="0"/>
        <v>5</v>
      </c>
      <c r="B33" t="s">
        <v>140</v>
      </c>
      <c r="C33" t="s">
        <v>224</v>
      </c>
      <c r="D33" s="15">
        <f t="shared" ref="D33" ca="1" si="41">INDIRECT("'"&amp;$B33&amp;"'!$i$30")</f>
        <v>82148</v>
      </c>
      <c r="E33" s="15">
        <f t="shared" ref="E33" ca="1" si="42">INDIRECT("'"&amp;$B33&amp;"'!$j$30")</f>
        <v>32148</v>
      </c>
      <c r="F33" s="15">
        <f t="shared" ref="F33" ca="1" si="43">INDIRECT("'"&amp;$B33&amp;"'!$k$30")</f>
        <v>0</v>
      </c>
      <c r="G33" s="15">
        <f t="shared" ref="G33" ca="1" si="44">INDIRECT("'"&amp;$B33&amp;"'!$l$30")</f>
        <v>0</v>
      </c>
      <c r="H33" s="15"/>
      <c r="I33" s="15">
        <f t="shared" ref="I33" ca="1" si="45">INDIRECT("'"&amp;$B33&amp;"'!$i$29")</f>
        <v>247</v>
      </c>
      <c r="J33" s="15">
        <f t="shared" ref="J33" ca="1" si="46">INDIRECT("'"&amp;$B33&amp;"'!$j$29")</f>
        <v>247</v>
      </c>
      <c r="K33" s="15">
        <f t="shared" ref="K33" ca="1" si="47">INDIRECT("'"&amp;$B33&amp;"'!$k$29")</f>
        <v>0</v>
      </c>
      <c r="L33" s="15">
        <f t="shared" ref="L33" ca="1" si="48">INDIRECT("'"&amp;$B33&amp;"'!$l$29")</f>
        <v>0</v>
      </c>
      <c r="M33" s="15"/>
      <c r="N33" s="94">
        <v>1</v>
      </c>
      <c r="O33" s="2">
        <v>12</v>
      </c>
      <c r="V33" s="14"/>
      <c r="W33" s="14"/>
      <c r="X33" s="14"/>
      <c r="Y33" s="14"/>
      <c r="Z33" s="14"/>
      <c r="AA33" s="14"/>
    </row>
    <row r="34" spans="1:27" x14ac:dyDescent="0.25">
      <c r="A34" s="2">
        <f t="shared" si="0"/>
        <v>5</v>
      </c>
      <c r="B34" t="s">
        <v>140</v>
      </c>
      <c r="C34" t="s">
        <v>225</v>
      </c>
      <c r="D34" s="15">
        <f t="shared" ref="D34" ca="1" si="49">INDIRECT("'"&amp;$B34&amp;"'!$j$34")</f>
        <v>841075</v>
      </c>
      <c r="E34" s="15">
        <f t="shared" ref="E34" ca="1" si="50">INDIRECT("'"&amp;$B34&amp;"'!$k$34")</f>
        <v>0</v>
      </c>
      <c r="F34" s="15">
        <f t="shared" ref="F34" ca="1" si="51">INDIRECT("'"&amp;$B34&amp;"'!$l$34")</f>
        <v>0</v>
      </c>
      <c r="G34" s="15"/>
      <c r="H34" s="15"/>
      <c r="I34" s="15">
        <f t="shared" ref="I34" ca="1" si="52">INDIRECT("'"&amp;$B34&amp;"'!$j$33")</f>
        <v>263</v>
      </c>
      <c r="J34" s="15">
        <f t="shared" ref="J34" ca="1" si="53">INDIRECT("'"&amp;$B34&amp;"'!$k$33")</f>
        <v>0</v>
      </c>
      <c r="K34" s="15">
        <f t="shared" ref="K34" ca="1" si="54">INDIRECT("'"&amp;$B34&amp;"'!$l$33")</f>
        <v>0</v>
      </c>
      <c r="L34" s="15"/>
      <c r="M34" s="15"/>
      <c r="N34" s="94">
        <v>1</v>
      </c>
      <c r="O34" s="2">
        <v>12</v>
      </c>
      <c r="V34" s="14"/>
      <c r="W34" s="14"/>
      <c r="X34" s="14"/>
      <c r="Y34" s="14"/>
      <c r="Z34" s="14"/>
      <c r="AA34" s="14"/>
    </row>
    <row r="35" spans="1:27" x14ac:dyDescent="0.25">
      <c r="A35" s="2">
        <f t="shared" si="0"/>
        <v>5</v>
      </c>
      <c r="B35" t="s">
        <v>140</v>
      </c>
      <c r="C35" t="s">
        <v>226</v>
      </c>
      <c r="D35" s="15">
        <f t="shared" ref="D35" ca="1" si="55">INDIRECT("'"&amp;$B35&amp;"'!$k$38")</f>
        <v>0</v>
      </c>
      <c r="E35" s="15">
        <f t="shared" ref="E35" ca="1" si="56">INDIRECT("'"&amp;$B35&amp;"'!$l$38")</f>
        <v>0</v>
      </c>
      <c r="F35" s="15"/>
      <c r="G35" s="15"/>
      <c r="H35" s="15"/>
      <c r="I35" s="15">
        <f t="shared" ref="I35" ca="1" si="57">INDIRECT("'"&amp;$B35&amp;"'!$k$37")</f>
        <v>0</v>
      </c>
      <c r="J35" s="15">
        <f t="shared" ref="J35" ca="1" si="58">INDIRECT("'"&amp;$B35&amp;"'!$l$37")</f>
        <v>0</v>
      </c>
      <c r="K35" s="15"/>
      <c r="L35" s="15"/>
      <c r="M35" s="15"/>
      <c r="N35" s="94">
        <v>1</v>
      </c>
      <c r="O35" s="2">
        <v>12</v>
      </c>
      <c r="V35" s="14"/>
      <c r="W35" s="14"/>
      <c r="X35" s="14"/>
      <c r="Y35" s="14"/>
      <c r="Z35" s="14"/>
      <c r="AA35" s="14"/>
    </row>
    <row r="36" spans="1:27" x14ac:dyDescent="0.25">
      <c r="A36" s="2">
        <f t="shared" si="0"/>
        <v>5</v>
      </c>
      <c r="B36" t="s">
        <v>140</v>
      </c>
      <c r="C36" t="s">
        <v>227</v>
      </c>
      <c r="D36" s="15">
        <f t="shared" ref="D36" ca="1" si="59">INDIRECT("'"&amp;$B36&amp;"'!$l$42")</f>
        <v>0</v>
      </c>
      <c r="E36" s="15"/>
      <c r="F36" s="15"/>
      <c r="G36" s="15"/>
      <c r="H36" s="15"/>
      <c r="I36" s="15">
        <f t="shared" ref="I36" ca="1" si="60">INDIRECT("'"&amp;$B36&amp;"'!$l$41")</f>
        <v>0</v>
      </c>
      <c r="J36" s="15"/>
      <c r="K36" s="15"/>
      <c r="L36" s="15"/>
      <c r="M36" s="15"/>
      <c r="N36" s="94">
        <v>1</v>
      </c>
      <c r="O36" s="2">
        <v>12</v>
      </c>
      <c r="V36" s="14"/>
      <c r="W36" s="14"/>
      <c r="X36" s="14"/>
      <c r="Y36" s="14"/>
      <c r="Z36" s="14"/>
      <c r="AA36" s="14"/>
    </row>
    <row r="37" spans="1:27" x14ac:dyDescent="0.25">
      <c r="A37" s="2">
        <f t="shared" si="0"/>
        <v>5</v>
      </c>
      <c r="B37" t="s">
        <v>105</v>
      </c>
      <c r="C37" t="s">
        <v>220</v>
      </c>
      <c r="D37" s="15">
        <f t="shared" ref="D37" ca="1" si="61">INDIRECT("'"&amp;$B37&amp;"'!$e$14")</f>
        <v>532791.19999999995</v>
      </c>
      <c r="E37" s="15">
        <f t="shared" ref="E37" ca="1" si="62">INDIRECT("'"&amp;$B37&amp;"'!$f$14")</f>
        <v>525804.19999999995</v>
      </c>
      <c r="F37" s="15">
        <f t="shared" ref="F37" ca="1" si="63">INDIRECT("'"&amp;$B37&amp;"'!$g$14")</f>
        <v>524930.19999999995</v>
      </c>
      <c r="G37" s="15">
        <f t="shared" ref="G37" ca="1" si="64">INDIRECT("'"&amp;$B37&amp;"'!$h$14")</f>
        <v>524511.19999999995</v>
      </c>
      <c r="H37" s="15">
        <f t="shared" ref="H37" ca="1" si="65">INDIRECT("'"&amp;$B37&amp;"'!$i$14")</f>
        <v>523845.2</v>
      </c>
      <c r="I37" s="15">
        <f t="shared" ref="I37" ca="1" si="66">INDIRECT("'"&amp;$B37&amp;"'!$e$13")</f>
        <v>72813.91</v>
      </c>
      <c r="J37" s="15">
        <f t="shared" ref="J37" ca="1" si="67">INDIRECT("'"&amp;$B37&amp;"'!$f$13")</f>
        <v>116359.84</v>
      </c>
      <c r="K37" s="15">
        <f t="shared" ref="K37" ca="1" si="68">INDIRECT("'"&amp;$B37&amp;"'!$g$13")</f>
        <v>152319.07999999999</v>
      </c>
      <c r="L37" s="15">
        <f t="shared" ref="L37" ca="1" si="69">INDIRECT("'"&amp;$B37&amp;"'!$h$13")</f>
        <v>176221.88</v>
      </c>
      <c r="M37" s="15">
        <f t="shared" ref="M37" ca="1" si="70">INDIRECT("'"&amp;$B37&amp;"'!$i$13")</f>
        <v>196752.92</v>
      </c>
      <c r="N37" s="94">
        <f ca="1">IFERROR(INDIRECT("'"&amp;$B37&amp;"'!$i$13")/INDIRECT("'"&amp;$B37&amp;"'!$i$14"),1)</f>
        <v>0.37559362956842979</v>
      </c>
      <c r="O37" s="2">
        <v>12</v>
      </c>
    </row>
    <row r="38" spans="1:27" x14ac:dyDescent="0.25">
      <c r="A38" s="2">
        <f t="shared" si="0"/>
        <v>5</v>
      </c>
      <c r="B38" t="s">
        <v>105</v>
      </c>
      <c r="C38" t="s">
        <v>221</v>
      </c>
      <c r="D38" s="15">
        <f t="shared" ref="D38" ca="1" si="71">INDIRECT("'"&amp;$B38&amp;"'!$f$18")</f>
        <v>510011.75</v>
      </c>
      <c r="E38" s="15">
        <f t="shared" ref="E38" ca="1" si="72">INDIRECT("'"&amp;$B38&amp;"'!$g$18")</f>
        <v>503104.25</v>
      </c>
      <c r="F38" s="15">
        <f t="shared" ref="F38" ca="1" si="73">INDIRECT("'"&amp;$B38&amp;"'!$h$18")</f>
        <v>502056.25</v>
      </c>
      <c r="G38" s="15">
        <f t="shared" ref="G38" ca="1" si="74">INDIRECT("'"&amp;$B38&amp;"'!$i$18")</f>
        <v>501756.25</v>
      </c>
      <c r="H38" s="15">
        <f t="shared" ref="H38" ca="1" si="75">INDIRECT("'"&amp;$B38&amp;"'!$j$18")</f>
        <v>500833.25</v>
      </c>
      <c r="I38" s="15">
        <f t="shared" ref="I38" ca="1" si="76">INDIRECT("'"&amp;$B38&amp;"'!$f$17")</f>
        <v>89997.52</v>
      </c>
      <c r="J38" s="15">
        <f t="shared" ref="J38" ca="1" si="77">INDIRECT("'"&amp;$B38&amp;"'!$g$17")</f>
        <v>126916.42</v>
      </c>
      <c r="K38" s="15">
        <f t="shared" ref="K38" ca="1" si="78">INDIRECT("'"&amp;$B38&amp;"'!$h$17")</f>
        <v>165696.4</v>
      </c>
      <c r="L38" s="15">
        <f t="shared" ref="L38" ca="1" si="79">INDIRECT("'"&amp;$B38&amp;"'!$i$17")</f>
        <v>184042.21</v>
      </c>
      <c r="M38" s="15">
        <f t="shared" ref="M38" ca="1" si="80">INDIRECT("'"&amp;$B38&amp;"'!$j$17")</f>
        <v>202706.96</v>
      </c>
      <c r="N38" s="94">
        <f ca="1">IFERROR(INDIRECT("'"&amp;$B38&amp;"'!$j$17")/INDIRECT("'"&amp;$B38&amp;"'!$j$18"),1)</f>
        <v>0.40473942175364752</v>
      </c>
      <c r="O38" s="2">
        <v>12</v>
      </c>
    </row>
    <row r="39" spans="1:27" x14ac:dyDescent="0.25">
      <c r="A39" s="2">
        <f t="shared" si="0"/>
        <v>5</v>
      </c>
      <c r="B39" t="s">
        <v>105</v>
      </c>
      <c r="C39" t="s">
        <v>222</v>
      </c>
      <c r="D39" s="15">
        <f t="shared" ref="D39" ca="1" si="81">INDIRECT("'"&amp;$B39&amp;"'!$g$22")</f>
        <v>515552.01</v>
      </c>
      <c r="E39" s="15">
        <f t="shared" ref="E39" ca="1" si="82">INDIRECT("'"&amp;$B39&amp;"'!$h$22")</f>
        <v>508667.98</v>
      </c>
      <c r="F39" s="15">
        <f t="shared" ref="F39" ca="1" si="83">INDIRECT("'"&amp;$B39&amp;"'!$i$22")</f>
        <v>507523.98</v>
      </c>
      <c r="G39" s="15">
        <f t="shared" ref="G39" ca="1" si="84">INDIRECT("'"&amp;$B39&amp;"'!$j$22")</f>
        <v>506457.98</v>
      </c>
      <c r="H39" s="15">
        <f t="shared" ref="H39" ca="1" si="85">INDIRECT("'"&amp;$B39&amp;"'!$k$22")</f>
        <v>0</v>
      </c>
      <c r="I39" s="15">
        <f t="shared" ref="I39" ca="1" si="86">INDIRECT("'"&amp;$B39&amp;"'!$g$21")</f>
        <v>99655.84</v>
      </c>
      <c r="J39" s="15">
        <f t="shared" ref="J39" ca="1" si="87">INDIRECT("'"&amp;$B39&amp;"'!$h$21")</f>
        <v>140754.04999999999</v>
      </c>
      <c r="K39" s="15">
        <f t="shared" ref="K39" ca="1" si="88">INDIRECT("'"&amp;$B39&amp;"'!$i$21")</f>
        <v>172930.19</v>
      </c>
      <c r="L39" s="15">
        <f t="shared" ref="L39" ca="1" si="89">INDIRECT("'"&amp;$B39&amp;"'!$j$21")</f>
        <v>195855.59</v>
      </c>
      <c r="M39" s="15">
        <f t="shared" ref="M39" ca="1" si="90">INDIRECT("'"&amp;$B39&amp;"'!$k$21")</f>
        <v>0</v>
      </c>
      <c r="N39" s="94">
        <f ca="1">IFERROR(INDIRECT("'"&amp;$B39&amp;"'!$k$21")/INDIRECT("'"&amp;$B39&amp;"'!$k$22"),1)</f>
        <v>1</v>
      </c>
      <c r="O39" s="2">
        <v>12</v>
      </c>
    </row>
    <row r="40" spans="1:27" x14ac:dyDescent="0.25">
      <c r="A40" s="2">
        <f t="shared" si="0"/>
        <v>5</v>
      </c>
      <c r="B40" t="s">
        <v>105</v>
      </c>
      <c r="C40" t="s">
        <v>223</v>
      </c>
      <c r="D40" s="15">
        <f t="shared" ref="D40" ca="1" si="91">INDIRECT("'"&amp;$B40&amp;"'!$h$26")</f>
        <v>470811.1</v>
      </c>
      <c r="E40" s="15">
        <f t="shared" ref="E40" ca="1" si="92">INDIRECT("'"&amp;$B40&amp;"'!$i$26")</f>
        <v>464340.1</v>
      </c>
      <c r="F40" s="15">
        <f t="shared" ref="F40" ca="1" si="93">INDIRECT("'"&amp;$B40&amp;"'!$j$26")</f>
        <v>462712.1</v>
      </c>
      <c r="G40" s="15">
        <f t="shared" ref="G40" ca="1" si="94">INDIRECT("'"&amp;$B40&amp;"'!$k$26")</f>
        <v>0</v>
      </c>
      <c r="H40" s="15">
        <f t="shared" ref="H40" ca="1" si="95">INDIRECT("'"&amp;$B40&amp;"'!$l$26")</f>
        <v>0</v>
      </c>
      <c r="I40" s="15">
        <f t="shared" ref="I40" ca="1" si="96">INDIRECT("'"&amp;$B40&amp;"'!$h$25")</f>
        <v>71814.600000000006</v>
      </c>
      <c r="J40" s="15">
        <f t="shared" ref="J40" ca="1" si="97">INDIRECT("'"&amp;$B40&amp;"'!$i$25")</f>
        <v>100202.23</v>
      </c>
      <c r="K40" s="15">
        <f t="shared" ref="K40" ca="1" si="98">INDIRECT("'"&amp;$B40&amp;"'!$j$25")</f>
        <v>130553.95</v>
      </c>
      <c r="L40" s="15">
        <f t="shared" ref="L40" ca="1" si="99">INDIRECT("'"&amp;$B40&amp;"'!$k$25")</f>
        <v>0</v>
      </c>
      <c r="M40" s="15">
        <f t="shared" ref="M40" ca="1" si="100">INDIRECT("'"&amp;$B40&amp;"'!$l$25")</f>
        <v>0</v>
      </c>
      <c r="N40" s="94">
        <f ca="1">IFERROR(INDIRECT("'"&amp;$B40&amp;"'!$l$25")/INDIRECT("'"&amp;$B40&amp;"'!$l$26"),1)</f>
        <v>1</v>
      </c>
      <c r="O40" s="2">
        <v>12</v>
      </c>
    </row>
    <row r="41" spans="1:27" x14ac:dyDescent="0.25">
      <c r="A41" s="2">
        <f t="shared" si="0"/>
        <v>5</v>
      </c>
      <c r="B41" t="s">
        <v>105</v>
      </c>
      <c r="C41" t="s">
        <v>224</v>
      </c>
      <c r="D41" s="15">
        <f t="shared" ref="D41" ca="1" si="101">INDIRECT("'"&amp;$B41&amp;"'!$i$30")</f>
        <v>437097.7</v>
      </c>
      <c r="E41" s="15">
        <f t="shared" ref="E41" ca="1" si="102">INDIRECT("'"&amp;$B41&amp;"'!$j$30")</f>
        <v>432292.2</v>
      </c>
      <c r="F41" s="15">
        <f t="shared" ref="F41" ca="1" si="103">INDIRECT("'"&amp;$B41&amp;"'!$k$30")</f>
        <v>0</v>
      </c>
      <c r="G41" s="15">
        <f t="shared" ref="G41" ca="1" si="104">INDIRECT("'"&amp;$B41&amp;"'!$l$30")</f>
        <v>0</v>
      </c>
      <c r="H41" s="15"/>
      <c r="I41" s="15">
        <f t="shared" ref="I41" ca="1" si="105">INDIRECT("'"&amp;$B41&amp;"'!$i$29")</f>
        <v>81175.59</v>
      </c>
      <c r="J41" s="15">
        <f t="shared" ref="J41" ca="1" si="106">INDIRECT("'"&amp;$B41&amp;"'!$j$29")</f>
        <v>102201.72</v>
      </c>
      <c r="K41" s="15">
        <f t="shared" ref="K41" ca="1" si="107">INDIRECT("'"&amp;$B41&amp;"'!$k$29")</f>
        <v>0</v>
      </c>
      <c r="L41" s="15">
        <f t="shared" ref="L41" ca="1" si="108">INDIRECT("'"&amp;$B41&amp;"'!$l$29")</f>
        <v>0</v>
      </c>
      <c r="M41" s="15"/>
      <c r="N41" s="94">
        <v>1</v>
      </c>
      <c r="O41" s="2">
        <v>12</v>
      </c>
    </row>
    <row r="42" spans="1:27" x14ac:dyDescent="0.25">
      <c r="A42" s="2">
        <f t="shared" si="0"/>
        <v>5</v>
      </c>
      <c r="B42" t="s">
        <v>105</v>
      </c>
      <c r="C42" t="s">
        <v>225</v>
      </c>
      <c r="D42" s="15">
        <f t="shared" ref="D42" ca="1" si="109">INDIRECT("'"&amp;$B42&amp;"'!$j$34")</f>
        <v>439055.9</v>
      </c>
      <c r="E42" s="15">
        <f t="shared" ref="E42" ca="1" si="110">INDIRECT("'"&amp;$B42&amp;"'!$k$34")</f>
        <v>0</v>
      </c>
      <c r="F42" s="15">
        <f t="shared" ref="F42" ca="1" si="111">INDIRECT("'"&amp;$B42&amp;"'!$l$34")</f>
        <v>0</v>
      </c>
      <c r="G42" s="15"/>
      <c r="H42" s="15"/>
      <c r="I42" s="15">
        <f t="shared" ref="I42" ca="1" si="112">INDIRECT("'"&amp;$B42&amp;"'!$j$33")</f>
        <v>77127.429999999993</v>
      </c>
      <c r="J42" s="15">
        <f t="shared" ref="J42" ca="1" si="113">INDIRECT("'"&amp;$B42&amp;"'!$k$33")</f>
        <v>0</v>
      </c>
      <c r="K42" s="15">
        <f t="shared" ref="K42" ca="1" si="114">INDIRECT("'"&amp;$B42&amp;"'!$l$33")</f>
        <v>0</v>
      </c>
      <c r="L42" s="15"/>
      <c r="M42" s="15"/>
      <c r="N42" s="94">
        <v>1</v>
      </c>
      <c r="O42" s="2">
        <v>12</v>
      </c>
    </row>
    <row r="43" spans="1:27" x14ac:dyDescent="0.25">
      <c r="A43" s="2">
        <f t="shared" si="0"/>
        <v>5</v>
      </c>
      <c r="B43" t="s">
        <v>105</v>
      </c>
      <c r="C43" t="s">
        <v>226</v>
      </c>
      <c r="D43" s="15">
        <f t="shared" ref="D43" ca="1" si="115">INDIRECT("'"&amp;$B43&amp;"'!$k$38")</f>
        <v>0</v>
      </c>
      <c r="E43" s="15">
        <f t="shared" ref="E43" ca="1" si="116">INDIRECT("'"&amp;$B43&amp;"'!$l$38")</f>
        <v>0</v>
      </c>
      <c r="F43" s="15"/>
      <c r="G43" s="15"/>
      <c r="H43" s="15"/>
      <c r="I43" s="15">
        <f t="shared" ref="I43" ca="1" si="117">INDIRECT("'"&amp;$B43&amp;"'!$k$37")</f>
        <v>0</v>
      </c>
      <c r="J43" s="15">
        <f t="shared" ref="J43" ca="1" si="118">INDIRECT("'"&amp;$B43&amp;"'!$l$37")</f>
        <v>0</v>
      </c>
      <c r="K43" s="15"/>
      <c r="L43" s="15"/>
      <c r="M43" s="15"/>
      <c r="N43" s="94">
        <v>1</v>
      </c>
      <c r="O43" s="2">
        <v>12</v>
      </c>
    </row>
    <row r="44" spans="1:27" x14ac:dyDescent="0.25">
      <c r="A44" s="2">
        <f t="shared" si="0"/>
        <v>5</v>
      </c>
      <c r="B44" t="s">
        <v>105</v>
      </c>
      <c r="C44" t="s">
        <v>227</v>
      </c>
      <c r="D44" s="15">
        <f t="shared" ref="D44" ca="1" si="119">INDIRECT("'"&amp;$B44&amp;"'!$l$42")</f>
        <v>0</v>
      </c>
      <c r="E44" s="15"/>
      <c r="F44" s="15"/>
      <c r="G44" s="15"/>
      <c r="H44" s="15"/>
      <c r="I44" s="15">
        <f t="shared" ref="I44" ca="1" si="120">INDIRECT("'"&amp;$B44&amp;"'!$l$41")</f>
        <v>0</v>
      </c>
      <c r="J44" s="15"/>
      <c r="K44" s="15"/>
      <c r="L44" s="15"/>
      <c r="M44" s="15"/>
      <c r="N44" s="94">
        <v>1</v>
      </c>
      <c r="O44" s="2">
        <v>12</v>
      </c>
    </row>
    <row r="45" spans="1:27" x14ac:dyDescent="0.25">
      <c r="A45" s="2">
        <f t="shared" si="0"/>
        <v>5</v>
      </c>
      <c r="B45" t="s">
        <v>111</v>
      </c>
      <c r="C45" t="s">
        <v>220</v>
      </c>
      <c r="D45" s="15">
        <f t="shared" ref="D45" ca="1" si="121">INDIRECT("'"&amp;$B45&amp;"'!$e$14")</f>
        <v>25844.1</v>
      </c>
      <c r="E45" s="15">
        <f t="shared" ref="E45" ca="1" si="122">INDIRECT("'"&amp;$B45&amp;"'!$f$14")</f>
        <v>24744.1</v>
      </c>
      <c r="F45" s="15">
        <f t="shared" ref="F45" ca="1" si="123">INDIRECT("'"&amp;$B45&amp;"'!$g$14")</f>
        <v>24394.1</v>
      </c>
      <c r="G45" s="15">
        <f t="shared" ref="G45" ca="1" si="124">INDIRECT("'"&amp;$B45&amp;"'!$h$14")</f>
        <v>24194.1</v>
      </c>
      <c r="H45" s="15">
        <f t="shared" ref="H45" ca="1" si="125">INDIRECT("'"&amp;$B45&amp;"'!$i$14")</f>
        <v>24144.1</v>
      </c>
      <c r="I45" s="15">
        <f t="shared" ref="I45" ca="1" si="126">INDIRECT("'"&amp;$B45&amp;"'!$e$13")</f>
        <v>1043.0999999999999</v>
      </c>
      <c r="J45" s="15">
        <f t="shared" ref="J45" ca="1" si="127">INDIRECT("'"&amp;$B45&amp;"'!$f$13")</f>
        <v>1393.1</v>
      </c>
      <c r="K45" s="15">
        <f t="shared" ref="K45" ca="1" si="128">INDIRECT("'"&amp;$B45&amp;"'!$g$13")</f>
        <v>1481.1</v>
      </c>
      <c r="L45" s="15">
        <f t="shared" ref="L45" ca="1" si="129">INDIRECT("'"&amp;$B45&amp;"'!$h$13")</f>
        <v>1481.1</v>
      </c>
      <c r="M45" s="15">
        <f t="shared" ref="M45" ca="1" si="130">INDIRECT("'"&amp;$B45&amp;"'!$i$13")</f>
        <v>1606.1</v>
      </c>
      <c r="N45" s="94">
        <f ca="1">IFERROR(INDIRECT("'"&amp;$B45&amp;"'!$i$13")/INDIRECT("'"&amp;$B45&amp;"'!$i$14"),1)</f>
        <v>6.6521427595147467E-2</v>
      </c>
      <c r="O45" s="2">
        <v>12</v>
      </c>
    </row>
    <row r="46" spans="1:27" x14ac:dyDescent="0.25">
      <c r="A46" s="2">
        <f t="shared" si="0"/>
        <v>5</v>
      </c>
      <c r="B46" t="s">
        <v>111</v>
      </c>
      <c r="C46" t="s">
        <v>221</v>
      </c>
      <c r="D46" s="15">
        <f t="shared" ref="D46" ca="1" si="131">INDIRECT("'"&amp;$B46&amp;"'!$f$18")</f>
        <v>21028.9</v>
      </c>
      <c r="E46" s="15">
        <f t="shared" ref="E46" ca="1" si="132">INDIRECT("'"&amp;$B46&amp;"'!$g$18")</f>
        <v>19478.900000000001</v>
      </c>
      <c r="F46" s="15">
        <f t="shared" ref="F46" ca="1" si="133">INDIRECT("'"&amp;$B46&amp;"'!$h$18")</f>
        <v>19278.900000000001</v>
      </c>
      <c r="G46" s="15">
        <f t="shared" ref="G46" ca="1" si="134">INDIRECT("'"&amp;$B46&amp;"'!$i$18")</f>
        <v>19178.900000000001</v>
      </c>
      <c r="H46" s="15">
        <f t="shared" ref="H46" ca="1" si="135">INDIRECT("'"&amp;$B46&amp;"'!$j$18")</f>
        <v>19128.900000000001</v>
      </c>
      <c r="I46" s="15">
        <f t="shared" ref="I46" ca="1" si="136">INDIRECT("'"&amp;$B46&amp;"'!$f$17")</f>
        <v>792.9</v>
      </c>
      <c r="J46" s="15">
        <f t="shared" ref="J46" ca="1" si="137">INDIRECT("'"&amp;$B46&amp;"'!$g$17")</f>
        <v>892.9</v>
      </c>
      <c r="K46" s="15">
        <f t="shared" ref="K46" ca="1" si="138">INDIRECT("'"&amp;$B46&amp;"'!$h$17")</f>
        <v>1042.9000000000001</v>
      </c>
      <c r="L46" s="15">
        <f t="shared" ref="L46" ca="1" si="139">INDIRECT("'"&amp;$B46&amp;"'!$i$17")</f>
        <v>1042.9000000000001</v>
      </c>
      <c r="M46" s="15">
        <f t="shared" ref="M46" ca="1" si="140">INDIRECT("'"&amp;$B46&amp;"'!$j$17")</f>
        <v>1152.9000000000001</v>
      </c>
      <c r="N46" s="94">
        <f ca="1">IFERROR(INDIRECT("'"&amp;$B46&amp;"'!$j$17")/INDIRECT("'"&amp;$B46&amp;"'!$j$18"),1)</f>
        <v>6.0270062575474806E-2</v>
      </c>
      <c r="O46" s="2">
        <v>12</v>
      </c>
    </row>
    <row r="47" spans="1:27" x14ac:dyDescent="0.25">
      <c r="A47" s="2">
        <f t="shared" si="0"/>
        <v>5</v>
      </c>
      <c r="B47" t="s">
        <v>111</v>
      </c>
      <c r="C47" t="s">
        <v>222</v>
      </c>
      <c r="D47" s="15">
        <f t="shared" ref="D47" ca="1" si="141">INDIRECT("'"&amp;$B47&amp;"'!$g$22")</f>
        <v>33640.65</v>
      </c>
      <c r="E47" s="15">
        <f t="shared" ref="E47" ca="1" si="142">INDIRECT("'"&amp;$B47&amp;"'!$h$22")</f>
        <v>33090.65</v>
      </c>
      <c r="F47" s="15">
        <f t="shared" ref="F47" ca="1" si="143">INDIRECT("'"&amp;$B47&amp;"'!$i$22")</f>
        <v>32540.65</v>
      </c>
      <c r="G47" s="15">
        <f t="shared" ref="G47" ca="1" si="144">INDIRECT("'"&amp;$B47&amp;"'!$j$22")</f>
        <v>32190.65</v>
      </c>
      <c r="H47" s="15">
        <f t="shared" ref="H47" ca="1" si="145">INDIRECT("'"&amp;$B47&amp;"'!$k$22")</f>
        <v>0</v>
      </c>
      <c r="I47" s="15">
        <f t="shared" ref="I47" ca="1" si="146">INDIRECT("'"&amp;$B47&amp;"'!$g$21")</f>
        <v>539.65</v>
      </c>
      <c r="J47" s="15">
        <f t="shared" ref="J47" ca="1" si="147">INDIRECT("'"&amp;$B47&amp;"'!$h$21")</f>
        <v>739.65</v>
      </c>
      <c r="K47" s="15">
        <f t="shared" ref="K47" ca="1" si="148">INDIRECT("'"&amp;$B47&amp;"'!$i$21")</f>
        <v>889.65</v>
      </c>
      <c r="L47" s="15">
        <f t="shared" ref="L47" ca="1" si="149">INDIRECT("'"&amp;$B47&amp;"'!$j$21")</f>
        <v>1070.1500000000001</v>
      </c>
      <c r="M47" s="15">
        <f t="shared" ref="M47" ca="1" si="150">INDIRECT("'"&amp;$B47&amp;"'!$k$21")</f>
        <v>0</v>
      </c>
      <c r="N47" s="94">
        <f ca="1">IFERROR(INDIRECT("'"&amp;$B47&amp;"'!$k$21")/INDIRECT("'"&amp;$B47&amp;"'!$k$22"),1)</f>
        <v>1</v>
      </c>
      <c r="O47" s="2">
        <v>12</v>
      </c>
    </row>
    <row r="48" spans="1:27" x14ac:dyDescent="0.25">
      <c r="A48" s="2">
        <f t="shared" si="0"/>
        <v>5</v>
      </c>
      <c r="B48" t="s">
        <v>111</v>
      </c>
      <c r="C48" t="s">
        <v>223</v>
      </c>
      <c r="D48" s="15">
        <f t="shared" ref="D48" ca="1" si="151">INDIRECT("'"&amp;$B48&amp;"'!$h$26")</f>
        <v>29353.25</v>
      </c>
      <c r="E48" s="15">
        <f t="shared" ref="E48" ca="1" si="152">INDIRECT("'"&amp;$B48&amp;"'!$i$26")</f>
        <v>28753.25</v>
      </c>
      <c r="F48" s="15">
        <f t="shared" ref="F48" ca="1" si="153">INDIRECT("'"&amp;$B48&amp;"'!$j$26")</f>
        <v>28303.25</v>
      </c>
      <c r="G48" s="15">
        <f t="shared" ref="G48" ca="1" si="154">INDIRECT("'"&amp;$B48&amp;"'!$k$26")</f>
        <v>0</v>
      </c>
      <c r="H48" s="15">
        <f t="shared" ref="H48" ca="1" si="155">INDIRECT("'"&amp;$B48&amp;"'!$l$26")</f>
        <v>0</v>
      </c>
      <c r="I48" s="15">
        <f t="shared" ref="I48" ca="1" si="156">INDIRECT("'"&amp;$B48&amp;"'!$h$25")</f>
        <v>737.75</v>
      </c>
      <c r="J48" s="15">
        <f t="shared" ref="J48" ca="1" si="157">INDIRECT("'"&amp;$B48&amp;"'!$i$25")</f>
        <v>887.75</v>
      </c>
      <c r="K48" s="15">
        <f t="shared" ref="K48" ca="1" si="158">INDIRECT("'"&amp;$B48&amp;"'!$j$25")</f>
        <v>962.75</v>
      </c>
      <c r="L48" s="15">
        <f t="shared" ref="L48" ca="1" si="159">INDIRECT("'"&amp;$B48&amp;"'!$k$25")</f>
        <v>0</v>
      </c>
      <c r="M48" s="15">
        <f t="shared" ref="M48" ca="1" si="160">INDIRECT("'"&amp;$B48&amp;"'!$l$25")</f>
        <v>0</v>
      </c>
      <c r="N48" s="94">
        <f ca="1">IFERROR(INDIRECT("'"&amp;$B48&amp;"'!$l$25")/INDIRECT("'"&amp;$B48&amp;"'!$l$26"),1)</f>
        <v>1</v>
      </c>
      <c r="O48" s="2">
        <v>12</v>
      </c>
    </row>
    <row r="49" spans="1:15" x14ac:dyDescent="0.25">
      <c r="A49" s="2">
        <f t="shared" si="0"/>
        <v>5</v>
      </c>
      <c r="B49" t="s">
        <v>111</v>
      </c>
      <c r="C49" t="s">
        <v>224</v>
      </c>
      <c r="D49" s="15">
        <f t="shared" ref="D49" ca="1" si="161">INDIRECT("'"&amp;$B49&amp;"'!$i$30")</f>
        <v>28571.05</v>
      </c>
      <c r="E49" s="15">
        <f t="shared" ref="E49" ca="1" si="162">INDIRECT("'"&amp;$B49&amp;"'!$j$30")</f>
        <v>27971.05</v>
      </c>
      <c r="F49" s="15">
        <f t="shared" ref="F49" ca="1" si="163">INDIRECT("'"&amp;$B49&amp;"'!$k$30")</f>
        <v>0</v>
      </c>
      <c r="G49" s="15">
        <f t="shared" ref="G49" ca="1" si="164">INDIRECT("'"&amp;$B49&amp;"'!$l$30")</f>
        <v>0</v>
      </c>
      <c r="H49" s="15"/>
      <c r="I49" s="15">
        <f t="shared" ref="I49" ca="1" si="165">INDIRECT("'"&amp;$B49&amp;"'!$i$29")</f>
        <v>550.54999999999995</v>
      </c>
      <c r="J49" s="15">
        <f t="shared" ref="J49" ca="1" si="166">INDIRECT("'"&amp;$B49&amp;"'!$j$29")</f>
        <v>657.55</v>
      </c>
      <c r="K49" s="15">
        <f t="shared" ref="K49" ca="1" si="167">INDIRECT("'"&amp;$B49&amp;"'!$k$29")</f>
        <v>0</v>
      </c>
      <c r="L49" s="15">
        <f t="shared" ref="L49" ca="1" si="168">INDIRECT("'"&amp;$B49&amp;"'!$l$29")</f>
        <v>0</v>
      </c>
      <c r="M49" s="15"/>
      <c r="N49" s="94">
        <v>1</v>
      </c>
      <c r="O49" s="2">
        <v>12</v>
      </c>
    </row>
    <row r="50" spans="1:15" x14ac:dyDescent="0.25">
      <c r="A50" s="2">
        <f t="shared" si="0"/>
        <v>5</v>
      </c>
      <c r="B50" t="s">
        <v>111</v>
      </c>
      <c r="C50" t="s">
        <v>225</v>
      </c>
      <c r="D50" s="15">
        <f t="shared" ref="D50" ca="1" si="169">INDIRECT("'"&amp;$B50&amp;"'!$j$34")</f>
        <v>24149.200000000001</v>
      </c>
      <c r="E50" s="15">
        <f t="shared" ref="E50" ca="1" si="170">INDIRECT("'"&amp;$B50&amp;"'!$k$34")</f>
        <v>0</v>
      </c>
      <c r="F50" s="15">
        <f t="shared" ref="F50" ca="1" si="171">INDIRECT("'"&amp;$B50&amp;"'!$l$34")</f>
        <v>0</v>
      </c>
      <c r="G50" s="15"/>
      <c r="H50" s="15"/>
      <c r="I50" s="15">
        <f t="shared" ref="I50" ca="1" si="172">INDIRECT("'"&amp;$B50&amp;"'!$j$33")</f>
        <v>901.2</v>
      </c>
      <c r="J50" s="15">
        <f t="shared" ref="J50" ca="1" si="173">INDIRECT("'"&amp;$B50&amp;"'!$k$33")</f>
        <v>0</v>
      </c>
      <c r="K50" s="15">
        <f t="shared" ref="K50" ca="1" si="174">INDIRECT("'"&amp;$B50&amp;"'!$l$33")</f>
        <v>0</v>
      </c>
      <c r="L50" s="15"/>
      <c r="M50" s="15"/>
      <c r="N50" s="94">
        <v>1</v>
      </c>
      <c r="O50" s="2">
        <v>12</v>
      </c>
    </row>
    <row r="51" spans="1:15" x14ac:dyDescent="0.25">
      <c r="A51" s="2">
        <f t="shared" si="0"/>
        <v>5</v>
      </c>
      <c r="B51" t="s">
        <v>111</v>
      </c>
      <c r="C51" t="s">
        <v>226</v>
      </c>
      <c r="D51" s="15">
        <f t="shared" ref="D51" ca="1" si="175">INDIRECT("'"&amp;$B51&amp;"'!$k$38")</f>
        <v>0</v>
      </c>
      <c r="E51" s="15">
        <f t="shared" ref="E51" ca="1" si="176">INDIRECT("'"&amp;$B51&amp;"'!$l$38")</f>
        <v>0</v>
      </c>
      <c r="F51" s="15"/>
      <c r="G51" s="15"/>
      <c r="H51" s="15"/>
      <c r="I51" s="15">
        <f t="shared" ref="I51" ca="1" si="177">INDIRECT("'"&amp;$B51&amp;"'!$k$37")</f>
        <v>0</v>
      </c>
      <c r="J51" s="15">
        <f t="shared" ref="J51" ca="1" si="178">INDIRECT("'"&amp;$B51&amp;"'!$l$37")</f>
        <v>0</v>
      </c>
      <c r="K51" s="15"/>
      <c r="L51" s="15"/>
      <c r="M51" s="15"/>
      <c r="N51" s="94">
        <v>1</v>
      </c>
      <c r="O51" s="2">
        <v>12</v>
      </c>
    </row>
    <row r="52" spans="1:15" x14ac:dyDescent="0.25">
      <c r="A52" s="2">
        <f t="shared" si="0"/>
        <v>5</v>
      </c>
      <c r="B52" t="s">
        <v>111</v>
      </c>
      <c r="C52" t="s">
        <v>227</v>
      </c>
      <c r="D52" s="15">
        <f t="shared" ref="D52" ca="1" si="179">INDIRECT("'"&amp;$B52&amp;"'!$l$42")</f>
        <v>0</v>
      </c>
      <c r="E52" s="15"/>
      <c r="F52" s="15"/>
      <c r="G52" s="15"/>
      <c r="H52" s="15"/>
      <c r="I52" s="15">
        <f t="shared" ref="I52" ca="1" si="180">INDIRECT("'"&amp;$B52&amp;"'!$l$41")</f>
        <v>0</v>
      </c>
      <c r="J52" s="15"/>
      <c r="K52" s="15"/>
      <c r="L52" s="15"/>
      <c r="M52" s="15"/>
      <c r="N52" s="94">
        <v>1</v>
      </c>
      <c r="O52" s="2">
        <v>12</v>
      </c>
    </row>
    <row r="53" spans="1:15" x14ac:dyDescent="0.25">
      <c r="A53" s="2">
        <f t="shared" si="0"/>
        <v>5</v>
      </c>
      <c r="B53" t="s">
        <v>109</v>
      </c>
      <c r="C53" t="s">
        <v>220</v>
      </c>
      <c r="D53" s="15">
        <f t="shared" ref="D53" ca="1" si="181">INDIRECT("'"&amp;$B53&amp;"'!$e$14")</f>
        <v>606334.75</v>
      </c>
      <c r="E53" s="15">
        <f t="shared" ref="E53" ca="1" si="182">INDIRECT("'"&amp;$B53&amp;"'!$f$14")</f>
        <v>598148.75</v>
      </c>
      <c r="F53" s="15">
        <f t="shared" ref="F53" ca="1" si="183">INDIRECT("'"&amp;$B53&amp;"'!$g$14")</f>
        <v>589879.25</v>
      </c>
      <c r="G53" s="15">
        <f t="shared" ref="G53" ca="1" si="184">INDIRECT("'"&amp;$B53&amp;"'!$h$14")</f>
        <v>587018.25</v>
      </c>
      <c r="H53" s="15">
        <f t="shared" ref="H53" ca="1" si="185">INDIRECT("'"&amp;$B53&amp;"'!$i$14")</f>
        <v>586899.25</v>
      </c>
      <c r="I53" s="15">
        <f t="shared" ref="I53" ca="1" si="186">INDIRECT("'"&amp;$B53&amp;"'!$e$13")</f>
        <v>120599.44</v>
      </c>
      <c r="J53" s="15">
        <f t="shared" ref="J53" ca="1" si="187">INDIRECT("'"&amp;$B53&amp;"'!$f$13")</f>
        <v>194386.76</v>
      </c>
      <c r="K53" s="15">
        <f t="shared" ref="K53" ca="1" si="188">INDIRECT("'"&amp;$B53&amp;"'!$g$13")</f>
        <v>250781.63</v>
      </c>
      <c r="L53" s="15">
        <f t="shared" ref="L53" ca="1" si="189">INDIRECT("'"&amp;$B53&amp;"'!$h$13")</f>
        <v>300520.56</v>
      </c>
      <c r="M53" s="15">
        <f t="shared" ref="M53" ca="1" si="190">INDIRECT("'"&amp;$B53&amp;"'!$i$13")</f>
        <v>336657.72</v>
      </c>
      <c r="N53" s="94">
        <f ca="1">IFERROR(INDIRECT("'"&amp;$B53&amp;"'!$i$13")/INDIRECT("'"&amp;$B53&amp;"'!$i$14"),1)</f>
        <v>0.57362097497994757</v>
      </c>
      <c r="O53" s="2">
        <v>12</v>
      </c>
    </row>
    <row r="54" spans="1:15" x14ac:dyDescent="0.25">
      <c r="A54" s="2">
        <f t="shared" si="0"/>
        <v>5</v>
      </c>
      <c r="B54" t="s">
        <v>109</v>
      </c>
      <c r="C54" t="s">
        <v>221</v>
      </c>
      <c r="D54" s="15">
        <f t="shared" ref="D54" ca="1" si="191">INDIRECT("'"&amp;$B54&amp;"'!$f$18")</f>
        <v>606610.9</v>
      </c>
      <c r="E54" s="15">
        <f t="shared" ref="E54" ca="1" si="192">INDIRECT("'"&amp;$B54&amp;"'!$g$18")</f>
        <v>600360.9</v>
      </c>
      <c r="F54" s="15">
        <f t="shared" ref="F54" ca="1" si="193">INDIRECT("'"&amp;$B54&amp;"'!$h$18")</f>
        <v>591196.9</v>
      </c>
      <c r="G54" s="15">
        <f t="shared" ref="G54" ca="1" si="194">INDIRECT("'"&amp;$B54&amp;"'!$i$18")</f>
        <v>589482.9</v>
      </c>
      <c r="H54" s="15">
        <f t="shared" ref="H54" ca="1" si="195">INDIRECT("'"&amp;$B54&amp;"'!$j$18")</f>
        <v>588787.9</v>
      </c>
      <c r="I54" s="15">
        <f t="shared" ref="I54" ca="1" si="196">INDIRECT("'"&amp;$B54&amp;"'!$f$17")</f>
        <v>146834.54999999999</v>
      </c>
      <c r="J54" s="15">
        <f t="shared" ref="J54" ca="1" si="197">INDIRECT("'"&amp;$B54&amp;"'!$g$17")</f>
        <v>200797.26</v>
      </c>
      <c r="K54" s="15">
        <f t="shared" ref="K54" ca="1" si="198">INDIRECT("'"&amp;$B54&amp;"'!$h$17")</f>
        <v>250570.39</v>
      </c>
      <c r="L54" s="15">
        <f t="shared" ref="L54" ca="1" si="199">INDIRECT("'"&amp;$B54&amp;"'!$i$17")</f>
        <v>288441.90999999997</v>
      </c>
      <c r="M54" s="15">
        <f t="shared" ref="M54" ca="1" si="200">INDIRECT("'"&amp;$B54&amp;"'!$j$17")</f>
        <v>319930.45</v>
      </c>
      <c r="N54" s="94">
        <f ca="1">IFERROR(INDIRECT("'"&amp;$B54&amp;"'!$j$17")/INDIRECT("'"&amp;$B54&amp;"'!$j$18"),1)</f>
        <v>0.5433713056942916</v>
      </c>
      <c r="O54" s="2">
        <v>12</v>
      </c>
    </row>
    <row r="55" spans="1:15" x14ac:dyDescent="0.25">
      <c r="A55" s="2">
        <f t="shared" si="0"/>
        <v>5</v>
      </c>
      <c r="B55" t="s">
        <v>109</v>
      </c>
      <c r="C55" t="s">
        <v>222</v>
      </c>
      <c r="D55" s="15">
        <f t="shared" ref="D55" ca="1" si="201">INDIRECT("'"&amp;$B55&amp;"'!$g$22")</f>
        <v>674003.75</v>
      </c>
      <c r="E55" s="15">
        <f t="shared" ref="E55" ca="1" si="202">INDIRECT("'"&amp;$B55&amp;"'!$h$22")</f>
        <v>663969.35</v>
      </c>
      <c r="F55" s="15">
        <f t="shared" ref="F55" ca="1" si="203">INDIRECT("'"&amp;$B55&amp;"'!$i$22")</f>
        <v>654882.35</v>
      </c>
      <c r="G55" s="15">
        <f t="shared" ref="G55" ca="1" si="204">INDIRECT("'"&amp;$B55&amp;"'!$j$22")</f>
        <v>652781.35</v>
      </c>
      <c r="H55" s="15">
        <f t="shared" ref="H55" ca="1" si="205">INDIRECT("'"&amp;$B55&amp;"'!$k$22")</f>
        <v>0</v>
      </c>
      <c r="I55" s="15">
        <f t="shared" ref="I55" ca="1" si="206">INDIRECT("'"&amp;$B55&amp;"'!$g$21")</f>
        <v>140868.96</v>
      </c>
      <c r="J55" s="15">
        <f t="shared" ref="J55" ca="1" si="207">INDIRECT("'"&amp;$B55&amp;"'!$h$21")</f>
        <v>211901.61</v>
      </c>
      <c r="K55" s="15">
        <f t="shared" ref="K55" ca="1" si="208">INDIRECT("'"&amp;$B55&amp;"'!$i$21")</f>
        <v>264930.24</v>
      </c>
      <c r="L55" s="15">
        <f t="shared" ref="L55" ca="1" si="209">INDIRECT("'"&amp;$B55&amp;"'!$j$21")</f>
        <v>326064.19</v>
      </c>
      <c r="M55" s="15">
        <f t="shared" ref="M55" ca="1" si="210">INDIRECT("'"&amp;$B55&amp;"'!$k$21")</f>
        <v>0</v>
      </c>
      <c r="N55" s="94">
        <f ca="1">IFERROR(INDIRECT("'"&amp;$B55&amp;"'!$k$21")/INDIRECT("'"&amp;$B55&amp;"'!$k$22"),1)</f>
        <v>1</v>
      </c>
      <c r="O55" s="2">
        <v>12</v>
      </c>
    </row>
    <row r="56" spans="1:15" x14ac:dyDescent="0.25">
      <c r="A56" s="2">
        <f t="shared" si="0"/>
        <v>5</v>
      </c>
      <c r="B56" t="s">
        <v>109</v>
      </c>
      <c r="C56" t="s">
        <v>223</v>
      </c>
      <c r="D56" s="15">
        <f t="shared" ref="D56" ca="1" si="211">INDIRECT("'"&amp;$B56&amp;"'!$h$26")</f>
        <v>574968.30000000005</v>
      </c>
      <c r="E56" s="15">
        <f t="shared" ref="E56" ca="1" si="212">INDIRECT("'"&amp;$B56&amp;"'!$i$26")</f>
        <v>568105.69999999995</v>
      </c>
      <c r="F56" s="15">
        <f t="shared" ref="F56" ca="1" si="213">INDIRECT("'"&amp;$B56&amp;"'!$j$26")</f>
        <v>560139.69999999995</v>
      </c>
      <c r="G56" s="15">
        <f t="shared" ref="G56" ca="1" si="214">INDIRECT("'"&amp;$B56&amp;"'!$k$26")</f>
        <v>0</v>
      </c>
      <c r="H56" s="15">
        <f t="shared" ref="H56" ca="1" si="215">INDIRECT("'"&amp;$B56&amp;"'!$l$26")</f>
        <v>0</v>
      </c>
      <c r="I56" s="15">
        <f t="shared" ref="I56" ca="1" si="216">INDIRECT("'"&amp;$B56&amp;"'!$h$25")</f>
        <v>99793.45</v>
      </c>
      <c r="J56" s="15">
        <f t="shared" ref="J56" ca="1" si="217">INDIRECT("'"&amp;$B56&amp;"'!$i$25")</f>
        <v>154986.21</v>
      </c>
      <c r="K56" s="15">
        <f t="shared" ref="K56" ca="1" si="218">INDIRECT("'"&amp;$B56&amp;"'!$j$25")</f>
        <v>210466.67</v>
      </c>
      <c r="L56" s="15">
        <f t="shared" ref="L56" ca="1" si="219">INDIRECT("'"&amp;$B56&amp;"'!$k$25")</f>
        <v>0</v>
      </c>
      <c r="M56" s="15">
        <f t="shared" ref="M56" ca="1" si="220">INDIRECT("'"&amp;$B56&amp;"'!$l$25")</f>
        <v>0</v>
      </c>
      <c r="N56" s="94">
        <f ca="1">IFERROR(INDIRECT("'"&amp;$B56&amp;"'!$l$25")/INDIRECT("'"&amp;$B56&amp;"'!$l$26"),1)</f>
        <v>1</v>
      </c>
      <c r="O56" s="2">
        <v>12</v>
      </c>
    </row>
    <row r="57" spans="1:15" x14ac:dyDescent="0.25">
      <c r="A57" s="2">
        <f t="shared" si="0"/>
        <v>5</v>
      </c>
      <c r="B57" t="s">
        <v>109</v>
      </c>
      <c r="C57" t="s">
        <v>224</v>
      </c>
      <c r="D57" s="15">
        <f t="shared" ref="D57" ca="1" si="221">INDIRECT("'"&amp;$B57&amp;"'!$i$30")</f>
        <v>590444.48</v>
      </c>
      <c r="E57" s="15">
        <f t="shared" ref="E57" ca="1" si="222">INDIRECT("'"&amp;$B57&amp;"'!$j$30")</f>
        <v>580927.48</v>
      </c>
      <c r="F57" s="15">
        <f t="shared" ref="F57" ca="1" si="223">INDIRECT("'"&amp;$B57&amp;"'!$k$30")</f>
        <v>0</v>
      </c>
      <c r="G57" s="15">
        <f t="shared" ref="G57" ca="1" si="224">INDIRECT("'"&amp;$B57&amp;"'!$l$30")</f>
        <v>0</v>
      </c>
      <c r="H57" s="15"/>
      <c r="I57" s="15">
        <f t="shared" ref="I57" ca="1" si="225">INDIRECT("'"&amp;$B57&amp;"'!$i$29")</f>
        <v>119041.13</v>
      </c>
      <c r="J57" s="15">
        <f t="shared" ref="J57" ca="1" si="226">INDIRECT("'"&amp;$B57&amp;"'!$j$29")</f>
        <v>180912.42</v>
      </c>
      <c r="K57" s="15">
        <f t="shared" ref="K57" ca="1" si="227">INDIRECT("'"&amp;$B57&amp;"'!$k$29")</f>
        <v>0</v>
      </c>
      <c r="L57" s="15">
        <f t="shared" ref="L57" ca="1" si="228">INDIRECT("'"&amp;$B57&amp;"'!$l$29")</f>
        <v>0</v>
      </c>
      <c r="M57" s="15"/>
      <c r="N57" s="94">
        <v>1</v>
      </c>
      <c r="O57" s="2">
        <v>12</v>
      </c>
    </row>
    <row r="58" spans="1:15" x14ac:dyDescent="0.25">
      <c r="A58" s="2">
        <f t="shared" si="0"/>
        <v>5</v>
      </c>
      <c r="B58" t="s">
        <v>109</v>
      </c>
      <c r="C58" t="s">
        <v>225</v>
      </c>
      <c r="D58" s="15">
        <f t="shared" ref="D58" ca="1" si="229">INDIRECT("'"&amp;$B58&amp;"'!$j$34")</f>
        <v>535825.94999999995</v>
      </c>
      <c r="E58" s="15">
        <f t="shared" ref="E58" ca="1" si="230">INDIRECT("'"&amp;$B58&amp;"'!$k$34")</f>
        <v>0</v>
      </c>
      <c r="F58" s="15">
        <f t="shared" ref="F58" ca="1" si="231">INDIRECT("'"&amp;$B58&amp;"'!$l$34")</f>
        <v>0</v>
      </c>
      <c r="G58" s="15"/>
      <c r="H58" s="15"/>
      <c r="I58" s="15">
        <f t="shared" ref="I58" ca="1" si="232">INDIRECT("'"&amp;$B58&amp;"'!$j$33")</f>
        <v>122444.47</v>
      </c>
      <c r="J58" s="15">
        <f t="shared" ref="J58" ca="1" si="233">INDIRECT("'"&amp;$B58&amp;"'!$k$33")</f>
        <v>0</v>
      </c>
      <c r="K58" s="15">
        <f t="shared" ref="K58" ca="1" si="234">INDIRECT("'"&amp;$B58&amp;"'!$l$33")</f>
        <v>0</v>
      </c>
      <c r="L58" s="15"/>
      <c r="M58" s="15"/>
      <c r="N58" s="94">
        <v>1</v>
      </c>
      <c r="O58" s="2">
        <v>12</v>
      </c>
    </row>
    <row r="59" spans="1:15" x14ac:dyDescent="0.25">
      <c r="A59" s="2">
        <f t="shared" si="0"/>
        <v>5</v>
      </c>
      <c r="B59" t="s">
        <v>109</v>
      </c>
      <c r="C59" t="s">
        <v>226</v>
      </c>
      <c r="D59" s="15">
        <f t="shared" ref="D59" ca="1" si="235">INDIRECT("'"&amp;$B59&amp;"'!$k$38")</f>
        <v>0</v>
      </c>
      <c r="E59" s="15">
        <f t="shared" ref="E59" ca="1" si="236">INDIRECT("'"&amp;$B59&amp;"'!$l$38")</f>
        <v>0</v>
      </c>
      <c r="F59" s="15"/>
      <c r="G59" s="15"/>
      <c r="H59" s="15"/>
      <c r="I59" s="15">
        <f t="shared" ref="I59" ca="1" si="237">INDIRECT("'"&amp;$B59&amp;"'!$k$37")</f>
        <v>0</v>
      </c>
      <c r="J59" s="15">
        <f t="shared" ref="J59" ca="1" si="238">INDIRECT("'"&amp;$B59&amp;"'!$l$37")</f>
        <v>0</v>
      </c>
      <c r="K59" s="15"/>
      <c r="L59" s="15"/>
      <c r="M59" s="15"/>
      <c r="N59" s="94">
        <v>1</v>
      </c>
      <c r="O59" s="2">
        <v>12</v>
      </c>
    </row>
    <row r="60" spans="1:15" x14ac:dyDescent="0.25">
      <c r="A60" s="2">
        <f t="shared" si="0"/>
        <v>5</v>
      </c>
      <c r="B60" t="s">
        <v>109</v>
      </c>
      <c r="C60" t="s">
        <v>227</v>
      </c>
      <c r="D60" s="15">
        <f t="shared" ref="D60" ca="1" si="239">INDIRECT("'"&amp;$B60&amp;"'!$l$42")</f>
        <v>0</v>
      </c>
      <c r="E60" s="15"/>
      <c r="F60" s="15"/>
      <c r="G60" s="15"/>
      <c r="H60" s="15"/>
      <c r="I60" s="15">
        <f t="shared" ref="I60" ca="1" si="240">INDIRECT("'"&amp;$B60&amp;"'!$l$41")</f>
        <v>0</v>
      </c>
      <c r="J60" s="15"/>
      <c r="K60" s="15"/>
      <c r="L60" s="15"/>
      <c r="M60" s="15"/>
      <c r="N60" s="94">
        <v>1</v>
      </c>
      <c r="O60" s="2">
        <v>12</v>
      </c>
    </row>
    <row r="61" spans="1:15" x14ac:dyDescent="0.25">
      <c r="A61" s="2">
        <f t="shared" si="0"/>
        <v>5</v>
      </c>
      <c r="B61" t="s">
        <v>106</v>
      </c>
      <c r="C61" t="s">
        <v>220</v>
      </c>
      <c r="D61" s="15">
        <f t="shared" ref="D61" ca="1" si="241">INDIRECT("'"&amp;$B61&amp;"'!$e$14")</f>
        <v>650412.29</v>
      </c>
      <c r="E61" s="15">
        <f t="shared" ref="E61" ca="1" si="242">INDIRECT("'"&amp;$B61&amp;"'!$f$14")</f>
        <v>650412.29</v>
      </c>
      <c r="F61" s="15">
        <f t="shared" ref="F61" ca="1" si="243">INDIRECT("'"&amp;$B61&amp;"'!$g$14")</f>
        <v>648704.29</v>
      </c>
      <c r="G61" s="15">
        <f t="shared" ref="G61" ca="1" si="244">INDIRECT("'"&amp;$B61&amp;"'!$h$14")</f>
        <v>648303.29</v>
      </c>
      <c r="H61" s="15">
        <f t="shared" ref="H61" ca="1" si="245">INDIRECT("'"&amp;$B61&amp;"'!$i$14")</f>
        <v>647397.29</v>
      </c>
      <c r="I61" s="15">
        <f t="shared" ref="I61" ca="1" si="246">INDIRECT("'"&amp;$B61&amp;"'!$e$13")</f>
        <v>607637.35</v>
      </c>
      <c r="J61" s="15">
        <f t="shared" ref="J61" ca="1" si="247">INDIRECT("'"&amp;$B61&amp;"'!$f$13")</f>
        <v>637728.87</v>
      </c>
      <c r="K61" s="15">
        <f t="shared" ref="K61" ca="1" si="248">INDIRECT("'"&amp;$B61&amp;"'!$g$13")</f>
        <v>636061.68000000005</v>
      </c>
      <c r="L61" s="15">
        <f t="shared" ref="L61" ca="1" si="249">INDIRECT("'"&amp;$B61&amp;"'!$h$13")</f>
        <v>636151.13</v>
      </c>
      <c r="M61" s="15">
        <f t="shared" ref="M61" ca="1" si="250">INDIRECT("'"&amp;$B61&amp;"'!$i$13")</f>
        <v>635647.18000000005</v>
      </c>
      <c r="N61" s="94">
        <f ca="1">IFERROR(INDIRECT("'"&amp;$B61&amp;"'!$i$13")/INDIRECT("'"&amp;$B61&amp;"'!$i$14"),1)</f>
        <v>0.98185023295355467</v>
      </c>
      <c r="O61" s="2">
        <v>12</v>
      </c>
    </row>
    <row r="62" spans="1:15" x14ac:dyDescent="0.25">
      <c r="A62" s="2">
        <f t="shared" si="0"/>
        <v>5</v>
      </c>
      <c r="B62" t="s">
        <v>106</v>
      </c>
      <c r="C62" t="s">
        <v>221</v>
      </c>
      <c r="D62" s="15">
        <f t="shared" ref="D62" ca="1" si="251">INDIRECT("'"&amp;$B62&amp;"'!$f$18")</f>
        <v>699628.3</v>
      </c>
      <c r="E62" s="15">
        <f t="shared" ref="E62" ca="1" si="252">INDIRECT("'"&amp;$B62&amp;"'!$g$18")</f>
        <v>698712.3</v>
      </c>
      <c r="F62" s="15">
        <f t="shared" ref="F62" ca="1" si="253">INDIRECT("'"&amp;$B62&amp;"'!$h$18")</f>
        <v>692781.3</v>
      </c>
      <c r="G62" s="15">
        <f t="shared" ref="G62" ca="1" si="254">INDIRECT("'"&amp;$B62&amp;"'!$i$18")</f>
        <v>690063.3</v>
      </c>
      <c r="H62" s="15">
        <f t="shared" ref="H62" ca="1" si="255">INDIRECT("'"&amp;$B62&amp;"'!$j$18")</f>
        <v>687251.3</v>
      </c>
      <c r="I62" s="15">
        <f t="shared" ref="I62" ca="1" si="256">INDIRECT("'"&amp;$B62&amp;"'!$f$17")</f>
        <v>644896.30000000005</v>
      </c>
      <c r="J62" s="15">
        <f t="shared" ref="J62" ca="1" si="257">INDIRECT("'"&amp;$B62&amp;"'!$g$17")</f>
        <v>691564.87</v>
      </c>
      <c r="K62" s="15">
        <f t="shared" ref="K62" ca="1" si="258">INDIRECT("'"&amp;$B62&amp;"'!$h$17")</f>
        <v>685668.89</v>
      </c>
      <c r="L62" s="15">
        <f t="shared" ref="L62" ca="1" si="259">INDIRECT("'"&amp;$B62&amp;"'!$i$17")</f>
        <v>683479.31</v>
      </c>
      <c r="M62" s="15">
        <f t="shared" ref="M62" ca="1" si="260">INDIRECT("'"&amp;$B62&amp;"'!$j$17")</f>
        <v>680705.83</v>
      </c>
      <c r="N62" s="94">
        <f ca="1">IFERROR(INDIRECT("'"&amp;$B62&amp;"'!$j$17")/INDIRECT("'"&amp;$B62&amp;"'!$j$18"),1)</f>
        <v>0.99047587105328128</v>
      </c>
      <c r="O62" s="2">
        <v>12</v>
      </c>
    </row>
    <row r="63" spans="1:15" x14ac:dyDescent="0.25">
      <c r="A63" s="2">
        <f t="shared" si="0"/>
        <v>5</v>
      </c>
      <c r="B63" t="s">
        <v>106</v>
      </c>
      <c r="C63" t="s">
        <v>222</v>
      </c>
      <c r="D63" s="15">
        <f t="shared" ref="D63" ca="1" si="261">INDIRECT("'"&amp;$B63&amp;"'!$g$22")</f>
        <v>762361.75</v>
      </c>
      <c r="E63" s="15">
        <f t="shared" ref="E63" ca="1" si="262">INDIRECT("'"&amp;$B63&amp;"'!$h$22")</f>
        <v>762351.75</v>
      </c>
      <c r="F63" s="15">
        <f t="shared" ref="F63" ca="1" si="263">INDIRECT("'"&amp;$B63&amp;"'!$i$22")</f>
        <v>761148.75</v>
      </c>
      <c r="G63" s="15">
        <f t="shared" ref="G63" ca="1" si="264">INDIRECT("'"&amp;$B63&amp;"'!$j$22")</f>
        <v>759039.75</v>
      </c>
      <c r="H63" s="15">
        <f t="shared" ref="H63" ca="1" si="265">INDIRECT("'"&amp;$B63&amp;"'!$k$22")</f>
        <v>0</v>
      </c>
      <c r="I63" s="15">
        <f t="shared" ref="I63" ca="1" si="266">INDIRECT("'"&amp;$B63&amp;"'!$g$21")</f>
        <v>721936.63</v>
      </c>
      <c r="J63" s="15">
        <f t="shared" ref="J63" ca="1" si="267">INDIRECT("'"&amp;$B63&amp;"'!$h$21")</f>
        <v>753260.14</v>
      </c>
      <c r="K63" s="15">
        <f t="shared" ref="K63" ca="1" si="268">INDIRECT("'"&amp;$B63&amp;"'!$i$21")</f>
        <v>751460.81</v>
      </c>
      <c r="L63" s="15">
        <f t="shared" ref="L63" ca="1" si="269">INDIRECT("'"&amp;$B63&amp;"'!$j$21")</f>
        <v>750159.18</v>
      </c>
      <c r="M63" s="15">
        <f t="shared" ref="M63" ca="1" si="270">INDIRECT("'"&amp;$B63&amp;"'!$k$21")</f>
        <v>0</v>
      </c>
      <c r="N63" s="94">
        <f ca="1">IFERROR(INDIRECT("'"&amp;$B63&amp;"'!$k$21")/INDIRECT("'"&amp;$B63&amp;"'!$k$22"),1)</f>
        <v>1</v>
      </c>
      <c r="O63" s="2">
        <v>12</v>
      </c>
    </row>
    <row r="64" spans="1:15" x14ac:dyDescent="0.25">
      <c r="A64" s="2">
        <f t="shared" si="0"/>
        <v>5</v>
      </c>
      <c r="B64" t="s">
        <v>106</v>
      </c>
      <c r="C64" t="s">
        <v>223</v>
      </c>
      <c r="D64" s="15">
        <f t="shared" ref="D64" ca="1" si="271">INDIRECT("'"&amp;$B64&amp;"'!$h$26")</f>
        <v>720339.8</v>
      </c>
      <c r="E64" s="15">
        <f t="shared" ref="E64" ca="1" si="272">INDIRECT("'"&amp;$B64&amp;"'!$i$26")</f>
        <v>719878.8</v>
      </c>
      <c r="F64" s="15">
        <f t="shared" ref="F64" ca="1" si="273">INDIRECT("'"&amp;$B64&amp;"'!$j$26")</f>
        <v>716775.8</v>
      </c>
      <c r="G64" s="15">
        <f t="shared" ref="G64" ca="1" si="274">INDIRECT("'"&amp;$B64&amp;"'!$k$26")</f>
        <v>0</v>
      </c>
      <c r="H64" s="15">
        <f t="shared" ref="H64" ca="1" si="275">INDIRECT("'"&amp;$B64&amp;"'!$l$26")</f>
        <v>0</v>
      </c>
      <c r="I64" s="15">
        <f t="shared" ref="I64" ca="1" si="276">INDIRECT("'"&amp;$B64&amp;"'!$h$25")</f>
        <v>685507.16</v>
      </c>
      <c r="J64" s="15">
        <f t="shared" ref="J64" ca="1" si="277">INDIRECT("'"&amp;$B64&amp;"'!$i$25")</f>
        <v>713554.68</v>
      </c>
      <c r="K64" s="15">
        <f t="shared" ref="K64" ca="1" si="278">INDIRECT("'"&amp;$B64&amp;"'!$j$25")</f>
        <v>711386.32</v>
      </c>
      <c r="L64" s="15">
        <f t="shared" ref="L64" ca="1" si="279">INDIRECT("'"&amp;$B64&amp;"'!$k$25")</f>
        <v>0</v>
      </c>
      <c r="M64" s="15">
        <f t="shared" ref="M64" ca="1" si="280">INDIRECT("'"&amp;$B64&amp;"'!$l$25")</f>
        <v>0</v>
      </c>
      <c r="N64" s="94">
        <f ca="1">IFERROR(INDIRECT("'"&amp;$B64&amp;"'!$l$25")/INDIRECT("'"&amp;$B64&amp;"'!$l$26"),1)</f>
        <v>1</v>
      </c>
      <c r="O64" s="2">
        <v>12</v>
      </c>
    </row>
    <row r="65" spans="1:15" x14ac:dyDescent="0.25">
      <c r="A65" s="2">
        <f t="shared" si="0"/>
        <v>5</v>
      </c>
      <c r="B65" t="s">
        <v>106</v>
      </c>
      <c r="C65" t="s">
        <v>224</v>
      </c>
      <c r="D65" s="15">
        <f t="shared" ref="D65" ca="1" si="281">INDIRECT("'"&amp;$B65&amp;"'!$i$30")</f>
        <v>738344.55</v>
      </c>
      <c r="E65" s="15">
        <f t="shared" ref="E65" ca="1" si="282">INDIRECT("'"&amp;$B65&amp;"'!$j$30")</f>
        <v>738259.55</v>
      </c>
      <c r="F65" s="15">
        <f t="shared" ref="F65" ca="1" si="283">INDIRECT("'"&amp;$B65&amp;"'!$k$30")</f>
        <v>0</v>
      </c>
      <c r="G65" s="15">
        <f t="shared" ref="G65" ca="1" si="284">INDIRECT("'"&amp;$B65&amp;"'!$l$30")</f>
        <v>0</v>
      </c>
      <c r="H65" s="15"/>
      <c r="I65" s="15">
        <f t="shared" ref="I65" ca="1" si="285">INDIRECT("'"&amp;$B65&amp;"'!$i$29")</f>
        <v>671123.59</v>
      </c>
      <c r="J65" s="15">
        <f t="shared" ref="J65" ca="1" si="286">INDIRECT("'"&amp;$B65&amp;"'!$j$29")</f>
        <v>731441.73</v>
      </c>
      <c r="K65" s="15">
        <f t="shared" ref="K65" ca="1" si="287">INDIRECT("'"&amp;$B65&amp;"'!$k$29")</f>
        <v>0</v>
      </c>
      <c r="L65" s="15">
        <f t="shared" ref="L65" ca="1" si="288">INDIRECT("'"&amp;$B65&amp;"'!$l$29")</f>
        <v>0</v>
      </c>
      <c r="M65" s="15"/>
      <c r="N65" s="94">
        <v>1</v>
      </c>
      <c r="O65" s="2">
        <v>12</v>
      </c>
    </row>
    <row r="66" spans="1:15" x14ac:dyDescent="0.25">
      <c r="A66" s="2">
        <f t="shared" si="0"/>
        <v>5</v>
      </c>
      <c r="B66" t="s">
        <v>106</v>
      </c>
      <c r="C66" t="s">
        <v>225</v>
      </c>
      <c r="D66" s="15">
        <f t="shared" ref="D66" ca="1" si="289">INDIRECT("'"&amp;$B66&amp;"'!$j$34")</f>
        <v>683096</v>
      </c>
      <c r="E66" s="15">
        <f t="shared" ref="E66" ca="1" si="290">INDIRECT("'"&amp;$B66&amp;"'!$k$34")</f>
        <v>0</v>
      </c>
      <c r="F66" s="15">
        <f t="shared" ref="F66" ca="1" si="291">INDIRECT("'"&amp;$B66&amp;"'!$l$34")</f>
        <v>0</v>
      </c>
      <c r="G66" s="15"/>
      <c r="H66" s="15"/>
      <c r="I66" s="15">
        <f t="shared" ref="I66" ca="1" si="292">INDIRECT("'"&amp;$B66&amp;"'!$j$33")</f>
        <v>658796.32999999996</v>
      </c>
      <c r="J66" s="15">
        <f t="shared" ref="J66" ca="1" si="293">INDIRECT("'"&amp;$B66&amp;"'!$k$33")</f>
        <v>0</v>
      </c>
      <c r="K66" s="15">
        <f t="shared" ref="K66" ca="1" si="294">INDIRECT("'"&amp;$B66&amp;"'!$l$33")</f>
        <v>0</v>
      </c>
      <c r="L66" s="15"/>
      <c r="M66" s="15"/>
      <c r="N66" s="94">
        <v>1</v>
      </c>
      <c r="O66" s="2">
        <v>12</v>
      </c>
    </row>
    <row r="67" spans="1:15" x14ac:dyDescent="0.25">
      <c r="A67" s="2">
        <f t="shared" si="0"/>
        <v>5</v>
      </c>
      <c r="B67" t="s">
        <v>106</v>
      </c>
      <c r="C67" t="s">
        <v>226</v>
      </c>
      <c r="D67" s="15">
        <f t="shared" ref="D67" ca="1" si="295">INDIRECT("'"&amp;$B67&amp;"'!$k$38")</f>
        <v>0</v>
      </c>
      <c r="E67" s="15">
        <f t="shared" ref="E67" ca="1" si="296">INDIRECT("'"&amp;$B67&amp;"'!$l$38")</f>
        <v>0</v>
      </c>
      <c r="F67" s="15"/>
      <c r="G67" s="15"/>
      <c r="H67" s="15"/>
      <c r="I67" s="15">
        <f t="shared" ref="I67" ca="1" si="297">INDIRECT("'"&amp;$B67&amp;"'!$k$37")</f>
        <v>0</v>
      </c>
      <c r="J67" s="15">
        <f t="shared" ref="J67" ca="1" si="298">INDIRECT("'"&amp;$B67&amp;"'!$l$37")</f>
        <v>0</v>
      </c>
      <c r="K67" s="15"/>
      <c r="L67" s="15"/>
      <c r="M67" s="15"/>
      <c r="N67" s="94">
        <v>1</v>
      </c>
      <c r="O67" s="2">
        <v>12</v>
      </c>
    </row>
    <row r="68" spans="1:15" x14ac:dyDescent="0.25">
      <c r="A68" s="2">
        <f t="shared" si="0"/>
        <v>5</v>
      </c>
      <c r="B68" t="s">
        <v>106</v>
      </c>
      <c r="C68" t="s">
        <v>227</v>
      </c>
      <c r="D68" s="15">
        <f t="shared" ref="D68" ca="1" si="299">INDIRECT("'"&amp;$B68&amp;"'!$l$42")</f>
        <v>0</v>
      </c>
      <c r="E68" s="15"/>
      <c r="F68" s="15"/>
      <c r="G68" s="15"/>
      <c r="H68" s="15"/>
      <c r="I68" s="15">
        <f t="shared" ref="I68" ca="1" si="300">INDIRECT("'"&amp;$B68&amp;"'!$l$41")</f>
        <v>0</v>
      </c>
      <c r="J68" s="15"/>
      <c r="K68" s="15"/>
      <c r="L68" s="15"/>
      <c r="M68" s="15"/>
      <c r="N68" s="94">
        <v>1</v>
      </c>
      <c r="O68" s="2">
        <v>12</v>
      </c>
    </row>
    <row r="69" spans="1:15" x14ac:dyDescent="0.25">
      <c r="A69" s="2">
        <f t="shared" si="0"/>
        <v>5</v>
      </c>
      <c r="B69" t="s">
        <v>107</v>
      </c>
      <c r="C69" t="s">
        <v>220</v>
      </c>
      <c r="D69" s="15">
        <f t="shared" ref="D69" ca="1" si="301">INDIRECT("'"&amp;$B69&amp;"'!$e$14")</f>
        <v>638320.94999999995</v>
      </c>
      <c r="E69" s="15">
        <f t="shared" ref="E69" ca="1" si="302">INDIRECT("'"&amp;$B69&amp;"'!$f$14")</f>
        <v>638320.94999999995</v>
      </c>
      <c r="F69" s="15">
        <f t="shared" ref="F69" ca="1" si="303">INDIRECT("'"&amp;$B69&amp;"'!$g$14")</f>
        <v>638305.94999999995</v>
      </c>
      <c r="G69" s="15">
        <f t="shared" ref="G69" ca="1" si="304">INDIRECT("'"&amp;$B69&amp;"'!$h$14")</f>
        <v>638280.94999999995</v>
      </c>
      <c r="H69" s="15">
        <f t="shared" ref="H69" ca="1" si="305">INDIRECT("'"&amp;$B69&amp;"'!$i$14")</f>
        <v>638280.94999999995</v>
      </c>
      <c r="I69" s="15">
        <f t="shared" ref="I69" ca="1" si="306">INDIRECT("'"&amp;$B69&amp;"'!$e$13")</f>
        <v>623186</v>
      </c>
      <c r="J69" s="15">
        <f t="shared" ref="J69" ca="1" si="307">INDIRECT("'"&amp;$B69&amp;"'!$f$13")</f>
        <v>635621</v>
      </c>
      <c r="K69" s="15">
        <f t="shared" ref="K69" ca="1" si="308">INDIRECT("'"&amp;$B69&amp;"'!$g$13")</f>
        <v>636186</v>
      </c>
      <c r="L69" s="15">
        <f t="shared" ref="L69" ca="1" si="309">INDIRECT("'"&amp;$B69&amp;"'!$h$13")</f>
        <v>636186</v>
      </c>
      <c r="M69" s="15">
        <f t="shared" ref="M69" ca="1" si="310">INDIRECT("'"&amp;$B69&amp;"'!$i$13")</f>
        <v>636496</v>
      </c>
      <c r="N69" s="94">
        <f ca="1">IFERROR(INDIRECT("'"&amp;$B69&amp;"'!$i$13")/INDIRECT("'"&amp;$B69&amp;"'!$i$14"),1)</f>
        <v>0.99720350419356873</v>
      </c>
      <c r="O69" s="2">
        <v>12</v>
      </c>
    </row>
    <row r="70" spans="1:15" x14ac:dyDescent="0.25">
      <c r="A70" s="2">
        <f t="shared" si="0"/>
        <v>5</v>
      </c>
      <c r="B70" t="s">
        <v>107</v>
      </c>
      <c r="C70" t="s">
        <v>221</v>
      </c>
      <c r="D70" s="15">
        <f t="shared" ref="D70" ca="1" si="311">INDIRECT("'"&amp;$B70&amp;"'!$f$18")</f>
        <v>695414.61</v>
      </c>
      <c r="E70" s="15">
        <f t="shared" ref="E70" ca="1" si="312">INDIRECT("'"&amp;$B70&amp;"'!$g$18")</f>
        <v>695384.61</v>
      </c>
      <c r="F70" s="15">
        <f t="shared" ref="F70" ca="1" si="313">INDIRECT("'"&amp;$B70&amp;"'!$h$18")</f>
        <v>695384.61</v>
      </c>
      <c r="G70" s="15">
        <f t="shared" ref="G70" ca="1" si="314">INDIRECT("'"&amp;$B70&amp;"'!$i$18")</f>
        <v>695299.61</v>
      </c>
      <c r="H70" s="15">
        <f t="shared" ref="H70" ca="1" si="315">INDIRECT("'"&amp;$B70&amp;"'!$j$18")</f>
        <v>695289.61</v>
      </c>
      <c r="I70" s="15">
        <f t="shared" ref="I70" ca="1" si="316">INDIRECT("'"&amp;$B70&amp;"'!$f$17")</f>
        <v>651771.61</v>
      </c>
      <c r="J70" s="15">
        <f t="shared" ref="J70" ca="1" si="317">INDIRECT("'"&amp;$B70&amp;"'!$g$17")</f>
        <v>689846.61</v>
      </c>
      <c r="K70" s="15">
        <f t="shared" ref="K70" ca="1" si="318">INDIRECT("'"&amp;$B70&amp;"'!$h$17")</f>
        <v>689926.61</v>
      </c>
      <c r="L70" s="15">
        <f t="shared" ref="L70" ca="1" si="319">INDIRECT("'"&amp;$B70&amp;"'!$i$17")</f>
        <v>690021.61</v>
      </c>
      <c r="M70" s="15">
        <f t="shared" ref="M70" ca="1" si="320">INDIRECT("'"&amp;$B70&amp;"'!$j$17")</f>
        <v>690021.61</v>
      </c>
      <c r="N70" s="94">
        <f ca="1">IFERROR(INDIRECT("'"&amp;$B70&amp;"'!$j$17")/INDIRECT("'"&amp;$B70&amp;"'!$j$18"),1)</f>
        <v>0.99242330113346577</v>
      </c>
      <c r="O70" s="2">
        <v>12</v>
      </c>
    </row>
    <row r="71" spans="1:15" x14ac:dyDescent="0.25">
      <c r="A71" s="2">
        <f t="shared" si="0"/>
        <v>5</v>
      </c>
      <c r="B71" t="s">
        <v>107</v>
      </c>
      <c r="C71" t="s">
        <v>222</v>
      </c>
      <c r="D71" s="15">
        <f t="shared" ref="D71" ca="1" si="321">INDIRECT("'"&amp;$B71&amp;"'!$g$22")</f>
        <v>591450.5</v>
      </c>
      <c r="E71" s="15">
        <f t="shared" ref="E71" ca="1" si="322">INDIRECT("'"&amp;$B71&amp;"'!$h$22")</f>
        <v>591450.5</v>
      </c>
      <c r="F71" s="15">
        <f t="shared" ref="F71" ca="1" si="323">INDIRECT("'"&amp;$B71&amp;"'!$i$22")</f>
        <v>591450.5</v>
      </c>
      <c r="G71" s="15">
        <f t="shared" ref="G71" ca="1" si="324">INDIRECT("'"&amp;$B71&amp;"'!$j$22")</f>
        <v>591450.5</v>
      </c>
      <c r="H71" s="15">
        <f t="shared" ref="H71" ca="1" si="325">INDIRECT("'"&amp;$B71&amp;"'!$k$22")</f>
        <v>0</v>
      </c>
      <c r="I71" s="15">
        <f t="shared" ref="I71" ca="1" si="326">INDIRECT("'"&amp;$B71&amp;"'!$g$21")</f>
        <v>559617.5</v>
      </c>
      <c r="J71" s="15">
        <f t="shared" ref="J71" ca="1" si="327">INDIRECT("'"&amp;$B71&amp;"'!$h$21")</f>
        <v>588605.5</v>
      </c>
      <c r="K71" s="15">
        <f t="shared" ref="K71" ca="1" si="328">INDIRECT("'"&amp;$B71&amp;"'!$i$21")</f>
        <v>588605.5</v>
      </c>
      <c r="L71" s="15">
        <f t="shared" ref="L71" ca="1" si="329">INDIRECT("'"&amp;$B71&amp;"'!$j$21")</f>
        <v>588605.5</v>
      </c>
      <c r="M71" s="15">
        <f t="shared" ref="M71" ca="1" si="330">INDIRECT("'"&amp;$B71&amp;"'!$k$21")</f>
        <v>0</v>
      </c>
      <c r="N71" s="94">
        <f ca="1">IFERROR(INDIRECT("'"&amp;$B71&amp;"'!$k$21")/INDIRECT("'"&amp;$B71&amp;"'!$k$22"),1)</f>
        <v>1</v>
      </c>
      <c r="O71" s="2">
        <v>12</v>
      </c>
    </row>
    <row r="72" spans="1:15" x14ac:dyDescent="0.25">
      <c r="A72" s="2">
        <f t="shared" si="0"/>
        <v>5</v>
      </c>
      <c r="B72" t="s">
        <v>107</v>
      </c>
      <c r="C72" t="s">
        <v>223</v>
      </c>
      <c r="D72" s="15">
        <f t="shared" ref="D72" ca="1" si="331">INDIRECT("'"&amp;$B72&amp;"'!$h$26")</f>
        <v>744180.25</v>
      </c>
      <c r="E72" s="15">
        <f t="shared" ref="E72" ca="1" si="332">INDIRECT("'"&amp;$B72&amp;"'!$i$26")</f>
        <v>744010.25</v>
      </c>
      <c r="F72" s="15">
        <f t="shared" ref="F72" ca="1" si="333">INDIRECT("'"&amp;$B72&amp;"'!$j$26")</f>
        <v>744010.25</v>
      </c>
      <c r="G72" s="15">
        <f t="shared" ref="G72" ca="1" si="334">INDIRECT("'"&amp;$B72&amp;"'!$k$26")</f>
        <v>0</v>
      </c>
      <c r="H72" s="15">
        <f t="shared" ref="H72" ca="1" si="335">INDIRECT("'"&amp;$B72&amp;"'!$l$26")</f>
        <v>0</v>
      </c>
      <c r="I72" s="15">
        <f t="shared" ref="I72" ca="1" si="336">INDIRECT("'"&amp;$B72&amp;"'!$h$25")</f>
        <v>711714.01</v>
      </c>
      <c r="J72" s="15">
        <f t="shared" ref="J72" ca="1" si="337">INDIRECT("'"&amp;$B72&amp;"'!$i$25")</f>
        <v>741789.01</v>
      </c>
      <c r="K72" s="15">
        <f t="shared" ref="K72" ca="1" si="338">INDIRECT("'"&amp;$B72&amp;"'!$j$25")</f>
        <v>741829.01</v>
      </c>
      <c r="L72" s="15">
        <f t="shared" ref="L72" ca="1" si="339">INDIRECT("'"&amp;$B72&amp;"'!$k$25")</f>
        <v>0</v>
      </c>
      <c r="M72" s="15">
        <f t="shared" ref="M72" ca="1" si="340">INDIRECT("'"&amp;$B72&amp;"'!$l$25")</f>
        <v>0</v>
      </c>
      <c r="N72" s="94">
        <f ca="1">IFERROR(INDIRECT("'"&amp;$B72&amp;"'!$l$25")/INDIRECT("'"&amp;$B72&amp;"'!$l$26"),1)</f>
        <v>1</v>
      </c>
      <c r="O72" s="2">
        <v>12</v>
      </c>
    </row>
    <row r="73" spans="1:15" x14ac:dyDescent="0.25">
      <c r="A73" s="2">
        <f t="shared" si="0"/>
        <v>5</v>
      </c>
      <c r="B73" t="s">
        <v>107</v>
      </c>
      <c r="C73" t="s">
        <v>224</v>
      </c>
      <c r="D73" s="15">
        <f t="shared" ref="D73" ca="1" si="341">INDIRECT("'"&amp;$B73&amp;"'!$i$30")</f>
        <v>823890.25</v>
      </c>
      <c r="E73" s="15">
        <f t="shared" ref="E73" ca="1" si="342">INDIRECT("'"&amp;$B73&amp;"'!$j$30")</f>
        <v>823795.25</v>
      </c>
      <c r="F73" s="15">
        <f t="shared" ref="F73" ca="1" si="343">INDIRECT("'"&amp;$B73&amp;"'!$k$30")</f>
        <v>0</v>
      </c>
      <c r="G73" s="15">
        <f t="shared" ref="G73" ca="1" si="344">INDIRECT("'"&amp;$B73&amp;"'!$l$30")</f>
        <v>0</v>
      </c>
      <c r="H73" s="15"/>
      <c r="I73" s="15">
        <f t="shared" ref="I73" ca="1" si="345">INDIRECT("'"&amp;$B73&amp;"'!$i$29")</f>
        <v>735447.75</v>
      </c>
      <c r="J73" s="15">
        <f t="shared" ref="J73" ca="1" si="346">INDIRECT("'"&amp;$B73&amp;"'!$j$29")</f>
        <v>819126.75</v>
      </c>
      <c r="K73" s="15">
        <f t="shared" ref="K73" ca="1" si="347">INDIRECT("'"&amp;$B73&amp;"'!$k$29")</f>
        <v>0</v>
      </c>
      <c r="L73" s="15">
        <f t="shared" ref="L73" ca="1" si="348">INDIRECT("'"&amp;$B73&amp;"'!$l$29")</f>
        <v>0</v>
      </c>
      <c r="M73" s="15"/>
      <c r="N73" s="94">
        <v>1</v>
      </c>
      <c r="O73" s="2">
        <v>12</v>
      </c>
    </row>
    <row r="74" spans="1:15" x14ac:dyDescent="0.25">
      <c r="A74" s="2">
        <f t="shared" si="0"/>
        <v>5</v>
      </c>
      <c r="B74" t="s">
        <v>107</v>
      </c>
      <c r="C74" t="s">
        <v>225</v>
      </c>
      <c r="D74" s="15">
        <f t="shared" ref="D74" ca="1" si="349">INDIRECT("'"&amp;$B74&amp;"'!$j$34")</f>
        <v>673565.15</v>
      </c>
      <c r="E74" s="15">
        <f t="shared" ref="E74" ca="1" si="350">INDIRECT("'"&amp;$B74&amp;"'!$k$34")</f>
        <v>0</v>
      </c>
      <c r="F74" s="15">
        <f t="shared" ref="F74" ca="1" si="351">INDIRECT("'"&amp;$B74&amp;"'!$l$34")</f>
        <v>0</v>
      </c>
      <c r="G74" s="15"/>
      <c r="H74" s="15"/>
      <c r="I74" s="15">
        <f t="shared" ref="I74" ca="1" si="352">INDIRECT("'"&amp;$B74&amp;"'!$j$33")</f>
        <v>656100.15</v>
      </c>
      <c r="J74" s="15">
        <f t="shared" ref="J74" ca="1" si="353">INDIRECT("'"&amp;$B74&amp;"'!$k$33")</f>
        <v>0</v>
      </c>
      <c r="K74" s="15">
        <f t="shared" ref="K74" ca="1" si="354">INDIRECT("'"&amp;$B74&amp;"'!$l$33")</f>
        <v>0</v>
      </c>
      <c r="L74" s="15"/>
      <c r="M74" s="15"/>
      <c r="N74" s="94">
        <v>1</v>
      </c>
      <c r="O74" s="2">
        <v>12</v>
      </c>
    </row>
    <row r="75" spans="1:15" x14ac:dyDescent="0.25">
      <c r="A75" s="2">
        <f t="shared" si="0"/>
        <v>5</v>
      </c>
      <c r="B75" t="s">
        <v>107</v>
      </c>
      <c r="C75" t="s">
        <v>226</v>
      </c>
      <c r="D75" s="15">
        <f t="shared" ref="D75" ca="1" si="355">INDIRECT("'"&amp;$B75&amp;"'!$k$38")</f>
        <v>0</v>
      </c>
      <c r="E75" s="15">
        <f t="shared" ref="E75" ca="1" si="356">INDIRECT("'"&amp;$B75&amp;"'!$l$38")</f>
        <v>0</v>
      </c>
      <c r="F75" s="15"/>
      <c r="G75" s="15"/>
      <c r="H75" s="15"/>
      <c r="I75" s="15">
        <f t="shared" ref="I75" ca="1" si="357">INDIRECT("'"&amp;$B75&amp;"'!$k$37")</f>
        <v>0</v>
      </c>
      <c r="J75" s="15">
        <f t="shared" ref="J75" ca="1" si="358">INDIRECT("'"&amp;$B75&amp;"'!$l$37")</f>
        <v>0</v>
      </c>
      <c r="K75" s="15"/>
      <c r="L75" s="15"/>
      <c r="M75" s="15"/>
      <c r="N75" s="94">
        <v>1</v>
      </c>
      <c r="O75" s="2">
        <v>12</v>
      </c>
    </row>
    <row r="76" spans="1:15" x14ac:dyDescent="0.25">
      <c r="A76" s="2">
        <f t="shared" si="0"/>
        <v>5</v>
      </c>
      <c r="B76" t="s">
        <v>107</v>
      </c>
      <c r="C76" t="s">
        <v>227</v>
      </c>
      <c r="D76" s="15">
        <f t="shared" ref="D76" ca="1" si="359">INDIRECT("'"&amp;$B76&amp;"'!$l$42")</f>
        <v>0</v>
      </c>
      <c r="E76" s="15"/>
      <c r="F76" s="15"/>
      <c r="G76" s="15"/>
      <c r="H76" s="15"/>
      <c r="I76" s="15">
        <f t="shared" ref="I76" ca="1" si="360">INDIRECT("'"&amp;$B76&amp;"'!$l$41")</f>
        <v>0</v>
      </c>
      <c r="J76" s="15"/>
      <c r="K76" s="15"/>
      <c r="L76" s="15"/>
      <c r="M76" s="15"/>
      <c r="N76" s="94">
        <v>1</v>
      </c>
      <c r="O76" s="2">
        <v>12</v>
      </c>
    </row>
    <row r="77" spans="1:15" x14ac:dyDescent="0.25">
      <c r="A77" s="2">
        <f t="shared" si="0"/>
        <v>5</v>
      </c>
      <c r="B77" t="s">
        <v>110</v>
      </c>
      <c r="C77" t="s">
        <v>220</v>
      </c>
      <c r="D77" s="15">
        <f t="shared" ref="D77" ca="1" si="361">INDIRECT("'"&amp;$B77&amp;"'!$e$14")</f>
        <v>1334636.7</v>
      </c>
      <c r="E77" s="15">
        <f t="shared" ref="E77" ca="1" si="362">INDIRECT("'"&amp;$B77&amp;"'!$f$14")</f>
        <v>1273091.2</v>
      </c>
      <c r="F77" s="15">
        <f t="shared" ref="F77" ca="1" si="363">INDIRECT("'"&amp;$B77&amp;"'!$g$14")</f>
        <v>1268698.2</v>
      </c>
      <c r="G77" s="15">
        <f t="shared" ref="G77" ca="1" si="364">INDIRECT("'"&amp;$B77&amp;"'!$h$14")</f>
        <v>1268382.2</v>
      </c>
      <c r="H77" s="15">
        <f t="shared" ref="H77" ca="1" si="365">INDIRECT("'"&amp;$B77&amp;"'!$i$14")</f>
        <v>1268384.74</v>
      </c>
      <c r="I77" s="15">
        <f t="shared" ref="I77" ca="1" si="366">INDIRECT("'"&amp;$B77&amp;"'!$e$13")</f>
        <v>674256.37</v>
      </c>
      <c r="J77" s="15">
        <f t="shared" ref="J77" ca="1" si="367">INDIRECT("'"&amp;$B77&amp;"'!$f$13")</f>
        <v>1021917.7</v>
      </c>
      <c r="K77" s="15">
        <f t="shared" ref="K77" ca="1" si="368">INDIRECT("'"&amp;$B77&amp;"'!$g$13")</f>
        <v>1088118.19</v>
      </c>
      <c r="L77" s="15">
        <f t="shared" ref="L77" ca="1" si="369">INDIRECT("'"&amp;$B77&amp;"'!$h$13")</f>
        <v>1114400.6599999999</v>
      </c>
      <c r="M77" s="15">
        <f t="shared" ref="M77" ca="1" si="370">INDIRECT("'"&amp;$B77&amp;"'!$i$13")</f>
        <v>1124988.24</v>
      </c>
      <c r="N77" s="94">
        <f ca="1">IFERROR(INDIRECT("'"&amp;$B77&amp;"'!$i$13")/INDIRECT("'"&amp;$B77&amp;"'!$i$14"),1)</f>
        <v>0.88694558088108189</v>
      </c>
      <c r="O77" s="2">
        <v>12</v>
      </c>
    </row>
    <row r="78" spans="1:15" x14ac:dyDescent="0.25">
      <c r="A78" s="2">
        <f t="shared" si="0"/>
        <v>5</v>
      </c>
      <c r="B78" t="s">
        <v>110</v>
      </c>
      <c r="C78" t="s">
        <v>221</v>
      </c>
      <c r="D78" s="15">
        <f t="shared" ref="D78" ca="1" si="371">INDIRECT("'"&amp;$B78&amp;"'!$f$18")</f>
        <v>1615893.3</v>
      </c>
      <c r="E78" s="15">
        <f t="shared" ref="E78" ca="1" si="372">INDIRECT("'"&amp;$B78&amp;"'!$g$18")</f>
        <v>1539153.25</v>
      </c>
      <c r="F78" s="15">
        <f t="shared" ref="F78" ca="1" si="373">INDIRECT("'"&amp;$B78&amp;"'!$h$18")</f>
        <v>1535430.75</v>
      </c>
      <c r="G78" s="15">
        <f t="shared" ref="G78" ca="1" si="374">INDIRECT("'"&amp;$B78&amp;"'!$i$18")</f>
        <v>1534309.25</v>
      </c>
      <c r="H78" s="15">
        <f t="shared" ref="H78" ca="1" si="375">INDIRECT("'"&amp;$B78&amp;"'!$j$18")</f>
        <v>1534309.25</v>
      </c>
      <c r="I78" s="15">
        <f t="shared" ref="I78" ca="1" si="376">INDIRECT("'"&amp;$B78&amp;"'!$f$17")</f>
        <v>853729.5</v>
      </c>
      <c r="J78" s="15">
        <f t="shared" ref="J78" ca="1" si="377">INDIRECT("'"&amp;$B78&amp;"'!$g$17")</f>
        <v>1265723.8999999999</v>
      </c>
      <c r="K78" s="15">
        <f t="shared" ref="K78" ca="1" si="378">INDIRECT("'"&amp;$B78&amp;"'!$h$17")</f>
        <v>1336948.06</v>
      </c>
      <c r="L78" s="15">
        <f t="shared" ref="L78" ca="1" si="379">INDIRECT("'"&amp;$B78&amp;"'!$i$17")</f>
        <v>1365179.91</v>
      </c>
      <c r="M78" s="15">
        <f t="shared" ref="M78" ca="1" si="380">INDIRECT("'"&amp;$B78&amp;"'!$j$17")</f>
        <v>1384638.91</v>
      </c>
      <c r="N78" s="94">
        <f ca="1">IFERROR(INDIRECT("'"&amp;$B78&amp;"'!$j$17")/INDIRECT("'"&amp;$B78&amp;"'!$j$18"),1)</f>
        <v>0.90245099545609853</v>
      </c>
      <c r="O78" s="2">
        <v>12</v>
      </c>
    </row>
    <row r="79" spans="1:15" x14ac:dyDescent="0.25">
      <c r="A79" s="2">
        <f t="shared" si="0"/>
        <v>5</v>
      </c>
      <c r="B79" t="s">
        <v>110</v>
      </c>
      <c r="C79" t="s">
        <v>222</v>
      </c>
      <c r="D79" s="15">
        <f t="shared" ref="D79" ca="1" si="381">INDIRECT("'"&amp;$B79&amp;"'!$g$22")</f>
        <v>1603833.15</v>
      </c>
      <c r="E79" s="15">
        <f t="shared" ref="E79" ca="1" si="382">INDIRECT("'"&amp;$B79&amp;"'!$h$22")</f>
        <v>1516749.4</v>
      </c>
      <c r="F79" s="15">
        <f t="shared" ref="F79" ca="1" si="383">INDIRECT("'"&amp;$B79&amp;"'!$i$22")</f>
        <v>1507183.65</v>
      </c>
      <c r="G79" s="15">
        <f t="shared" ref="G79" ca="1" si="384">INDIRECT("'"&amp;$B79&amp;"'!$j$22")</f>
        <v>1507079.79</v>
      </c>
      <c r="H79" s="15">
        <f t="shared" ref="H79" ca="1" si="385">INDIRECT("'"&amp;$B79&amp;"'!$k$22")</f>
        <v>0</v>
      </c>
      <c r="I79" s="15">
        <f t="shared" ref="I79" ca="1" si="386">INDIRECT("'"&amp;$B79&amp;"'!$g$21")</f>
        <v>807387.95</v>
      </c>
      <c r="J79" s="15">
        <f t="shared" ref="J79" ca="1" si="387">INDIRECT("'"&amp;$B79&amp;"'!$h$21")</f>
        <v>1200553.22</v>
      </c>
      <c r="K79" s="15">
        <f t="shared" ref="K79" ca="1" si="388">INDIRECT("'"&amp;$B79&amp;"'!$i$21")</f>
        <v>1288076.08</v>
      </c>
      <c r="L79" s="15">
        <f t="shared" ref="L79" ca="1" si="389">INDIRECT("'"&amp;$B79&amp;"'!$j$21")</f>
        <v>1329612.32</v>
      </c>
      <c r="M79" s="15">
        <f t="shared" ref="M79" ca="1" si="390">INDIRECT("'"&amp;$B79&amp;"'!$k$21")</f>
        <v>0</v>
      </c>
      <c r="N79" s="94">
        <f ca="1">IFERROR(INDIRECT("'"&amp;$B79&amp;"'!$k$21")/INDIRECT("'"&amp;$B79&amp;"'!$k$22"),1)</f>
        <v>1</v>
      </c>
      <c r="O79" s="2">
        <v>12</v>
      </c>
    </row>
    <row r="80" spans="1:15" x14ac:dyDescent="0.25">
      <c r="A80" s="2">
        <f t="shared" si="0"/>
        <v>5</v>
      </c>
      <c r="B80" t="s">
        <v>110</v>
      </c>
      <c r="C80" t="s">
        <v>223</v>
      </c>
      <c r="D80" s="15">
        <f t="shared" ref="D80" ca="1" si="391">INDIRECT("'"&amp;$B80&amp;"'!$h$26")</f>
        <v>1624530.1</v>
      </c>
      <c r="E80" s="15">
        <f t="shared" ref="E80" ca="1" si="392">INDIRECT("'"&amp;$B80&amp;"'!$i$26")</f>
        <v>1537007.35</v>
      </c>
      <c r="F80" s="15">
        <f t="shared" ref="F80" ca="1" si="393">INDIRECT("'"&amp;$B80&amp;"'!$j$26")</f>
        <v>1530133.35</v>
      </c>
      <c r="G80" s="15">
        <f t="shared" ref="G80" ca="1" si="394">INDIRECT("'"&amp;$B80&amp;"'!$k$26")</f>
        <v>0</v>
      </c>
      <c r="H80" s="15">
        <f t="shared" ref="H80" ca="1" si="395">INDIRECT("'"&amp;$B80&amp;"'!$l$26")</f>
        <v>0</v>
      </c>
      <c r="I80" s="15">
        <f t="shared" ref="I80" ca="1" si="396">INDIRECT("'"&amp;$B80&amp;"'!$h$25")</f>
        <v>850438.4</v>
      </c>
      <c r="J80" s="15">
        <f t="shared" ref="J80" ca="1" si="397">INDIRECT("'"&amp;$B80&amp;"'!$i$25")</f>
        <v>1212314.53</v>
      </c>
      <c r="K80" s="15">
        <f t="shared" ref="K80" ca="1" si="398">INDIRECT("'"&amp;$B80&amp;"'!$j$25")</f>
        <v>1321314.45</v>
      </c>
      <c r="L80" s="15">
        <f t="shared" ref="L80" ca="1" si="399">INDIRECT("'"&amp;$B80&amp;"'!$k$25")</f>
        <v>0</v>
      </c>
      <c r="M80" s="15">
        <f t="shared" ref="M80" ca="1" si="400">INDIRECT("'"&amp;$B80&amp;"'!$l$25")</f>
        <v>0</v>
      </c>
      <c r="N80" s="94">
        <f ca="1">IFERROR(INDIRECT("'"&amp;$B80&amp;"'!$l$25")/INDIRECT("'"&amp;$B80&amp;"'!$l$26"),1)</f>
        <v>1</v>
      </c>
      <c r="O80" s="2">
        <v>12</v>
      </c>
    </row>
    <row r="81" spans="1:15" x14ac:dyDescent="0.25">
      <c r="A81" s="2">
        <f t="shared" si="0"/>
        <v>5</v>
      </c>
      <c r="B81" t="s">
        <v>110</v>
      </c>
      <c r="C81" t="s">
        <v>224</v>
      </c>
      <c r="D81" s="15">
        <f t="shared" ref="D81" ca="1" si="401">INDIRECT("'"&amp;$B81&amp;"'!$i$30")</f>
        <v>1547621.48</v>
      </c>
      <c r="E81" s="15">
        <f t="shared" ref="E81" ca="1" si="402">INDIRECT("'"&amp;$B81&amp;"'!$j$30")</f>
        <v>1474773.83</v>
      </c>
      <c r="F81" s="15">
        <f t="shared" ref="F81" ca="1" si="403">INDIRECT("'"&amp;$B81&amp;"'!$k$30")</f>
        <v>0</v>
      </c>
      <c r="G81" s="15">
        <f t="shared" ref="G81" ca="1" si="404">INDIRECT("'"&amp;$B81&amp;"'!$l$30")</f>
        <v>0</v>
      </c>
      <c r="H81" s="15"/>
      <c r="I81" s="15">
        <f t="shared" ref="I81" ca="1" si="405">INDIRECT("'"&amp;$B81&amp;"'!$i$29")</f>
        <v>799423.83</v>
      </c>
      <c r="J81" s="15">
        <f t="shared" ref="J81" ca="1" si="406">INDIRECT("'"&amp;$B81&amp;"'!$j$29")</f>
        <v>1181159</v>
      </c>
      <c r="K81" s="15">
        <f t="shared" ref="K81" ca="1" si="407">INDIRECT("'"&amp;$B81&amp;"'!$k$29")</f>
        <v>0</v>
      </c>
      <c r="L81" s="15">
        <f t="shared" ref="L81" ca="1" si="408">INDIRECT("'"&amp;$B81&amp;"'!$l$29")</f>
        <v>0</v>
      </c>
      <c r="M81" s="15"/>
      <c r="N81" s="94">
        <v>1</v>
      </c>
      <c r="O81" s="2">
        <v>12</v>
      </c>
    </row>
    <row r="82" spans="1:15" x14ac:dyDescent="0.25">
      <c r="A82" s="2">
        <f t="shared" si="0"/>
        <v>5</v>
      </c>
      <c r="B82" t="s">
        <v>110</v>
      </c>
      <c r="C82" t="s">
        <v>225</v>
      </c>
      <c r="D82" s="15">
        <f t="shared" ref="D82" ca="1" si="409">INDIRECT("'"&amp;$B82&amp;"'!$j$34")</f>
        <v>1549893.32</v>
      </c>
      <c r="E82" s="15">
        <f t="shared" ref="E82" ca="1" si="410">INDIRECT("'"&amp;$B82&amp;"'!$k$34")</f>
        <v>0</v>
      </c>
      <c r="F82" s="15">
        <f t="shared" ref="F82" ca="1" si="411">INDIRECT("'"&amp;$B82&amp;"'!$l$34")</f>
        <v>0</v>
      </c>
      <c r="G82" s="15"/>
      <c r="H82" s="15"/>
      <c r="I82" s="15">
        <f t="shared" ref="I82" ca="1" si="412">INDIRECT("'"&amp;$B82&amp;"'!$j$33")</f>
        <v>839065.4</v>
      </c>
      <c r="J82" s="15">
        <f t="shared" ref="J82" ca="1" si="413">INDIRECT("'"&amp;$B82&amp;"'!$k$33")</f>
        <v>0</v>
      </c>
      <c r="K82" s="15">
        <f t="shared" ref="K82" ca="1" si="414">INDIRECT("'"&amp;$B82&amp;"'!$l$33")</f>
        <v>0</v>
      </c>
      <c r="L82" s="15"/>
      <c r="M82" s="15"/>
      <c r="N82" s="94">
        <v>1</v>
      </c>
      <c r="O82" s="2">
        <v>12</v>
      </c>
    </row>
    <row r="83" spans="1:15" x14ac:dyDescent="0.25">
      <c r="A83" s="2">
        <f t="shared" si="0"/>
        <v>5</v>
      </c>
      <c r="B83" t="s">
        <v>110</v>
      </c>
      <c r="C83" t="s">
        <v>226</v>
      </c>
      <c r="D83" s="15">
        <f t="shared" ref="D83" ca="1" si="415">INDIRECT("'"&amp;$B83&amp;"'!$k$38")</f>
        <v>0</v>
      </c>
      <c r="E83" s="15">
        <f t="shared" ref="E83" ca="1" si="416">INDIRECT("'"&amp;$B83&amp;"'!$l$38")</f>
        <v>0</v>
      </c>
      <c r="F83" s="15"/>
      <c r="G83" s="15"/>
      <c r="H83" s="15"/>
      <c r="I83" s="15">
        <f t="shared" ref="I83" ca="1" si="417">INDIRECT("'"&amp;$B83&amp;"'!$k$37")</f>
        <v>0</v>
      </c>
      <c r="J83" s="15">
        <f t="shared" ref="J83" ca="1" si="418">INDIRECT("'"&amp;$B83&amp;"'!$l$37")</f>
        <v>0</v>
      </c>
      <c r="K83" s="15"/>
      <c r="L83" s="15"/>
      <c r="M83" s="15"/>
      <c r="N83" s="94">
        <v>1</v>
      </c>
      <c r="O83" s="2">
        <v>12</v>
      </c>
    </row>
    <row r="84" spans="1:15" x14ac:dyDescent="0.25">
      <c r="A84" s="2">
        <f t="shared" si="0"/>
        <v>5</v>
      </c>
      <c r="B84" t="s">
        <v>110</v>
      </c>
      <c r="C84" t="s">
        <v>227</v>
      </c>
      <c r="D84" s="15">
        <f t="shared" ref="D84" ca="1" si="419">INDIRECT("'"&amp;$B84&amp;"'!$l$42")</f>
        <v>0</v>
      </c>
      <c r="E84" s="15"/>
      <c r="F84" s="15"/>
      <c r="G84" s="15"/>
      <c r="H84" s="15"/>
      <c r="I84" s="15">
        <f t="shared" ref="I84" ca="1" si="420">INDIRECT("'"&amp;$B84&amp;"'!$l$41")</f>
        <v>0</v>
      </c>
      <c r="J84" s="15"/>
      <c r="K84" s="15"/>
      <c r="L84" s="15"/>
      <c r="M84" s="15"/>
      <c r="N84" s="94">
        <v>1</v>
      </c>
      <c r="O84" s="2">
        <v>12</v>
      </c>
    </row>
    <row r="85" spans="1:15" x14ac:dyDescent="0.25">
      <c r="A85" s="2">
        <f t="shared" si="0"/>
        <v>5</v>
      </c>
      <c r="B85" t="s">
        <v>108</v>
      </c>
      <c r="C85" t="s">
        <v>220</v>
      </c>
      <c r="D85" s="15">
        <f t="shared" ref="D85" ca="1" si="421">INDIRECT("'"&amp;$B85&amp;"'!$e$14")</f>
        <v>225901.35</v>
      </c>
      <c r="E85" s="15">
        <f t="shared" ref="E85" ca="1" si="422">INDIRECT("'"&amp;$B85&amp;"'!$f$14")</f>
        <v>225901.35</v>
      </c>
      <c r="F85" s="15">
        <f t="shared" ref="F85" ca="1" si="423">INDIRECT("'"&amp;$B85&amp;"'!$g$14")</f>
        <v>225901.35</v>
      </c>
      <c r="G85" s="15">
        <f t="shared" ref="G85" ca="1" si="424">INDIRECT("'"&amp;$B85&amp;"'!$h$14")</f>
        <v>225901.35</v>
      </c>
      <c r="H85" s="15">
        <f t="shared" ref="H85" ca="1" si="425">INDIRECT("'"&amp;$B85&amp;"'!$i$14")</f>
        <v>225901.35</v>
      </c>
      <c r="I85" s="15">
        <f t="shared" ref="I85" ca="1" si="426">INDIRECT("'"&amp;$B85&amp;"'!$e$13")</f>
        <v>221339.76</v>
      </c>
      <c r="J85" s="15">
        <f t="shared" ref="J85" ca="1" si="427">INDIRECT("'"&amp;$B85&amp;"'!$f$13")</f>
        <v>224713.57</v>
      </c>
      <c r="K85" s="15">
        <f t="shared" ref="K85" ca="1" si="428">INDIRECT("'"&amp;$B85&amp;"'!$g$13")</f>
        <v>224839.57</v>
      </c>
      <c r="L85" s="15">
        <f t="shared" ref="L85" ca="1" si="429">INDIRECT("'"&amp;$B85&amp;"'!$h$13")</f>
        <v>224839.57</v>
      </c>
      <c r="M85" s="15">
        <f t="shared" ref="M85" ca="1" si="430">INDIRECT("'"&amp;$B85&amp;"'!$i$13")</f>
        <v>224839.57</v>
      </c>
      <c r="N85" s="94">
        <f ca="1">IFERROR(INDIRECT("'"&amp;$B85&amp;"'!$i$13")/INDIRECT("'"&amp;$B85&amp;"'!$i$14"),1)</f>
        <v>0.99529980675192953</v>
      </c>
      <c r="O85" s="2">
        <v>12</v>
      </c>
    </row>
    <row r="86" spans="1:15" x14ac:dyDescent="0.25">
      <c r="A86" s="2">
        <f t="shared" si="0"/>
        <v>5</v>
      </c>
      <c r="B86" t="s">
        <v>108</v>
      </c>
      <c r="C86" t="s">
        <v>221</v>
      </c>
      <c r="D86" s="15">
        <f t="shared" ref="D86" ca="1" si="431">INDIRECT("'"&amp;$B86&amp;"'!$f$18")</f>
        <v>247936.65</v>
      </c>
      <c r="E86" s="15">
        <f t="shared" ref="E86" ca="1" si="432">INDIRECT("'"&amp;$B86&amp;"'!$g$18")</f>
        <v>247936.65</v>
      </c>
      <c r="F86" s="15">
        <f t="shared" ref="F86" ca="1" si="433">INDIRECT("'"&amp;$B86&amp;"'!$h$18")</f>
        <v>247936.65</v>
      </c>
      <c r="G86" s="15">
        <f t="shared" ref="G86" ca="1" si="434">INDIRECT("'"&amp;$B86&amp;"'!$i$18")</f>
        <v>247936.65</v>
      </c>
      <c r="H86" s="15">
        <f t="shared" ref="H86" ca="1" si="435">INDIRECT("'"&amp;$B86&amp;"'!$j$18")</f>
        <v>247936.65</v>
      </c>
      <c r="I86" s="15">
        <f t="shared" ref="I86" ca="1" si="436">INDIRECT("'"&amp;$B86&amp;"'!$f$17")</f>
        <v>221819.4</v>
      </c>
      <c r="J86" s="15">
        <f t="shared" ref="J86" ca="1" si="437">INDIRECT("'"&amp;$B86&amp;"'!$g$17")</f>
        <v>246798.09</v>
      </c>
      <c r="K86" s="15">
        <f t="shared" ref="K86" ca="1" si="438">INDIRECT("'"&amp;$B86&amp;"'!$h$17")</f>
        <v>246798.09</v>
      </c>
      <c r="L86" s="15">
        <f t="shared" ref="L86" ca="1" si="439">INDIRECT("'"&amp;$B86&amp;"'!$i$17")</f>
        <v>246798.09</v>
      </c>
      <c r="M86" s="15">
        <f t="shared" ref="M86" ca="1" si="440">INDIRECT("'"&amp;$B86&amp;"'!$j$17")</f>
        <v>246798.09</v>
      </c>
      <c r="N86" s="94">
        <f ca="1">IFERROR(INDIRECT("'"&amp;$B86&amp;"'!$j$17")/INDIRECT("'"&amp;$B86&amp;"'!$j$18"),1)</f>
        <v>0.99540785922533037</v>
      </c>
      <c r="O86" s="2">
        <v>12</v>
      </c>
    </row>
    <row r="87" spans="1:15" x14ac:dyDescent="0.25">
      <c r="A87" s="2">
        <f t="shared" ref="A87:A100" si="441">A$21</f>
        <v>5</v>
      </c>
      <c r="B87" t="s">
        <v>108</v>
      </c>
      <c r="C87" t="s">
        <v>222</v>
      </c>
      <c r="D87" s="15">
        <f t="shared" ref="D87" ca="1" si="442">INDIRECT("'"&amp;$B87&amp;"'!$g$22")</f>
        <v>247347.25</v>
      </c>
      <c r="E87" s="15">
        <f t="shared" ref="E87" ca="1" si="443">INDIRECT("'"&amp;$B87&amp;"'!$h$22")</f>
        <v>247347.25</v>
      </c>
      <c r="F87" s="15">
        <f t="shared" ref="F87" ca="1" si="444">INDIRECT("'"&amp;$B87&amp;"'!$i$22")</f>
        <v>247347.25</v>
      </c>
      <c r="G87" s="15">
        <f t="shared" ref="G87" ca="1" si="445">INDIRECT("'"&amp;$B87&amp;"'!$j$22")</f>
        <v>247347.25</v>
      </c>
      <c r="H87" s="15">
        <f t="shared" ref="H87" ca="1" si="446">INDIRECT("'"&amp;$B87&amp;"'!$k$22")</f>
        <v>0</v>
      </c>
      <c r="I87" s="15">
        <f t="shared" ref="I87" ca="1" si="447">INDIRECT("'"&amp;$B87&amp;"'!$g$21")</f>
        <v>228410.26</v>
      </c>
      <c r="J87" s="15">
        <f t="shared" ref="J87" ca="1" si="448">INDIRECT("'"&amp;$B87&amp;"'!$h$21")</f>
        <v>245042.26</v>
      </c>
      <c r="K87" s="15">
        <f t="shared" ref="K87" ca="1" si="449">INDIRECT("'"&amp;$B87&amp;"'!$i$21")</f>
        <v>245673.26</v>
      </c>
      <c r="L87" s="15">
        <f t="shared" ref="L87" ca="1" si="450">INDIRECT("'"&amp;$B87&amp;"'!$j$21")</f>
        <v>245689.36</v>
      </c>
      <c r="M87" s="15">
        <f t="shared" ref="M87" ca="1" si="451">INDIRECT("'"&amp;$B87&amp;"'!$k$21")</f>
        <v>0</v>
      </c>
      <c r="N87" s="94">
        <f ca="1">IFERROR(INDIRECT("'"&amp;$B87&amp;"'!$k$21")/INDIRECT("'"&amp;$B87&amp;"'!$k$22"),1)</f>
        <v>1</v>
      </c>
      <c r="O87" s="2">
        <v>12</v>
      </c>
    </row>
    <row r="88" spans="1:15" x14ac:dyDescent="0.25">
      <c r="A88" s="2">
        <f t="shared" si="441"/>
        <v>5</v>
      </c>
      <c r="B88" t="s">
        <v>108</v>
      </c>
      <c r="C88" t="s">
        <v>223</v>
      </c>
      <c r="D88" s="15">
        <f t="shared" ref="D88" ca="1" si="452">INDIRECT("'"&amp;$B88&amp;"'!$h$26")</f>
        <v>239843.1</v>
      </c>
      <c r="E88" s="15">
        <f t="shared" ref="E88" ca="1" si="453">INDIRECT("'"&amp;$B88&amp;"'!$i$26")</f>
        <v>239843.1</v>
      </c>
      <c r="F88" s="15">
        <f t="shared" ref="F88" ca="1" si="454">INDIRECT("'"&amp;$B88&amp;"'!$j$26")</f>
        <v>239843.1</v>
      </c>
      <c r="G88" s="15">
        <f t="shared" ref="G88" ca="1" si="455">INDIRECT("'"&amp;$B88&amp;"'!$k$26")</f>
        <v>0</v>
      </c>
      <c r="H88" s="15">
        <f t="shared" ref="H88" ca="1" si="456">INDIRECT("'"&amp;$B88&amp;"'!$l$26")</f>
        <v>0</v>
      </c>
      <c r="I88" s="15">
        <f t="shared" ref="I88" ca="1" si="457">INDIRECT("'"&amp;$B88&amp;"'!$h$25")</f>
        <v>227349.22</v>
      </c>
      <c r="J88" s="15">
        <f t="shared" ref="J88" ca="1" si="458">INDIRECT("'"&amp;$B88&amp;"'!$i$25")</f>
        <v>237647.56</v>
      </c>
      <c r="K88" s="15">
        <f t="shared" ref="K88" ca="1" si="459">INDIRECT("'"&amp;$B88&amp;"'!$j$25")</f>
        <v>237663.75</v>
      </c>
      <c r="L88" s="15">
        <f t="shared" ref="L88" ca="1" si="460">INDIRECT("'"&amp;$B88&amp;"'!$k$25")</f>
        <v>0</v>
      </c>
      <c r="M88" s="15">
        <f t="shared" ref="M88" ca="1" si="461">INDIRECT("'"&amp;$B88&amp;"'!$l$25")</f>
        <v>0</v>
      </c>
      <c r="N88" s="94">
        <f ca="1">IFERROR(INDIRECT("'"&amp;$B88&amp;"'!$l$25")/INDIRECT("'"&amp;$B88&amp;"'!$l$26"),1)</f>
        <v>1</v>
      </c>
      <c r="O88" s="2">
        <v>12</v>
      </c>
    </row>
    <row r="89" spans="1:15" x14ac:dyDescent="0.25">
      <c r="A89" s="2">
        <f t="shared" si="441"/>
        <v>5</v>
      </c>
      <c r="B89" t="s">
        <v>108</v>
      </c>
      <c r="C89" t="s">
        <v>224</v>
      </c>
      <c r="D89" s="15">
        <f t="shared" ref="D89" ca="1" si="462">INDIRECT("'"&amp;$B89&amp;"'!$i$30")</f>
        <v>203167.1</v>
      </c>
      <c r="E89" s="15">
        <f t="shared" ref="E89" ca="1" si="463">INDIRECT("'"&amp;$B89&amp;"'!$j$30")</f>
        <v>203167.1</v>
      </c>
      <c r="F89" s="15">
        <f t="shared" ref="F89" ca="1" si="464">INDIRECT("'"&amp;$B89&amp;"'!$k$30")</f>
        <v>0</v>
      </c>
      <c r="G89" s="15">
        <f t="shared" ref="G89" ca="1" si="465">INDIRECT("'"&amp;$B89&amp;"'!$l$30")</f>
        <v>0</v>
      </c>
      <c r="H89" s="15"/>
      <c r="I89" s="15">
        <f t="shared" ref="I89" ca="1" si="466">INDIRECT("'"&amp;$B89&amp;"'!$i$29")</f>
        <v>195067.96</v>
      </c>
      <c r="J89" s="15">
        <f t="shared" ref="J89" ca="1" si="467">INDIRECT("'"&amp;$B89&amp;"'!$j$29")</f>
        <v>201508.96</v>
      </c>
      <c r="K89" s="15">
        <f t="shared" ref="K89" ca="1" si="468">INDIRECT("'"&amp;$B89&amp;"'!$k$29")</f>
        <v>0</v>
      </c>
      <c r="L89" s="15">
        <f t="shared" ref="L89" ca="1" si="469">INDIRECT("'"&amp;$B89&amp;"'!$l$29")</f>
        <v>0</v>
      </c>
      <c r="M89" s="15"/>
      <c r="N89" s="94">
        <v>1</v>
      </c>
      <c r="O89" s="2">
        <v>12</v>
      </c>
    </row>
    <row r="90" spans="1:15" x14ac:dyDescent="0.25">
      <c r="A90" s="2">
        <f t="shared" si="441"/>
        <v>5</v>
      </c>
      <c r="B90" t="s">
        <v>108</v>
      </c>
      <c r="C90" t="s">
        <v>225</v>
      </c>
      <c r="D90" s="15">
        <f t="shared" ref="D90" ca="1" si="470">INDIRECT("'"&amp;$B90&amp;"'!$j$34")</f>
        <v>235667</v>
      </c>
      <c r="E90" s="15">
        <f t="shared" ref="E90" ca="1" si="471">INDIRECT("'"&amp;$B90&amp;"'!$k$34")</f>
        <v>0</v>
      </c>
      <c r="F90" s="15">
        <f t="shared" ref="F90" ca="1" si="472">INDIRECT("'"&amp;$B90&amp;"'!$l$34")</f>
        <v>0</v>
      </c>
      <c r="G90" s="15"/>
      <c r="H90" s="15"/>
      <c r="I90" s="15">
        <f t="shared" ref="I90" ca="1" si="473">INDIRECT("'"&amp;$B90&amp;"'!$j$33")</f>
        <v>225189.96</v>
      </c>
      <c r="J90" s="15">
        <f t="shared" ref="J90" ca="1" si="474">INDIRECT("'"&amp;$B90&amp;"'!$k$33")</f>
        <v>0</v>
      </c>
      <c r="K90" s="15">
        <f t="shared" ref="K90" ca="1" si="475">INDIRECT("'"&amp;$B90&amp;"'!$l$33")</f>
        <v>0</v>
      </c>
      <c r="L90" s="15"/>
      <c r="M90" s="15"/>
      <c r="N90" s="94">
        <v>1</v>
      </c>
      <c r="O90" s="2">
        <v>12</v>
      </c>
    </row>
    <row r="91" spans="1:15" x14ac:dyDescent="0.25">
      <c r="A91" s="2">
        <f t="shared" si="441"/>
        <v>5</v>
      </c>
      <c r="B91" t="s">
        <v>108</v>
      </c>
      <c r="C91" t="s">
        <v>226</v>
      </c>
      <c r="D91" s="15">
        <f t="shared" ref="D91" ca="1" si="476">INDIRECT("'"&amp;$B91&amp;"'!$k$38")</f>
        <v>0</v>
      </c>
      <c r="E91" s="15">
        <f t="shared" ref="E91" ca="1" si="477">INDIRECT("'"&amp;$B91&amp;"'!$l$38")</f>
        <v>0</v>
      </c>
      <c r="F91" s="15"/>
      <c r="G91" s="15"/>
      <c r="H91" s="15"/>
      <c r="I91" s="15">
        <f t="shared" ref="I91" ca="1" si="478">INDIRECT("'"&amp;$B91&amp;"'!$k$37")</f>
        <v>0</v>
      </c>
      <c r="J91" s="15">
        <f t="shared" ref="J91" ca="1" si="479">INDIRECT("'"&amp;$B91&amp;"'!$l$37")</f>
        <v>0</v>
      </c>
      <c r="K91" s="15"/>
      <c r="L91" s="15"/>
      <c r="M91" s="15"/>
      <c r="N91" s="94">
        <v>1</v>
      </c>
      <c r="O91" s="2">
        <v>12</v>
      </c>
    </row>
    <row r="92" spans="1:15" x14ac:dyDescent="0.25">
      <c r="A92" s="2">
        <f t="shared" si="441"/>
        <v>5</v>
      </c>
      <c r="B92" t="s">
        <v>108</v>
      </c>
      <c r="C92" t="s">
        <v>227</v>
      </c>
      <c r="D92" s="15">
        <f t="shared" ref="D92" ca="1" si="480">INDIRECT("'"&amp;$B92&amp;"'!$l$42")</f>
        <v>0</v>
      </c>
      <c r="E92" s="15"/>
      <c r="F92" s="15"/>
      <c r="G92" s="15"/>
      <c r="H92" s="15"/>
      <c r="I92" s="15">
        <f t="shared" ref="I92" ca="1" si="481">INDIRECT("'"&amp;$B92&amp;"'!$l$41")</f>
        <v>0</v>
      </c>
      <c r="J92" s="15"/>
      <c r="K92" s="15"/>
      <c r="L92" s="15"/>
      <c r="M92" s="15"/>
      <c r="N92" s="94">
        <v>1</v>
      </c>
      <c r="O92" s="2">
        <v>12</v>
      </c>
    </row>
    <row r="93" spans="1:15" x14ac:dyDescent="0.25">
      <c r="A93" s="2">
        <f t="shared" si="441"/>
        <v>5</v>
      </c>
      <c r="B93" t="s">
        <v>70</v>
      </c>
      <c r="C93" t="s">
        <v>220</v>
      </c>
      <c r="D93" s="15">
        <f t="shared" ref="D93" ca="1" si="482">INDIRECT("'"&amp;$B93&amp;"'!$e$14")</f>
        <v>290401.3</v>
      </c>
      <c r="E93" s="15">
        <f t="shared" ref="E93" ca="1" si="483">INDIRECT("'"&amp;$B93&amp;"'!$f$14")</f>
        <v>290401.3</v>
      </c>
      <c r="F93" s="15">
        <f t="shared" ref="F93" ca="1" si="484">INDIRECT("'"&amp;$B93&amp;"'!$g$14")</f>
        <v>290401.3</v>
      </c>
      <c r="G93" s="15">
        <f t="shared" ref="G93" ca="1" si="485">INDIRECT("'"&amp;$B93&amp;"'!$h$14")</f>
        <v>290401.3</v>
      </c>
      <c r="H93" s="15">
        <f t="shared" ref="H93" ca="1" si="486">INDIRECT("'"&amp;$B93&amp;"'!$i$14")</f>
        <v>290401.3</v>
      </c>
      <c r="I93" s="15">
        <f t="shared" ref="I93" ca="1" si="487">INDIRECT("'"&amp;$B93&amp;"'!$e$13")</f>
        <v>262022.19</v>
      </c>
      <c r="J93" s="15">
        <f t="shared" ref="J93" ca="1" si="488">INDIRECT("'"&amp;$B93&amp;"'!$f$13")</f>
        <v>267554.86</v>
      </c>
      <c r="K93" s="15">
        <f t="shared" ref="K93" ca="1" si="489">INDIRECT("'"&amp;$B93&amp;"'!$g$13")</f>
        <v>269576.09999999998</v>
      </c>
      <c r="L93" s="15">
        <f t="shared" ref="L93" ca="1" si="490">INDIRECT("'"&amp;$B93&amp;"'!$h$13")</f>
        <v>270444.3</v>
      </c>
      <c r="M93" s="15">
        <f t="shared" ref="M93" ca="1" si="491">INDIRECT("'"&amp;$B93&amp;"'!$i$13")</f>
        <v>270748.3</v>
      </c>
      <c r="N93" s="94">
        <f ca="1">IFERROR(INDIRECT("'"&amp;$B93&amp;"'!$i$13")/INDIRECT("'"&amp;$B93&amp;"'!$i$14"),1)</f>
        <v>0.93232468311953154</v>
      </c>
      <c r="O93" s="2">
        <v>12</v>
      </c>
    </row>
    <row r="94" spans="1:15" x14ac:dyDescent="0.25">
      <c r="A94" s="2">
        <f t="shared" si="441"/>
        <v>5</v>
      </c>
      <c r="B94" t="s">
        <v>70</v>
      </c>
      <c r="C94" t="s">
        <v>221</v>
      </c>
      <c r="D94" s="15">
        <f t="shared" ref="D94" ca="1" si="492">INDIRECT("'"&amp;$B94&amp;"'!$f$18")</f>
        <v>326951.05</v>
      </c>
      <c r="E94" s="15">
        <f t="shared" ref="E94" ca="1" si="493">INDIRECT("'"&amp;$B94&amp;"'!$g$18")</f>
        <v>326891.05</v>
      </c>
      <c r="F94" s="15">
        <f t="shared" ref="F94" ca="1" si="494">INDIRECT("'"&amp;$B94&amp;"'!$h$18")</f>
        <v>326590.05</v>
      </c>
      <c r="G94" s="15">
        <f t="shared" ref="G94" ca="1" si="495">INDIRECT("'"&amp;$B94&amp;"'!$i$18")</f>
        <v>326590.05</v>
      </c>
      <c r="H94" s="15">
        <f t="shared" ref="H94" ca="1" si="496">INDIRECT("'"&amp;$B94&amp;"'!$j$18")</f>
        <v>326509.05</v>
      </c>
      <c r="I94" s="15">
        <f t="shared" ref="I94" ca="1" si="497">INDIRECT("'"&amp;$B94&amp;"'!$f$17")</f>
        <v>291145.5</v>
      </c>
      <c r="J94" s="15">
        <f t="shared" ref="J94" ca="1" si="498">INDIRECT("'"&amp;$B94&amp;"'!$g$17")</f>
        <v>305969.84000000003</v>
      </c>
      <c r="K94" s="15">
        <f t="shared" ref="K94" ca="1" si="499">INDIRECT("'"&amp;$B94&amp;"'!$h$17")</f>
        <v>307484.42</v>
      </c>
      <c r="L94" s="15">
        <f t="shared" ref="L94" ca="1" si="500">INDIRECT("'"&amp;$B94&amp;"'!$i$17")</f>
        <v>309558.84999999998</v>
      </c>
      <c r="M94" s="15">
        <f t="shared" ref="M94" ca="1" si="501">INDIRECT("'"&amp;$B94&amp;"'!$j$17")</f>
        <v>309864.7</v>
      </c>
      <c r="N94" s="94">
        <f ca="1">IFERROR(INDIRECT("'"&amp;$B94&amp;"'!$j$17")/INDIRECT("'"&amp;$B94&amp;"'!$j$18"),1)</f>
        <v>0.94902331191126255</v>
      </c>
      <c r="O94" s="2">
        <v>12</v>
      </c>
    </row>
    <row r="95" spans="1:15" x14ac:dyDescent="0.25">
      <c r="A95" s="2">
        <f t="shared" si="441"/>
        <v>5</v>
      </c>
      <c r="B95" t="s">
        <v>70</v>
      </c>
      <c r="C95" t="s">
        <v>222</v>
      </c>
      <c r="D95" s="15">
        <f t="shared" ref="D95" ca="1" si="502">INDIRECT("'"&amp;$B95&amp;"'!$g$22")</f>
        <v>354029.95</v>
      </c>
      <c r="E95" s="15">
        <f t="shared" ref="E95" ca="1" si="503">INDIRECT("'"&amp;$B95&amp;"'!$h$22")</f>
        <v>353979.95</v>
      </c>
      <c r="F95" s="15">
        <f t="shared" ref="F95" ca="1" si="504">INDIRECT("'"&amp;$B95&amp;"'!$i$22")</f>
        <v>353929.95</v>
      </c>
      <c r="G95" s="15">
        <f t="shared" ref="G95" ca="1" si="505">INDIRECT("'"&amp;$B95&amp;"'!$j$22")</f>
        <v>353929.95</v>
      </c>
      <c r="H95" s="15">
        <f t="shared" ref="H95" ca="1" si="506">INDIRECT("'"&amp;$B95&amp;"'!$k$22")</f>
        <v>0</v>
      </c>
      <c r="I95" s="15">
        <f t="shared" ref="I95" ca="1" si="507">INDIRECT("'"&amp;$B95&amp;"'!$g$21")</f>
        <v>319425.31</v>
      </c>
      <c r="J95" s="15">
        <f t="shared" ref="J95" ca="1" si="508">INDIRECT("'"&amp;$B95&amp;"'!$h$21")</f>
        <v>329690.15999999997</v>
      </c>
      <c r="K95" s="15">
        <f t="shared" ref="K95" ca="1" si="509">INDIRECT("'"&amp;$B95&amp;"'!$i$21")</f>
        <v>331671.69</v>
      </c>
      <c r="L95" s="15">
        <f t="shared" ref="L95" ca="1" si="510">INDIRECT("'"&amp;$B95&amp;"'!$j$21")</f>
        <v>332731.51</v>
      </c>
      <c r="M95" s="15">
        <f t="shared" ref="M95" ca="1" si="511">INDIRECT("'"&amp;$B95&amp;"'!$k$21")</f>
        <v>0</v>
      </c>
      <c r="N95" s="94">
        <f ca="1">IFERROR(INDIRECT("'"&amp;$B95&amp;"'!$k$21")/INDIRECT("'"&amp;$B95&amp;"'!$k$22"),1)</f>
        <v>1</v>
      </c>
      <c r="O95" s="2">
        <v>12</v>
      </c>
    </row>
    <row r="96" spans="1:15" x14ac:dyDescent="0.25">
      <c r="A96" s="2">
        <f t="shared" si="441"/>
        <v>5</v>
      </c>
      <c r="B96" t="s">
        <v>70</v>
      </c>
      <c r="C96" t="s">
        <v>223</v>
      </c>
      <c r="D96" s="15">
        <f t="shared" ref="D96" ca="1" si="512">INDIRECT("'"&amp;$B96&amp;"'!$h$26")</f>
        <v>313518.95</v>
      </c>
      <c r="E96" s="15">
        <f t="shared" ref="E96" ca="1" si="513">INDIRECT("'"&amp;$B96&amp;"'!$i$26")</f>
        <v>313518.95</v>
      </c>
      <c r="F96" s="15">
        <f t="shared" ref="F96" ca="1" si="514">INDIRECT("'"&amp;$B96&amp;"'!$j$26")</f>
        <v>313518.95</v>
      </c>
      <c r="G96" s="15">
        <f t="shared" ref="G96" ca="1" si="515">INDIRECT("'"&amp;$B96&amp;"'!$k$26")</f>
        <v>0</v>
      </c>
      <c r="H96" s="15">
        <f t="shared" ref="H96" ca="1" si="516">INDIRECT("'"&amp;$B96&amp;"'!$l$26")</f>
        <v>0</v>
      </c>
      <c r="I96" s="15">
        <f t="shared" ref="I96" ca="1" si="517">INDIRECT("'"&amp;$B96&amp;"'!$h$25")</f>
        <v>282489.65999999997</v>
      </c>
      <c r="J96" s="15">
        <f t="shared" ref="J96" ca="1" si="518">INDIRECT("'"&amp;$B96&amp;"'!$i$25")</f>
        <v>291992.55</v>
      </c>
      <c r="K96" s="15">
        <f t="shared" ref="K96" ca="1" si="519">INDIRECT("'"&amp;$B96&amp;"'!$j$25")</f>
        <v>294970.8</v>
      </c>
      <c r="L96" s="15">
        <f t="shared" ref="L96" ca="1" si="520">INDIRECT("'"&amp;$B96&amp;"'!$k$25")</f>
        <v>0</v>
      </c>
      <c r="M96" s="15">
        <f t="shared" ref="M96" ca="1" si="521">INDIRECT("'"&amp;$B96&amp;"'!$l$25")</f>
        <v>0</v>
      </c>
      <c r="N96" s="94">
        <f ca="1">IFERROR(INDIRECT("'"&amp;$B96&amp;"'!$l$25")/INDIRECT("'"&amp;$B96&amp;"'!$l$26"),1)</f>
        <v>1</v>
      </c>
      <c r="O96" s="2">
        <v>12</v>
      </c>
    </row>
    <row r="97" spans="1:19" x14ac:dyDescent="0.25">
      <c r="A97" s="2">
        <f t="shared" si="441"/>
        <v>5</v>
      </c>
      <c r="B97" t="s">
        <v>70</v>
      </c>
      <c r="C97" t="s">
        <v>224</v>
      </c>
      <c r="D97" s="15">
        <f t="shared" ref="D97" ca="1" si="522">INDIRECT("'"&amp;$B97&amp;"'!$i$30")</f>
        <v>318508.84999999998</v>
      </c>
      <c r="E97" s="15">
        <f t="shared" ref="E97" ca="1" si="523">INDIRECT("'"&amp;$B97&amp;"'!$j$30")</f>
        <v>317913.84999999998</v>
      </c>
      <c r="F97" s="15">
        <f t="shared" ref="F97" ca="1" si="524">INDIRECT("'"&amp;$B97&amp;"'!$k$30")</f>
        <v>0</v>
      </c>
      <c r="G97" s="15">
        <f t="shared" ref="G97" ca="1" si="525">INDIRECT("'"&amp;$B97&amp;"'!$l$30")</f>
        <v>0</v>
      </c>
      <c r="H97" s="15"/>
      <c r="I97" s="15">
        <f t="shared" ref="I97" ca="1" si="526">INDIRECT("'"&amp;$B97&amp;"'!$i$29")</f>
        <v>276858.93</v>
      </c>
      <c r="J97" s="15">
        <f t="shared" ref="J97" ca="1" si="527">INDIRECT("'"&amp;$B97&amp;"'!$j$29")</f>
        <v>292426.21000000002</v>
      </c>
      <c r="K97" s="15">
        <f t="shared" ref="K97" ca="1" si="528">INDIRECT("'"&amp;$B97&amp;"'!$k$29")</f>
        <v>0</v>
      </c>
      <c r="L97" s="15">
        <f t="shared" ref="L97" ca="1" si="529">INDIRECT("'"&amp;$B97&amp;"'!$l$29")</f>
        <v>0</v>
      </c>
      <c r="M97" s="15"/>
      <c r="N97" s="94">
        <v>1</v>
      </c>
      <c r="O97" s="2">
        <v>12</v>
      </c>
    </row>
    <row r="98" spans="1:19" x14ac:dyDescent="0.25">
      <c r="A98" s="2">
        <f t="shared" si="441"/>
        <v>5</v>
      </c>
      <c r="B98" t="s">
        <v>70</v>
      </c>
      <c r="C98" t="s">
        <v>225</v>
      </c>
      <c r="D98" s="15">
        <f t="shared" ref="D98" ca="1" si="530">INDIRECT("'"&amp;$B98&amp;"'!$j$34")</f>
        <v>310336.8</v>
      </c>
      <c r="E98" s="15">
        <f t="shared" ref="E98" ca="1" si="531">INDIRECT("'"&amp;$B98&amp;"'!$k$34")</f>
        <v>0</v>
      </c>
      <c r="F98" s="15">
        <f t="shared" ref="F98" ca="1" si="532">INDIRECT("'"&amp;$B98&amp;"'!$l$34")</f>
        <v>0</v>
      </c>
      <c r="G98" s="15"/>
      <c r="H98" s="15"/>
      <c r="I98" s="15">
        <f t="shared" ref="I98" ca="1" si="533">INDIRECT("'"&amp;$B98&amp;"'!$j$33")</f>
        <v>279725.38</v>
      </c>
      <c r="J98" s="15">
        <f t="shared" ref="J98" ca="1" si="534">INDIRECT("'"&amp;$B98&amp;"'!$k$33")</f>
        <v>0</v>
      </c>
      <c r="K98" s="15">
        <f t="shared" ref="K98" ca="1" si="535">INDIRECT("'"&amp;$B98&amp;"'!$l$33")</f>
        <v>0</v>
      </c>
      <c r="L98" s="15"/>
      <c r="M98" s="15"/>
      <c r="N98" s="94">
        <v>1</v>
      </c>
      <c r="O98" s="2">
        <v>12</v>
      </c>
    </row>
    <row r="99" spans="1:19" x14ac:dyDescent="0.25">
      <c r="A99" s="2">
        <f t="shared" si="441"/>
        <v>5</v>
      </c>
      <c r="B99" t="s">
        <v>70</v>
      </c>
      <c r="C99" t="s">
        <v>226</v>
      </c>
      <c r="D99" s="15">
        <f t="shared" ref="D99" ca="1" si="536">INDIRECT("'"&amp;$B99&amp;"'!$k$38")</f>
        <v>0</v>
      </c>
      <c r="E99" s="15">
        <f t="shared" ref="E99" ca="1" si="537">INDIRECT("'"&amp;$B99&amp;"'!$l$38")</f>
        <v>0</v>
      </c>
      <c r="F99" s="15"/>
      <c r="G99" s="15"/>
      <c r="H99" s="15"/>
      <c r="I99" s="15">
        <f t="shared" ref="I99" ca="1" si="538">INDIRECT("'"&amp;$B99&amp;"'!$k$37")</f>
        <v>0</v>
      </c>
      <c r="J99" s="15">
        <f t="shared" ref="J99" ca="1" si="539">INDIRECT("'"&amp;$B99&amp;"'!$l$37")</f>
        <v>0</v>
      </c>
      <c r="K99" s="15"/>
      <c r="L99" s="15"/>
      <c r="M99" s="15"/>
      <c r="N99" s="94">
        <v>1</v>
      </c>
      <c r="O99" s="2">
        <v>12</v>
      </c>
    </row>
    <row r="100" spans="1:19" x14ac:dyDescent="0.25">
      <c r="A100" s="2">
        <f t="shared" si="441"/>
        <v>5</v>
      </c>
      <c r="B100" t="s">
        <v>70</v>
      </c>
      <c r="C100" t="s">
        <v>227</v>
      </c>
      <c r="D100" s="15">
        <f t="shared" ref="D100" ca="1" si="540">INDIRECT("'"&amp;$B100&amp;"'!$l$42")</f>
        <v>0</v>
      </c>
      <c r="E100" s="15"/>
      <c r="F100" s="15"/>
      <c r="G100" s="15"/>
      <c r="H100" s="15"/>
      <c r="I100" s="15">
        <f t="shared" ref="I100" ca="1" si="541">INDIRECT("'"&amp;$B100&amp;"'!$l$41")</f>
        <v>0</v>
      </c>
      <c r="J100" s="15"/>
      <c r="K100" s="15"/>
      <c r="L100" s="15"/>
      <c r="M100" s="15"/>
      <c r="N100" s="94">
        <v>1</v>
      </c>
      <c r="O100" s="2">
        <v>12</v>
      </c>
    </row>
    <row r="101" spans="1:19" x14ac:dyDescent="0.25">
      <c r="A101" s="91" t="s">
        <v>71</v>
      </c>
      <c r="B101" s="91" t="s">
        <v>90</v>
      </c>
      <c r="C101" s="91" t="s">
        <v>191</v>
      </c>
      <c r="D101" s="91" t="s">
        <v>192</v>
      </c>
      <c r="E101" s="91" t="s">
        <v>193</v>
      </c>
      <c r="F101" s="91" t="s">
        <v>194</v>
      </c>
      <c r="G101" s="91" t="s">
        <v>91</v>
      </c>
      <c r="H101" s="91" t="s">
        <v>92</v>
      </c>
      <c r="I101" s="91" t="s">
        <v>93</v>
      </c>
      <c r="J101" s="91" t="s">
        <v>94</v>
      </c>
      <c r="K101" s="91" t="s">
        <v>95</v>
      </c>
      <c r="L101" s="91" t="s">
        <v>96</v>
      </c>
      <c r="M101" s="91" t="s">
        <v>97</v>
      </c>
      <c r="N101" s="91" t="s">
        <v>98</v>
      </c>
      <c r="O101" s="91" t="s">
        <v>99</v>
      </c>
      <c r="P101" s="91" t="s">
        <v>100</v>
      </c>
      <c r="Q101" s="91" t="s">
        <v>101</v>
      </c>
      <c r="R101" s="91" t="s">
        <v>102</v>
      </c>
      <c r="S101" s="91" t="s">
        <v>103</v>
      </c>
    </row>
    <row r="102" spans="1:19" x14ac:dyDescent="0.25">
      <c r="A102" s="2">
        <f>A21</f>
        <v>5</v>
      </c>
      <c r="B102" s="2">
        <v>18</v>
      </c>
      <c r="C102" s="2" t="s">
        <v>189</v>
      </c>
      <c r="D102" s="92" t="s">
        <v>142</v>
      </c>
      <c r="E102" t="s">
        <v>104</v>
      </c>
      <c r="F102" t="s">
        <v>220</v>
      </c>
      <c r="G102" s="2">
        <f ca="1">INDIRECT("'"&amp;$E102&amp;"'!$M$12")</f>
        <v>0</v>
      </c>
      <c r="J102" s="25"/>
      <c r="S102" s="2">
        <v>12</v>
      </c>
    </row>
    <row r="103" spans="1:19" x14ac:dyDescent="0.25">
      <c r="A103" s="2">
        <f>A102</f>
        <v>5</v>
      </c>
      <c r="B103" s="2">
        <v>18</v>
      </c>
      <c r="C103" s="2" t="s">
        <v>189</v>
      </c>
      <c r="D103" s="92" t="s">
        <v>142</v>
      </c>
      <c r="E103" t="s">
        <v>104</v>
      </c>
      <c r="F103" t="s">
        <v>221</v>
      </c>
      <c r="G103" s="2">
        <f ca="1">INDIRECT("'"&amp;$E103&amp;"'!$M$16")</f>
        <v>0</v>
      </c>
      <c r="J103" s="25"/>
      <c r="S103" s="2">
        <v>12</v>
      </c>
    </row>
    <row r="104" spans="1:19" x14ac:dyDescent="0.25">
      <c r="A104" s="2">
        <f t="shared" ref="A104:A167" si="542">A103</f>
        <v>5</v>
      </c>
      <c r="B104" s="2">
        <v>18</v>
      </c>
      <c r="C104" s="2" t="s">
        <v>189</v>
      </c>
      <c r="D104" s="92" t="s">
        <v>142</v>
      </c>
      <c r="E104" t="s">
        <v>104</v>
      </c>
      <c r="F104" t="s">
        <v>222</v>
      </c>
      <c r="G104" s="2">
        <f ca="1">INDIRECT("'"&amp;$E104&amp;"'!$M$20")</f>
        <v>0</v>
      </c>
      <c r="J104" s="25"/>
      <c r="S104" s="2">
        <v>12</v>
      </c>
    </row>
    <row r="105" spans="1:19" x14ac:dyDescent="0.25">
      <c r="A105" s="2">
        <f t="shared" si="542"/>
        <v>5</v>
      </c>
      <c r="B105" s="2">
        <v>18</v>
      </c>
      <c r="C105" s="2" t="s">
        <v>189</v>
      </c>
      <c r="D105" s="92" t="s">
        <v>142</v>
      </c>
      <c r="E105" t="s">
        <v>104</v>
      </c>
      <c r="F105" t="s">
        <v>223</v>
      </c>
      <c r="G105" s="2">
        <f ca="1">INDIRECT("'"&amp;$E105&amp;"'!$M$24")</f>
        <v>0</v>
      </c>
      <c r="J105" s="25"/>
      <c r="S105" s="2">
        <v>12</v>
      </c>
    </row>
    <row r="106" spans="1:19" x14ac:dyDescent="0.25">
      <c r="A106" s="2">
        <f t="shared" si="542"/>
        <v>5</v>
      </c>
      <c r="B106" s="2">
        <v>18</v>
      </c>
      <c r="C106" s="2" t="s">
        <v>189</v>
      </c>
      <c r="D106" s="92" t="s">
        <v>142</v>
      </c>
      <c r="E106" t="s">
        <v>105</v>
      </c>
      <c r="F106" t="s">
        <v>220</v>
      </c>
      <c r="G106" s="2" t="str">
        <f ca="1">INDIRECT("'"&amp;$E106&amp;"'!$M$12")</f>
        <v>Internal</v>
      </c>
      <c r="S106" s="2">
        <v>12</v>
      </c>
    </row>
    <row r="107" spans="1:19" x14ac:dyDescent="0.25">
      <c r="A107" s="2">
        <f t="shared" si="542"/>
        <v>5</v>
      </c>
      <c r="B107" s="2">
        <v>18</v>
      </c>
      <c r="C107" s="2" t="s">
        <v>189</v>
      </c>
      <c r="D107" s="92" t="s">
        <v>142</v>
      </c>
      <c r="E107" t="s">
        <v>105</v>
      </c>
      <c r="F107" t="s">
        <v>221</v>
      </c>
      <c r="G107" s="2">
        <f ca="1">INDIRECT("'"&amp;$E107&amp;"'!$M$16")</f>
        <v>0</v>
      </c>
      <c r="S107" s="2">
        <v>12</v>
      </c>
    </row>
    <row r="108" spans="1:19" x14ac:dyDescent="0.25">
      <c r="A108" s="2">
        <f t="shared" si="542"/>
        <v>5</v>
      </c>
      <c r="B108" s="2">
        <v>18</v>
      </c>
      <c r="C108" s="2" t="s">
        <v>189</v>
      </c>
      <c r="D108" s="92" t="s">
        <v>142</v>
      </c>
      <c r="E108" t="s">
        <v>105</v>
      </c>
      <c r="F108" t="s">
        <v>222</v>
      </c>
      <c r="G108" s="2">
        <f ca="1">INDIRECT("'"&amp;$E108&amp;"'!$M$20")</f>
        <v>0</v>
      </c>
      <c r="S108" s="2">
        <v>12</v>
      </c>
    </row>
    <row r="109" spans="1:19" x14ac:dyDescent="0.25">
      <c r="A109" s="2">
        <f t="shared" si="542"/>
        <v>5</v>
      </c>
      <c r="B109" s="2">
        <v>18</v>
      </c>
      <c r="C109" s="2" t="s">
        <v>189</v>
      </c>
      <c r="D109" s="92" t="s">
        <v>142</v>
      </c>
      <c r="E109" t="s">
        <v>105</v>
      </c>
      <c r="F109" t="s">
        <v>223</v>
      </c>
      <c r="G109" s="2">
        <f ca="1">INDIRECT("'"&amp;$E109&amp;"'!$M$24")</f>
        <v>0</v>
      </c>
      <c r="S109" s="2">
        <v>12</v>
      </c>
    </row>
    <row r="110" spans="1:19" x14ac:dyDescent="0.25">
      <c r="A110" s="2">
        <f t="shared" si="542"/>
        <v>5</v>
      </c>
      <c r="B110" s="2">
        <v>18</v>
      </c>
      <c r="C110" s="2" t="s">
        <v>189</v>
      </c>
      <c r="D110" s="92" t="s">
        <v>142</v>
      </c>
      <c r="E110" t="s">
        <v>111</v>
      </c>
      <c r="F110" t="s">
        <v>220</v>
      </c>
      <c r="G110" s="2" t="str">
        <f ca="1">INDIRECT("'"&amp;$E110&amp;"'!$M$12")</f>
        <v>Internal</v>
      </c>
      <c r="S110" s="2">
        <v>12</v>
      </c>
    </row>
    <row r="111" spans="1:19" x14ac:dyDescent="0.25">
      <c r="A111" s="2">
        <f t="shared" si="542"/>
        <v>5</v>
      </c>
      <c r="B111" s="2">
        <v>18</v>
      </c>
      <c r="C111" s="2" t="s">
        <v>189</v>
      </c>
      <c r="D111" s="92" t="s">
        <v>142</v>
      </c>
      <c r="E111" t="s">
        <v>111</v>
      </c>
      <c r="F111" t="s">
        <v>221</v>
      </c>
      <c r="G111" s="2" t="str">
        <f ca="1">INDIRECT("'"&amp;$E111&amp;"'!$M$16")</f>
        <v>External</v>
      </c>
      <c r="S111" s="2">
        <v>12</v>
      </c>
    </row>
    <row r="112" spans="1:19" x14ac:dyDescent="0.25">
      <c r="A112" s="2">
        <f t="shared" si="542"/>
        <v>5</v>
      </c>
      <c r="B112" s="2">
        <v>18</v>
      </c>
      <c r="C112" s="2" t="s">
        <v>189</v>
      </c>
      <c r="D112" s="92" t="s">
        <v>142</v>
      </c>
      <c r="E112" t="s">
        <v>111</v>
      </c>
      <c r="F112" t="s">
        <v>222</v>
      </c>
      <c r="G112" s="2">
        <f ca="1">INDIRECT("'"&amp;$E112&amp;"'!$M$20")</f>
        <v>0</v>
      </c>
      <c r="S112" s="2">
        <v>12</v>
      </c>
    </row>
    <row r="113" spans="1:19" x14ac:dyDescent="0.25">
      <c r="A113" s="2">
        <f t="shared" si="542"/>
        <v>5</v>
      </c>
      <c r="B113" s="2">
        <v>18</v>
      </c>
      <c r="C113" s="2" t="s">
        <v>189</v>
      </c>
      <c r="D113" s="92" t="s">
        <v>142</v>
      </c>
      <c r="E113" t="s">
        <v>111</v>
      </c>
      <c r="F113" t="s">
        <v>223</v>
      </c>
      <c r="G113" s="2">
        <f ca="1">INDIRECT("'"&amp;$E113&amp;"'!$M$24")</f>
        <v>0</v>
      </c>
      <c r="S113" s="2">
        <v>12</v>
      </c>
    </row>
    <row r="114" spans="1:19" x14ac:dyDescent="0.25">
      <c r="A114" s="2">
        <f t="shared" si="542"/>
        <v>5</v>
      </c>
      <c r="B114" s="2">
        <v>18</v>
      </c>
      <c r="C114" s="2" t="s">
        <v>189</v>
      </c>
      <c r="D114" s="92" t="s">
        <v>142</v>
      </c>
      <c r="E114" t="s">
        <v>109</v>
      </c>
      <c r="F114" t="s">
        <v>220</v>
      </c>
      <c r="G114" s="2">
        <f ca="1">INDIRECT("'"&amp;$E114&amp;"'!$M$12")</f>
        <v>0</v>
      </c>
      <c r="S114" s="2">
        <v>12</v>
      </c>
    </row>
    <row r="115" spans="1:19" x14ac:dyDescent="0.25">
      <c r="A115" s="2">
        <f t="shared" si="542"/>
        <v>5</v>
      </c>
      <c r="B115" s="2">
        <v>18</v>
      </c>
      <c r="C115" s="2" t="s">
        <v>189</v>
      </c>
      <c r="D115" s="92" t="s">
        <v>142</v>
      </c>
      <c r="E115" t="s">
        <v>109</v>
      </c>
      <c r="F115" t="s">
        <v>221</v>
      </c>
      <c r="G115" s="2">
        <f ca="1">INDIRECT("'"&amp;$E115&amp;"'!$M$16")</f>
        <v>0</v>
      </c>
      <c r="S115" s="2">
        <v>12</v>
      </c>
    </row>
    <row r="116" spans="1:19" x14ac:dyDescent="0.25">
      <c r="A116" s="2">
        <f t="shared" si="542"/>
        <v>5</v>
      </c>
      <c r="B116" s="2">
        <v>18</v>
      </c>
      <c r="C116" s="2" t="s">
        <v>189</v>
      </c>
      <c r="D116" s="92" t="s">
        <v>142</v>
      </c>
      <c r="E116" t="s">
        <v>109</v>
      </c>
      <c r="F116" t="s">
        <v>222</v>
      </c>
      <c r="G116" s="2">
        <f ca="1">INDIRECT("'"&amp;$E116&amp;"'!$M$20")</f>
        <v>0</v>
      </c>
      <c r="S116" s="2">
        <v>12</v>
      </c>
    </row>
    <row r="117" spans="1:19" x14ac:dyDescent="0.25">
      <c r="A117" s="2">
        <f t="shared" si="542"/>
        <v>5</v>
      </c>
      <c r="B117" s="2">
        <v>18</v>
      </c>
      <c r="C117" s="2" t="s">
        <v>189</v>
      </c>
      <c r="D117" s="92" t="s">
        <v>142</v>
      </c>
      <c r="E117" t="s">
        <v>109</v>
      </c>
      <c r="F117" t="s">
        <v>223</v>
      </c>
      <c r="G117" s="2">
        <f ca="1">INDIRECT("'"&amp;$E117&amp;"'!$M$24")</f>
        <v>0</v>
      </c>
      <c r="S117" s="2">
        <v>12</v>
      </c>
    </row>
    <row r="118" spans="1:19" x14ac:dyDescent="0.25">
      <c r="A118" s="2">
        <f t="shared" si="542"/>
        <v>5</v>
      </c>
      <c r="B118" s="2">
        <v>18</v>
      </c>
      <c r="C118" s="2" t="s">
        <v>189</v>
      </c>
      <c r="D118" s="92" t="s">
        <v>142</v>
      </c>
      <c r="E118" t="s">
        <v>106</v>
      </c>
      <c r="F118" t="s">
        <v>220</v>
      </c>
      <c r="G118" s="2">
        <f ca="1">INDIRECT("'"&amp;$E118&amp;"'!$M$12")</f>
        <v>0</v>
      </c>
      <c r="S118" s="2">
        <v>12</v>
      </c>
    </row>
    <row r="119" spans="1:19" x14ac:dyDescent="0.25">
      <c r="A119" s="2">
        <f t="shared" si="542"/>
        <v>5</v>
      </c>
      <c r="B119" s="2">
        <v>18</v>
      </c>
      <c r="C119" s="2" t="s">
        <v>189</v>
      </c>
      <c r="D119" s="92" t="s">
        <v>142</v>
      </c>
      <c r="E119" t="s">
        <v>106</v>
      </c>
      <c r="F119" t="s">
        <v>221</v>
      </c>
      <c r="G119" s="2" t="str">
        <f ca="1">INDIRECT("'"&amp;$E119&amp;"'!$M$16")</f>
        <v>External</v>
      </c>
      <c r="S119" s="2">
        <v>12</v>
      </c>
    </row>
    <row r="120" spans="1:19" x14ac:dyDescent="0.25">
      <c r="A120" s="2">
        <f t="shared" si="542"/>
        <v>5</v>
      </c>
      <c r="B120" s="2">
        <v>18</v>
      </c>
      <c r="C120" s="2" t="s">
        <v>189</v>
      </c>
      <c r="D120" s="92" t="s">
        <v>142</v>
      </c>
      <c r="E120" t="s">
        <v>106</v>
      </c>
      <c r="F120" t="s">
        <v>222</v>
      </c>
      <c r="G120" s="2" t="str">
        <f ca="1">INDIRECT("'"&amp;$E120&amp;"'!$M$20")</f>
        <v>External</v>
      </c>
      <c r="S120" s="2">
        <v>12</v>
      </c>
    </row>
    <row r="121" spans="1:19" x14ac:dyDescent="0.25">
      <c r="A121" s="2">
        <f t="shared" si="542"/>
        <v>5</v>
      </c>
      <c r="B121" s="2">
        <v>18</v>
      </c>
      <c r="C121" s="2" t="s">
        <v>189</v>
      </c>
      <c r="D121" s="92" t="s">
        <v>142</v>
      </c>
      <c r="E121" t="s">
        <v>106</v>
      </c>
      <c r="F121" t="s">
        <v>223</v>
      </c>
      <c r="G121" s="2" t="str">
        <f ca="1">INDIRECT("'"&amp;$E121&amp;"'!$M$24")</f>
        <v>External</v>
      </c>
      <c r="S121" s="2">
        <v>12</v>
      </c>
    </row>
    <row r="122" spans="1:19" x14ac:dyDescent="0.25">
      <c r="A122" s="2">
        <f t="shared" si="542"/>
        <v>5</v>
      </c>
      <c r="B122" s="2">
        <v>18</v>
      </c>
      <c r="C122" s="2" t="s">
        <v>189</v>
      </c>
      <c r="D122" s="92" t="s">
        <v>142</v>
      </c>
      <c r="E122" t="s">
        <v>107</v>
      </c>
      <c r="F122" t="s">
        <v>220</v>
      </c>
      <c r="G122" s="2">
        <f ca="1">INDIRECT("'"&amp;$E122&amp;"'!$M$12")</f>
        <v>0</v>
      </c>
      <c r="S122" s="2">
        <v>12</v>
      </c>
    </row>
    <row r="123" spans="1:19" x14ac:dyDescent="0.25">
      <c r="A123" s="2">
        <f t="shared" si="542"/>
        <v>5</v>
      </c>
      <c r="B123" s="2">
        <v>18</v>
      </c>
      <c r="C123" s="2" t="s">
        <v>189</v>
      </c>
      <c r="D123" s="92" t="s">
        <v>142</v>
      </c>
      <c r="E123" t="s">
        <v>107</v>
      </c>
      <c r="F123" t="s">
        <v>221</v>
      </c>
      <c r="G123" s="2">
        <f ca="1">INDIRECT("'"&amp;$E123&amp;"'!$M$16")</f>
        <v>0</v>
      </c>
      <c r="S123" s="2">
        <v>12</v>
      </c>
    </row>
    <row r="124" spans="1:19" x14ac:dyDescent="0.25">
      <c r="A124" s="2">
        <f t="shared" si="542"/>
        <v>5</v>
      </c>
      <c r="B124" s="2">
        <v>18</v>
      </c>
      <c r="C124" s="2" t="s">
        <v>189</v>
      </c>
      <c r="D124" s="92" t="s">
        <v>142</v>
      </c>
      <c r="E124" t="s">
        <v>107</v>
      </c>
      <c r="F124" t="s">
        <v>222</v>
      </c>
      <c r="G124" s="2">
        <f ca="1">INDIRECT("'"&amp;$E124&amp;"'!$M$20")</f>
        <v>0</v>
      </c>
      <c r="S124" s="2">
        <v>12</v>
      </c>
    </row>
    <row r="125" spans="1:19" x14ac:dyDescent="0.25">
      <c r="A125" s="2">
        <f t="shared" si="542"/>
        <v>5</v>
      </c>
      <c r="B125" s="2">
        <v>18</v>
      </c>
      <c r="C125" s="2" t="s">
        <v>189</v>
      </c>
      <c r="D125" s="92" t="s">
        <v>142</v>
      </c>
      <c r="E125" t="s">
        <v>107</v>
      </c>
      <c r="F125" t="s">
        <v>223</v>
      </c>
      <c r="G125" s="2">
        <f ca="1">INDIRECT("'"&amp;$E125&amp;"'!$M$24")</f>
        <v>0</v>
      </c>
      <c r="S125" s="2">
        <v>12</v>
      </c>
    </row>
    <row r="126" spans="1:19" x14ac:dyDescent="0.25">
      <c r="A126" s="2">
        <f t="shared" si="542"/>
        <v>5</v>
      </c>
      <c r="B126" s="2">
        <v>18</v>
      </c>
      <c r="C126" s="2" t="s">
        <v>189</v>
      </c>
      <c r="D126" s="92" t="s">
        <v>142</v>
      </c>
      <c r="E126" t="s">
        <v>110</v>
      </c>
      <c r="F126" t="s">
        <v>220</v>
      </c>
      <c r="G126" s="2" t="str">
        <f ca="1">INDIRECT("'"&amp;$E126&amp;"'!$M$12")</f>
        <v>Internal</v>
      </c>
      <c r="S126" s="2">
        <v>12</v>
      </c>
    </row>
    <row r="127" spans="1:19" x14ac:dyDescent="0.25">
      <c r="A127" s="2">
        <f t="shared" si="542"/>
        <v>5</v>
      </c>
      <c r="B127" s="2">
        <v>18</v>
      </c>
      <c r="C127" s="2" t="s">
        <v>189</v>
      </c>
      <c r="D127" s="92" t="s">
        <v>142</v>
      </c>
      <c r="E127" t="s">
        <v>110</v>
      </c>
      <c r="F127" t="s">
        <v>221</v>
      </c>
      <c r="G127" s="2">
        <f ca="1">INDIRECT("'"&amp;$E127&amp;"'!$M$16")</f>
        <v>0</v>
      </c>
      <c r="S127" s="2">
        <v>12</v>
      </c>
    </row>
    <row r="128" spans="1:19" x14ac:dyDescent="0.25">
      <c r="A128" s="2">
        <f t="shared" si="542"/>
        <v>5</v>
      </c>
      <c r="B128" s="2">
        <v>18</v>
      </c>
      <c r="C128" s="2" t="s">
        <v>189</v>
      </c>
      <c r="D128" s="92" t="s">
        <v>142</v>
      </c>
      <c r="E128" t="s">
        <v>110</v>
      </c>
      <c r="F128" t="s">
        <v>222</v>
      </c>
      <c r="G128" s="2">
        <f ca="1">INDIRECT("'"&amp;$E128&amp;"'!$M$20")</f>
        <v>0</v>
      </c>
      <c r="S128" s="2">
        <v>12</v>
      </c>
    </row>
    <row r="129" spans="1:19" x14ac:dyDescent="0.25">
      <c r="A129" s="2">
        <f t="shared" si="542"/>
        <v>5</v>
      </c>
      <c r="B129" s="2">
        <v>18</v>
      </c>
      <c r="C129" s="2" t="s">
        <v>189</v>
      </c>
      <c r="D129" s="92" t="s">
        <v>142</v>
      </c>
      <c r="E129" t="s">
        <v>110</v>
      </c>
      <c r="F129" t="s">
        <v>223</v>
      </c>
      <c r="G129" s="2">
        <f ca="1">INDIRECT("'"&amp;$E129&amp;"'!$M$24")</f>
        <v>0</v>
      </c>
      <c r="S129" s="2">
        <v>12</v>
      </c>
    </row>
    <row r="130" spans="1:19" x14ac:dyDescent="0.25">
      <c r="A130" s="2">
        <f t="shared" si="542"/>
        <v>5</v>
      </c>
      <c r="B130" s="2">
        <v>18</v>
      </c>
      <c r="C130" s="2" t="s">
        <v>189</v>
      </c>
      <c r="D130" s="92" t="s">
        <v>142</v>
      </c>
      <c r="E130" t="s">
        <v>108</v>
      </c>
      <c r="F130" t="s">
        <v>220</v>
      </c>
      <c r="G130" s="2">
        <f ca="1">INDIRECT("'"&amp;$E130&amp;"'!$M$12")</f>
        <v>0</v>
      </c>
      <c r="S130" s="2">
        <v>12</v>
      </c>
    </row>
    <row r="131" spans="1:19" x14ac:dyDescent="0.25">
      <c r="A131" s="2">
        <f t="shared" si="542"/>
        <v>5</v>
      </c>
      <c r="B131" s="2">
        <v>18</v>
      </c>
      <c r="C131" s="2" t="s">
        <v>189</v>
      </c>
      <c r="D131" s="92" t="s">
        <v>142</v>
      </c>
      <c r="E131" t="s">
        <v>108</v>
      </c>
      <c r="F131" t="s">
        <v>221</v>
      </c>
      <c r="G131" s="2">
        <f ca="1">INDIRECT("'"&amp;$E131&amp;"'!$M$16")</f>
        <v>0</v>
      </c>
      <c r="S131" s="2">
        <v>12</v>
      </c>
    </row>
    <row r="132" spans="1:19" x14ac:dyDescent="0.25">
      <c r="A132" s="2">
        <f t="shared" si="542"/>
        <v>5</v>
      </c>
      <c r="B132" s="2">
        <v>18</v>
      </c>
      <c r="C132" s="2" t="s">
        <v>189</v>
      </c>
      <c r="D132" s="92" t="s">
        <v>142</v>
      </c>
      <c r="E132" t="s">
        <v>108</v>
      </c>
      <c r="F132" t="s">
        <v>222</v>
      </c>
      <c r="G132" s="2">
        <f ca="1">INDIRECT("'"&amp;$E132&amp;"'!$M$20")</f>
        <v>0</v>
      </c>
      <c r="S132" s="2">
        <v>12</v>
      </c>
    </row>
    <row r="133" spans="1:19" x14ac:dyDescent="0.25">
      <c r="A133" s="2">
        <f t="shared" si="542"/>
        <v>5</v>
      </c>
      <c r="B133" s="2">
        <v>18</v>
      </c>
      <c r="C133" s="2" t="s">
        <v>189</v>
      </c>
      <c r="D133" s="92" t="s">
        <v>142</v>
      </c>
      <c r="E133" t="s">
        <v>108</v>
      </c>
      <c r="F133" t="s">
        <v>223</v>
      </c>
      <c r="G133" s="2">
        <f ca="1">INDIRECT("'"&amp;$E133&amp;"'!$M$24")</f>
        <v>0</v>
      </c>
      <c r="S133" s="2">
        <v>12</v>
      </c>
    </row>
    <row r="134" spans="1:19" x14ac:dyDescent="0.25">
      <c r="A134" s="2">
        <f t="shared" si="542"/>
        <v>5</v>
      </c>
      <c r="B134" s="2">
        <v>18</v>
      </c>
      <c r="C134" s="2" t="s">
        <v>189</v>
      </c>
      <c r="D134" s="92" t="s">
        <v>142</v>
      </c>
      <c r="E134" t="s">
        <v>70</v>
      </c>
      <c r="F134" t="s">
        <v>220</v>
      </c>
      <c r="G134" s="2">
        <f ca="1">INDIRECT("'"&amp;$E134&amp;"'!$M$12")</f>
        <v>0</v>
      </c>
      <c r="S134" s="2">
        <v>12</v>
      </c>
    </row>
    <row r="135" spans="1:19" x14ac:dyDescent="0.25">
      <c r="A135" s="2">
        <f t="shared" si="542"/>
        <v>5</v>
      </c>
      <c r="B135" s="2">
        <v>18</v>
      </c>
      <c r="C135" s="2" t="s">
        <v>189</v>
      </c>
      <c r="D135" s="92" t="s">
        <v>142</v>
      </c>
      <c r="E135" t="s">
        <v>70</v>
      </c>
      <c r="F135" t="s">
        <v>221</v>
      </c>
      <c r="G135" s="2">
        <f ca="1">INDIRECT("'"&amp;$E135&amp;"'!$M$16")</f>
        <v>0</v>
      </c>
      <c r="S135" s="2">
        <v>12</v>
      </c>
    </row>
    <row r="136" spans="1:19" x14ac:dyDescent="0.25">
      <c r="A136" s="2">
        <f t="shared" si="542"/>
        <v>5</v>
      </c>
      <c r="B136" s="2">
        <v>18</v>
      </c>
      <c r="C136" s="2" t="s">
        <v>189</v>
      </c>
      <c r="D136" s="92" t="s">
        <v>142</v>
      </c>
      <c r="E136" t="s">
        <v>70</v>
      </c>
      <c r="F136" t="s">
        <v>222</v>
      </c>
      <c r="G136" s="2">
        <f ca="1">INDIRECT("'"&amp;$E136&amp;"'!$M$20")</f>
        <v>0</v>
      </c>
      <c r="S136" s="2">
        <v>12</v>
      </c>
    </row>
    <row r="137" spans="1:19" x14ac:dyDescent="0.25">
      <c r="A137" s="2">
        <f t="shared" si="542"/>
        <v>5</v>
      </c>
      <c r="B137" s="2">
        <v>18</v>
      </c>
      <c r="C137" s="2" t="s">
        <v>189</v>
      </c>
      <c r="D137" s="92" t="s">
        <v>142</v>
      </c>
      <c r="E137" t="s">
        <v>70</v>
      </c>
      <c r="F137" t="s">
        <v>223</v>
      </c>
      <c r="G137" s="2">
        <f ca="1">INDIRECT("'"&amp;$E137&amp;"'!$M$24")</f>
        <v>0</v>
      </c>
      <c r="S137" s="2">
        <v>12</v>
      </c>
    </row>
    <row r="138" spans="1:19" x14ac:dyDescent="0.25">
      <c r="A138" s="2">
        <f t="shared" si="542"/>
        <v>5</v>
      </c>
      <c r="B138" s="2">
        <v>18</v>
      </c>
      <c r="C138" s="2" t="s">
        <v>189</v>
      </c>
      <c r="D138" s="92" t="s">
        <v>195</v>
      </c>
      <c r="E138" t="s">
        <v>104</v>
      </c>
      <c r="F138" t="s">
        <v>220</v>
      </c>
      <c r="G138" s="2">
        <f ca="1">INDIRECT("'"&amp;$E102&amp;"'!$N$12")</f>
        <v>0</v>
      </c>
      <c r="S138" s="2">
        <v>12</v>
      </c>
    </row>
    <row r="139" spans="1:19" x14ac:dyDescent="0.25">
      <c r="A139" s="2">
        <f t="shared" si="542"/>
        <v>5</v>
      </c>
      <c r="B139" s="2">
        <v>18</v>
      </c>
      <c r="C139" s="2" t="s">
        <v>189</v>
      </c>
      <c r="D139" s="92" t="s">
        <v>195</v>
      </c>
      <c r="E139" t="s">
        <v>104</v>
      </c>
      <c r="F139" t="s">
        <v>221</v>
      </c>
      <c r="G139" s="2">
        <f ca="1">INDIRECT("'"&amp;$E103&amp;"'!$N$16")</f>
        <v>0</v>
      </c>
      <c r="S139" s="2">
        <v>12</v>
      </c>
    </row>
    <row r="140" spans="1:19" x14ac:dyDescent="0.25">
      <c r="A140" s="2">
        <f t="shared" si="542"/>
        <v>5</v>
      </c>
      <c r="B140" s="2">
        <v>18</v>
      </c>
      <c r="C140" s="2" t="s">
        <v>189</v>
      </c>
      <c r="D140" s="92" t="s">
        <v>195</v>
      </c>
      <c r="E140" t="s">
        <v>104</v>
      </c>
      <c r="F140" t="s">
        <v>222</v>
      </c>
      <c r="G140" s="2">
        <f ca="1">INDIRECT("'"&amp;$E104&amp;"'!$N$20")</f>
        <v>0</v>
      </c>
      <c r="S140" s="2">
        <v>12</v>
      </c>
    </row>
    <row r="141" spans="1:19" x14ac:dyDescent="0.25">
      <c r="A141" s="2">
        <f t="shared" si="542"/>
        <v>5</v>
      </c>
      <c r="B141" s="2">
        <v>18</v>
      </c>
      <c r="C141" s="2" t="s">
        <v>189</v>
      </c>
      <c r="D141" s="92" t="s">
        <v>195</v>
      </c>
      <c r="E141" t="s">
        <v>104</v>
      </c>
      <c r="F141" t="s">
        <v>223</v>
      </c>
      <c r="G141" s="2">
        <f ca="1">INDIRECT("'"&amp;$E105&amp;"'!$N$24")</f>
        <v>0</v>
      </c>
      <c r="S141" s="2">
        <v>12</v>
      </c>
    </row>
    <row r="142" spans="1:19" x14ac:dyDescent="0.25">
      <c r="A142" s="2">
        <f t="shared" si="542"/>
        <v>5</v>
      </c>
      <c r="B142" s="2">
        <v>18</v>
      </c>
      <c r="C142" s="2" t="s">
        <v>189</v>
      </c>
      <c r="D142" s="92" t="s">
        <v>195</v>
      </c>
      <c r="E142" t="s">
        <v>105</v>
      </c>
      <c r="F142" t="s">
        <v>220</v>
      </c>
      <c r="G142" s="2" t="str">
        <f ca="1">INDIRECT("'"&amp;$E106&amp;"'!$N$12")</f>
        <v>Short staffed due to holiday vacations and illiness</v>
      </c>
      <c r="S142" s="2">
        <v>12</v>
      </c>
    </row>
    <row r="143" spans="1:19" x14ac:dyDescent="0.25">
      <c r="A143" s="2">
        <f t="shared" si="542"/>
        <v>5</v>
      </c>
      <c r="B143" s="2">
        <v>18</v>
      </c>
      <c r="C143" s="2" t="s">
        <v>189</v>
      </c>
      <c r="D143" s="92" t="s">
        <v>195</v>
      </c>
      <c r="E143" t="s">
        <v>105</v>
      </c>
      <c r="F143" t="s">
        <v>221</v>
      </c>
      <c r="G143" s="2">
        <f ca="1">INDIRECT("'"&amp;$E107&amp;"'!$N$16")</f>
        <v>0</v>
      </c>
      <c r="S143" s="2">
        <v>12</v>
      </c>
    </row>
    <row r="144" spans="1:19" x14ac:dyDescent="0.25">
      <c r="A144" s="2">
        <f t="shared" si="542"/>
        <v>5</v>
      </c>
      <c r="B144" s="2">
        <v>18</v>
      </c>
      <c r="C144" s="2" t="s">
        <v>189</v>
      </c>
      <c r="D144" s="92" t="s">
        <v>195</v>
      </c>
      <c r="E144" t="s">
        <v>105</v>
      </c>
      <c r="F144" t="s">
        <v>222</v>
      </c>
      <c r="G144" s="2">
        <f ca="1">INDIRECT("'"&amp;$E108&amp;"'!$N$20")</f>
        <v>0</v>
      </c>
      <c r="S144" s="2">
        <v>12</v>
      </c>
    </row>
    <row r="145" spans="1:19" x14ac:dyDescent="0.25">
      <c r="A145" s="2">
        <f t="shared" si="542"/>
        <v>5</v>
      </c>
      <c r="B145" s="2">
        <v>18</v>
      </c>
      <c r="C145" s="2" t="s">
        <v>189</v>
      </c>
      <c r="D145" s="92" t="s">
        <v>195</v>
      </c>
      <c r="E145" t="s">
        <v>105</v>
      </c>
      <c r="F145" t="s">
        <v>223</v>
      </c>
      <c r="G145" s="2">
        <f ca="1">INDIRECT("'"&amp;$E109&amp;"'!$N$24")</f>
        <v>0</v>
      </c>
      <c r="S145" s="2">
        <v>12</v>
      </c>
    </row>
    <row r="146" spans="1:19" x14ac:dyDescent="0.25">
      <c r="A146" s="2">
        <f t="shared" si="542"/>
        <v>5</v>
      </c>
      <c r="B146" s="2">
        <v>18</v>
      </c>
      <c r="C146" s="2" t="s">
        <v>189</v>
      </c>
      <c r="D146" s="92" t="s">
        <v>195</v>
      </c>
      <c r="E146" t="s">
        <v>111</v>
      </c>
      <c r="F146" t="s">
        <v>220</v>
      </c>
      <c r="G146" s="2" t="str">
        <f ca="1">INDIRECT("'"&amp;$E110&amp;"'!$N$12")</f>
        <v>Short Staffed due to holiday vacations and illness</v>
      </c>
      <c r="S146" s="2">
        <v>12</v>
      </c>
    </row>
    <row r="147" spans="1:19" x14ac:dyDescent="0.25">
      <c r="A147" s="2">
        <f t="shared" si="542"/>
        <v>5</v>
      </c>
      <c r="B147" s="2">
        <v>18</v>
      </c>
      <c r="C147" s="2" t="s">
        <v>189</v>
      </c>
      <c r="D147" s="92" t="s">
        <v>195</v>
      </c>
      <c r="E147" t="s">
        <v>111</v>
      </c>
      <c r="F147" t="s">
        <v>221</v>
      </c>
      <c r="G147" s="2" t="str">
        <f ca="1">INDIRECT("'"&amp;$E111&amp;"'!$N$16")</f>
        <v>Slight Increase due to tax returns. Stalled by Covid-19</v>
      </c>
      <c r="S147" s="2">
        <v>12</v>
      </c>
    </row>
    <row r="148" spans="1:19" x14ac:dyDescent="0.25">
      <c r="A148" s="2">
        <f t="shared" si="542"/>
        <v>5</v>
      </c>
      <c r="B148" s="2">
        <v>18</v>
      </c>
      <c r="C148" s="2" t="s">
        <v>189</v>
      </c>
      <c r="D148" s="92" t="s">
        <v>195</v>
      </c>
      <c r="E148" t="s">
        <v>111</v>
      </c>
      <c r="F148" t="s">
        <v>222</v>
      </c>
      <c r="G148" s="2">
        <f ca="1">INDIRECT("'"&amp;$E112&amp;"'!$N$20")</f>
        <v>0</v>
      </c>
      <c r="S148" s="2">
        <v>12</v>
      </c>
    </row>
    <row r="149" spans="1:19" x14ac:dyDescent="0.25">
      <c r="A149" s="2">
        <f t="shared" si="542"/>
        <v>5</v>
      </c>
      <c r="B149" s="2">
        <v>18</v>
      </c>
      <c r="C149" s="2" t="s">
        <v>189</v>
      </c>
      <c r="D149" s="92" t="s">
        <v>195</v>
      </c>
      <c r="E149" t="s">
        <v>111</v>
      </c>
      <c r="F149" t="s">
        <v>223</v>
      </c>
      <c r="G149" s="2">
        <f ca="1">INDIRECT("'"&amp;$E113&amp;"'!$N$24")</f>
        <v>0</v>
      </c>
      <c r="S149" s="2">
        <v>12</v>
      </c>
    </row>
    <row r="150" spans="1:19" x14ac:dyDescent="0.25">
      <c r="A150" s="2">
        <f t="shared" si="542"/>
        <v>5</v>
      </c>
      <c r="B150" s="2">
        <v>18</v>
      </c>
      <c r="C150" s="2" t="s">
        <v>189</v>
      </c>
      <c r="D150" s="92" t="s">
        <v>195</v>
      </c>
      <c r="E150" t="s">
        <v>109</v>
      </c>
      <c r="F150" t="s">
        <v>220</v>
      </c>
      <c r="G150" s="2">
        <f ca="1">INDIRECT("'"&amp;$E114&amp;"'!$N$12")</f>
        <v>0</v>
      </c>
      <c r="S150" s="2">
        <v>12</v>
      </c>
    </row>
    <row r="151" spans="1:19" x14ac:dyDescent="0.25">
      <c r="A151" s="2">
        <f t="shared" si="542"/>
        <v>5</v>
      </c>
      <c r="B151" s="2">
        <v>18</v>
      </c>
      <c r="C151" s="2" t="s">
        <v>189</v>
      </c>
      <c r="D151" s="92" t="s">
        <v>195</v>
      </c>
      <c r="E151" t="s">
        <v>109</v>
      </c>
      <c r="F151" t="s">
        <v>221</v>
      </c>
      <c r="G151" s="2">
        <f ca="1">INDIRECT("'"&amp;$E115&amp;"'!$N$16")</f>
        <v>0</v>
      </c>
      <c r="S151" s="2">
        <v>12</v>
      </c>
    </row>
    <row r="152" spans="1:19" x14ac:dyDescent="0.25">
      <c r="A152" s="2">
        <f t="shared" si="542"/>
        <v>5</v>
      </c>
      <c r="B152" s="2">
        <v>18</v>
      </c>
      <c r="C152" s="2" t="s">
        <v>189</v>
      </c>
      <c r="D152" s="92" t="s">
        <v>195</v>
      </c>
      <c r="E152" t="s">
        <v>109</v>
      </c>
      <c r="F152" t="s">
        <v>222</v>
      </c>
      <c r="G152" s="2">
        <f ca="1">INDIRECT("'"&amp;$E116&amp;"'!$N$20")</f>
        <v>0</v>
      </c>
      <c r="S152" s="2">
        <v>12</v>
      </c>
    </row>
    <row r="153" spans="1:19" x14ac:dyDescent="0.25">
      <c r="A153" s="2">
        <f t="shared" si="542"/>
        <v>5</v>
      </c>
      <c r="B153" s="2">
        <v>18</v>
      </c>
      <c r="C153" s="2" t="s">
        <v>189</v>
      </c>
      <c r="D153" s="92" t="s">
        <v>195</v>
      </c>
      <c r="E153" t="s">
        <v>109</v>
      </c>
      <c r="F153" t="s">
        <v>223</v>
      </c>
      <c r="G153" s="2">
        <f ca="1">INDIRECT("'"&amp;$E117&amp;"'!$N$24")</f>
        <v>0</v>
      </c>
      <c r="S153" s="2">
        <v>12</v>
      </c>
    </row>
    <row r="154" spans="1:19" x14ac:dyDescent="0.25">
      <c r="A154" s="2">
        <f t="shared" si="542"/>
        <v>5</v>
      </c>
      <c r="B154" s="2">
        <v>18</v>
      </c>
      <c r="C154" s="2" t="s">
        <v>189</v>
      </c>
      <c r="D154" s="92" t="s">
        <v>195</v>
      </c>
      <c r="E154" t="s">
        <v>106</v>
      </c>
      <c r="F154" t="s">
        <v>220</v>
      </c>
      <c r="G154" s="2">
        <f ca="1">INDIRECT("'"&amp;$E118&amp;"'!$N$12")</f>
        <v>0</v>
      </c>
      <c r="S154" s="2">
        <v>12</v>
      </c>
    </row>
    <row r="155" spans="1:19" x14ac:dyDescent="0.25">
      <c r="A155" s="2">
        <f t="shared" si="542"/>
        <v>5</v>
      </c>
      <c r="B155" s="2">
        <v>18</v>
      </c>
      <c r="C155" s="2" t="s">
        <v>189</v>
      </c>
      <c r="D155" s="92" t="s">
        <v>195</v>
      </c>
      <c r="E155" t="s">
        <v>106</v>
      </c>
      <c r="F155" t="s">
        <v>221</v>
      </c>
      <c r="G155" s="2" t="str">
        <f ca="1">INDIRECT("'"&amp;$E119&amp;"'!$N$16")</f>
        <v>Foreclosure Judgements</v>
      </c>
      <c r="S155" s="2">
        <v>12</v>
      </c>
    </row>
    <row r="156" spans="1:19" x14ac:dyDescent="0.25">
      <c r="A156" s="2">
        <f t="shared" si="542"/>
        <v>5</v>
      </c>
      <c r="B156" s="2">
        <v>18</v>
      </c>
      <c r="C156" s="2" t="s">
        <v>189</v>
      </c>
      <c r="D156" s="92" t="s">
        <v>195</v>
      </c>
      <c r="E156" t="s">
        <v>106</v>
      </c>
      <c r="F156" t="s">
        <v>222</v>
      </c>
      <c r="G156" s="2" t="str">
        <f ca="1">INDIRECT("'"&amp;$E120&amp;"'!$N$20")</f>
        <v>Foreclosure Judgements</v>
      </c>
      <c r="S156" s="2">
        <v>12</v>
      </c>
    </row>
    <row r="157" spans="1:19" x14ac:dyDescent="0.25">
      <c r="A157" s="2">
        <f t="shared" si="542"/>
        <v>5</v>
      </c>
      <c r="B157" s="2">
        <v>18</v>
      </c>
      <c r="C157" s="2" t="s">
        <v>189</v>
      </c>
      <c r="D157" s="92" t="s">
        <v>195</v>
      </c>
      <c r="E157" t="s">
        <v>106</v>
      </c>
      <c r="F157" t="s">
        <v>223</v>
      </c>
      <c r="G157" s="2" t="str">
        <f ca="1">INDIRECT("'"&amp;$E121&amp;"'!$N$24")</f>
        <v>Foreclosure Judgements</v>
      </c>
      <c r="S157" s="2">
        <v>12</v>
      </c>
    </row>
    <row r="158" spans="1:19" x14ac:dyDescent="0.25">
      <c r="A158" s="2">
        <f t="shared" si="542"/>
        <v>5</v>
      </c>
      <c r="B158" s="2">
        <v>18</v>
      </c>
      <c r="C158" s="2" t="s">
        <v>189</v>
      </c>
      <c r="D158" s="92" t="s">
        <v>195</v>
      </c>
      <c r="E158" t="s">
        <v>107</v>
      </c>
      <c r="F158" t="s">
        <v>220</v>
      </c>
      <c r="G158" s="2">
        <f ca="1">INDIRECT("'"&amp;$E122&amp;"'!$N$12")</f>
        <v>0</v>
      </c>
      <c r="S158" s="2">
        <v>12</v>
      </c>
    </row>
    <row r="159" spans="1:19" x14ac:dyDescent="0.25">
      <c r="A159" s="2">
        <f t="shared" si="542"/>
        <v>5</v>
      </c>
      <c r="B159" s="2">
        <v>18</v>
      </c>
      <c r="C159" s="2" t="s">
        <v>189</v>
      </c>
      <c r="D159" s="92" t="s">
        <v>195</v>
      </c>
      <c r="E159" t="s">
        <v>107</v>
      </c>
      <c r="F159" t="s">
        <v>221</v>
      </c>
      <c r="G159" s="2">
        <f ca="1">INDIRECT("'"&amp;$E123&amp;"'!$N$16")</f>
        <v>0</v>
      </c>
      <c r="S159" s="2">
        <v>12</v>
      </c>
    </row>
    <row r="160" spans="1:19" x14ac:dyDescent="0.25">
      <c r="A160" s="2">
        <f t="shared" si="542"/>
        <v>5</v>
      </c>
      <c r="B160" s="2">
        <v>18</v>
      </c>
      <c r="C160" s="2" t="s">
        <v>189</v>
      </c>
      <c r="D160" s="92" t="s">
        <v>195</v>
      </c>
      <c r="E160" t="s">
        <v>107</v>
      </c>
      <c r="F160" t="s">
        <v>222</v>
      </c>
      <c r="G160" s="2">
        <f ca="1">INDIRECT("'"&amp;$E124&amp;"'!$N$20")</f>
        <v>0</v>
      </c>
      <c r="S160" s="2">
        <v>12</v>
      </c>
    </row>
    <row r="161" spans="1:19" x14ac:dyDescent="0.25">
      <c r="A161" s="2">
        <f t="shared" si="542"/>
        <v>5</v>
      </c>
      <c r="B161" s="2">
        <v>18</v>
      </c>
      <c r="C161" s="2" t="s">
        <v>189</v>
      </c>
      <c r="D161" s="92" t="s">
        <v>195</v>
      </c>
      <c r="E161" t="s">
        <v>107</v>
      </c>
      <c r="F161" t="s">
        <v>223</v>
      </c>
      <c r="G161" s="2">
        <f ca="1">INDIRECT("'"&amp;$E125&amp;"'!$N$24")</f>
        <v>0</v>
      </c>
      <c r="S161" s="2">
        <v>12</v>
      </c>
    </row>
    <row r="162" spans="1:19" x14ac:dyDescent="0.25">
      <c r="A162" s="2">
        <f t="shared" si="542"/>
        <v>5</v>
      </c>
      <c r="B162" s="2">
        <v>18</v>
      </c>
      <c r="C162" s="2" t="s">
        <v>189</v>
      </c>
      <c r="D162" s="92" t="s">
        <v>195</v>
      </c>
      <c r="E162" t="s">
        <v>110</v>
      </c>
      <c r="F162" t="s">
        <v>220</v>
      </c>
      <c r="G162" s="2" t="str">
        <f ca="1">INDIRECT("'"&amp;$E126&amp;"'!$N$12")</f>
        <v>Short staffed due to holiday vacations and illiness</v>
      </c>
      <c r="S162" s="2">
        <v>12</v>
      </c>
    </row>
    <row r="163" spans="1:19" x14ac:dyDescent="0.25">
      <c r="A163" s="2">
        <f t="shared" si="542"/>
        <v>5</v>
      </c>
      <c r="B163" s="2">
        <v>18</v>
      </c>
      <c r="C163" s="2" t="s">
        <v>189</v>
      </c>
      <c r="D163" s="92" t="s">
        <v>195</v>
      </c>
      <c r="E163" t="s">
        <v>110</v>
      </c>
      <c r="F163" t="s">
        <v>221</v>
      </c>
      <c r="G163" s="2">
        <f ca="1">INDIRECT("'"&amp;$E127&amp;"'!$N$16")</f>
        <v>0</v>
      </c>
      <c r="S163" s="2">
        <v>12</v>
      </c>
    </row>
    <row r="164" spans="1:19" x14ac:dyDescent="0.25">
      <c r="A164" s="2">
        <f t="shared" si="542"/>
        <v>5</v>
      </c>
      <c r="B164" s="2">
        <v>18</v>
      </c>
      <c r="C164" s="2" t="s">
        <v>189</v>
      </c>
      <c r="D164" s="92" t="s">
        <v>195</v>
      </c>
      <c r="E164" t="s">
        <v>110</v>
      </c>
      <c r="F164" t="s">
        <v>222</v>
      </c>
      <c r="G164" s="2">
        <f ca="1">INDIRECT("'"&amp;$E128&amp;"'!$N$20")</f>
        <v>0</v>
      </c>
      <c r="S164" s="2">
        <v>12</v>
      </c>
    </row>
    <row r="165" spans="1:19" x14ac:dyDescent="0.25">
      <c r="A165" s="2">
        <f t="shared" si="542"/>
        <v>5</v>
      </c>
      <c r="B165" s="2">
        <v>18</v>
      </c>
      <c r="C165" s="2" t="s">
        <v>189</v>
      </c>
      <c r="D165" s="92" t="s">
        <v>195</v>
      </c>
      <c r="E165" t="s">
        <v>110</v>
      </c>
      <c r="F165" t="s">
        <v>223</v>
      </c>
      <c r="G165" s="2">
        <f ca="1">INDIRECT("'"&amp;$E129&amp;"'!$N$24")</f>
        <v>0</v>
      </c>
      <c r="S165" s="2">
        <v>12</v>
      </c>
    </row>
    <row r="166" spans="1:19" x14ac:dyDescent="0.25">
      <c r="A166" s="2">
        <f t="shared" si="542"/>
        <v>5</v>
      </c>
      <c r="B166" s="2">
        <v>18</v>
      </c>
      <c r="C166" s="2" t="s">
        <v>189</v>
      </c>
      <c r="D166" s="92" t="s">
        <v>195</v>
      </c>
      <c r="E166" t="s">
        <v>108</v>
      </c>
      <c r="F166" t="s">
        <v>220</v>
      </c>
      <c r="G166" s="2">
        <f ca="1">INDIRECT("'"&amp;$E130&amp;"'!$N$12")</f>
        <v>0</v>
      </c>
      <c r="S166" s="2">
        <v>12</v>
      </c>
    </row>
    <row r="167" spans="1:19" x14ac:dyDescent="0.25">
      <c r="A167" s="2">
        <f t="shared" si="542"/>
        <v>5</v>
      </c>
      <c r="B167" s="2">
        <v>18</v>
      </c>
      <c r="C167" s="2" t="s">
        <v>189</v>
      </c>
      <c r="D167" s="92" t="s">
        <v>195</v>
      </c>
      <c r="E167" t="s">
        <v>108</v>
      </c>
      <c r="F167" t="s">
        <v>221</v>
      </c>
      <c r="G167" s="2">
        <f ca="1">INDIRECT("'"&amp;$E131&amp;"'!$N$16")</f>
        <v>0</v>
      </c>
      <c r="S167" s="2">
        <v>12</v>
      </c>
    </row>
    <row r="168" spans="1:19" x14ac:dyDescent="0.25">
      <c r="A168" s="2">
        <f t="shared" ref="A168:A209" si="543">A167</f>
        <v>5</v>
      </c>
      <c r="B168" s="2">
        <v>18</v>
      </c>
      <c r="C168" s="2" t="s">
        <v>189</v>
      </c>
      <c r="D168" s="92" t="s">
        <v>195</v>
      </c>
      <c r="E168" t="s">
        <v>108</v>
      </c>
      <c r="F168" t="s">
        <v>222</v>
      </c>
      <c r="G168" s="2">
        <f ca="1">INDIRECT("'"&amp;$E132&amp;"'!$N$20")</f>
        <v>0</v>
      </c>
      <c r="S168" s="2">
        <v>12</v>
      </c>
    </row>
    <row r="169" spans="1:19" x14ac:dyDescent="0.25">
      <c r="A169" s="2">
        <f t="shared" si="543"/>
        <v>5</v>
      </c>
      <c r="B169" s="2">
        <v>18</v>
      </c>
      <c r="C169" s="2" t="s">
        <v>189</v>
      </c>
      <c r="D169" s="92" t="s">
        <v>195</v>
      </c>
      <c r="E169" t="s">
        <v>108</v>
      </c>
      <c r="F169" t="s">
        <v>223</v>
      </c>
      <c r="G169" s="2">
        <f ca="1">INDIRECT("'"&amp;$E133&amp;"'!$N$24")</f>
        <v>0</v>
      </c>
      <c r="S169" s="2">
        <v>12</v>
      </c>
    </row>
    <row r="170" spans="1:19" x14ac:dyDescent="0.25">
      <c r="A170" s="2">
        <f t="shared" si="543"/>
        <v>5</v>
      </c>
      <c r="B170" s="2">
        <v>18</v>
      </c>
      <c r="C170" s="2" t="s">
        <v>189</v>
      </c>
      <c r="D170" s="92" t="s">
        <v>195</v>
      </c>
      <c r="E170" t="s">
        <v>70</v>
      </c>
      <c r="F170" t="s">
        <v>220</v>
      </c>
      <c r="G170" s="2">
        <f ca="1">INDIRECT("'"&amp;$E134&amp;"'!$N$12")</f>
        <v>0</v>
      </c>
      <c r="S170" s="2">
        <v>12</v>
      </c>
    </row>
    <row r="171" spans="1:19" x14ac:dyDescent="0.25">
      <c r="A171" s="2">
        <f t="shared" si="543"/>
        <v>5</v>
      </c>
      <c r="B171" s="2">
        <v>18</v>
      </c>
      <c r="C171" s="2" t="s">
        <v>189</v>
      </c>
      <c r="D171" s="92" t="s">
        <v>195</v>
      </c>
      <c r="E171" t="s">
        <v>70</v>
      </c>
      <c r="F171" t="s">
        <v>221</v>
      </c>
      <c r="G171" s="2">
        <f ca="1">INDIRECT("'"&amp;$E135&amp;"'!$N$16")</f>
        <v>0</v>
      </c>
      <c r="S171" s="2">
        <v>12</v>
      </c>
    </row>
    <row r="172" spans="1:19" x14ac:dyDescent="0.25">
      <c r="A172" s="2">
        <f t="shared" si="543"/>
        <v>5</v>
      </c>
      <c r="B172" s="2">
        <v>18</v>
      </c>
      <c r="C172" s="2" t="s">
        <v>189</v>
      </c>
      <c r="D172" s="92" t="s">
        <v>195</v>
      </c>
      <c r="E172" t="s">
        <v>70</v>
      </c>
      <c r="F172" t="s">
        <v>222</v>
      </c>
      <c r="G172" s="2">
        <f ca="1">INDIRECT("'"&amp;$E136&amp;"'!$N$20")</f>
        <v>0</v>
      </c>
      <c r="S172" s="2">
        <v>12</v>
      </c>
    </row>
    <row r="173" spans="1:19" x14ac:dyDescent="0.25">
      <c r="A173" s="2">
        <f t="shared" si="543"/>
        <v>5</v>
      </c>
      <c r="B173" s="2">
        <v>18</v>
      </c>
      <c r="C173" s="2" t="s">
        <v>189</v>
      </c>
      <c r="D173" s="92" t="s">
        <v>195</v>
      </c>
      <c r="E173" t="s">
        <v>70</v>
      </c>
      <c r="F173" t="s">
        <v>223</v>
      </c>
      <c r="G173" s="2">
        <f ca="1">INDIRECT("'"&amp;$E137&amp;"'!$N$24")</f>
        <v>0</v>
      </c>
      <c r="S173" s="2">
        <v>12</v>
      </c>
    </row>
    <row r="174" spans="1:19" x14ac:dyDescent="0.25">
      <c r="A174" s="2">
        <f t="shared" si="543"/>
        <v>5</v>
      </c>
      <c r="B174" s="2">
        <v>18</v>
      </c>
      <c r="C174" s="2" t="s">
        <v>189</v>
      </c>
      <c r="D174" s="92" t="s">
        <v>196</v>
      </c>
      <c r="E174" t="s">
        <v>104</v>
      </c>
      <c r="F174" t="s">
        <v>220</v>
      </c>
      <c r="G174" s="2">
        <f ca="1">IF(N21&lt;LookupData!$AA$3,1,0)</f>
        <v>0</v>
      </c>
      <c r="S174" s="2">
        <v>12</v>
      </c>
    </row>
    <row r="175" spans="1:19" x14ac:dyDescent="0.25">
      <c r="A175" s="2">
        <f t="shared" si="543"/>
        <v>5</v>
      </c>
      <c r="B175" s="2">
        <v>18</v>
      </c>
      <c r="C175" s="2" t="s">
        <v>189</v>
      </c>
      <c r="D175" s="92" t="s">
        <v>196</v>
      </c>
      <c r="E175" t="s">
        <v>104</v>
      </c>
      <c r="F175" t="s">
        <v>221</v>
      </c>
      <c r="G175" s="2">
        <f ca="1">IF(N22&lt;LookupData!$AA$3,1,0)</f>
        <v>0</v>
      </c>
      <c r="S175" s="2">
        <v>12</v>
      </c>
    </row>
    <row r="176" spans="1:19" x14ac:dyDescent="0.25">
      <c r="A176" s="2">
        <f t="shared" si="543"/>
        <v>5</v>
      </c>
      <c r="B176" s="2">
        <v>18</v>
      </c>
      <c r="C176" s="2" t="s">
        <v>189</v>
      </c>
      <c r="D176" s="92" t="s">
        <v>196</v>
      </c>
      <c r="E176" t="s">
        <v>104</v>
      </c>
      <c r="F176" t="s">
        <v>222</v>
      </c>
      <c r="G176" s="2">
        <f ca="1">IF(N23&lt;LookupData!$AA$3,1,0)</f>
        <v>0</v>
      </c>
      <c r="S176" s="2">
        <v>12</v>
      </c>
    </row>
    <row r="177" spans="1:19" x14ac:dyDescent="0.25">
      <c r="A177" s="2">
        <f t="shared" si="543"/>
        <v>5</v>
      </c>
      <c r="B177" s="2">
        <v>18</v>
      </c>
      <c r="C177" s="2" t="s">
        <v>189</v>
      </c>
      <c r="D177" s="92" t="s">
        <v>196</v>
      </c>
      <c r="E177" t="s">
        <v>104</v>
      </c>
      <c r="F177" t="s">
        <v>223</v>
      </c>
      <c r="G177" s="2">
        <f ca="1">IF(N24&lt;LookupData!$AA$3,1,0)</f>
        <v>0</v>
      </c>
      <c r="S177" s="2">
        <v>12</v>
      </c>
    </row>
    <row r="178" spans="1:19" x14ac:dyDescent="0.25">
      <c r="A178" s="2">
        <f t="shared" si="543"/>
        <v>5</v>
      </c>
      <c r="B178" s="2">
        <v>18</v>
      </c>
      <c r="C178" s="2" t="s">
        <v>189</v>
      </c>
      <c r="D178" s="92" t="s">
        <v>196</v>
      </c>
      <c r="E178" t="s">
        <v>105</v>
      </c>
      <c r="F178" t="s">
        <v>220</v>
      </c>
      <c r="G178" s="2">
        <f ca="1">IF(N37&lt;LookupData!$AA$5,1,0)</f>
        <v>1</v>
      </c>
      <c r="S178" s="2">
        <v>12</v>
      </c>
    </row>
    <row r="179" spans="1:19" x14ac:dyDescent="0.25">
      <c r="A179" s="2">
        <f t="shared" si="543"/>
        <v>5</v>
      </c>
      <c r="B179" s="2">
        <v>18</v>
      </c>
      <c r="C179" s="2" t="s">
        <v>189</v>
      </c>
      <c r="D179" s="92" t="s">
        <v>196</v>
      </c>
      <c r="E179" t="s">
        <v>105</v>
      </c>
      <c r="F179" t="s">
        <v>221</v>
      </c>
      <c r="G179" s="2">
        <f ca="1">IF(N38&lt;LookupData!$AA$5,1,0)</f>
        <v>0</v>
      </c>
      <c r="S179" s="2">
        <v>12</v>
      </c>
    </row>
    <row r="180" spans="1:19" x14ac:dyDescent="0.25">
      <c r="A180" s="2">
        <f t="shared" si="543"/>
        <v>5</v>
      </c>
      <c r="B180" s="2">
        <v>18</v>
      </c>
      <c r="C180" s="2" t="s">
        <v>189</v>
      </c>
      <c r="D180" s="92" t="s">
        <v>196</v>
      </c>
      <c r="E180" t="s">
        <v>105</v>
      </c>
      <c r="F180" t="s">
        <v>222</v>
      </c>
      <c r="G180" s="2">
        <f ca="1">IF(N39&lt;LookupData!$AA$5,1,0)</f>
        <v>0</v>
      </c>
      <c r="S180" s="2">
        <v>12</v>
      </c>
    </row>
    <row r="181" spans="1:19" x14ac:dyDescent="0.25">
      <c r="A181" s="2">
        <f t="shared" si="543"/>
        <v>5</v>
      </c>
      <c r="B181" s="2">
        <v>18</v>
      </c>
      <c r="C181" s="2" t="s">
        <v>189</v>
      </c>
      <c r="D181" s="92" t="s">
        <v>196</v>
      </c>
      <c r="E181" t="s">
        <v>105</v>
      </c>
      <c r="F181" t="s">
        <v>223</v>
      </c>
      <c r="G181" s="2">
        <f ca="1">IF(N40&lt;LookupData!$AA$5,1,0)</f>
        <v>0</v>
      </c>
      <c r="S181" s="2">
        <v>12</v>
      </c>
    </row>
    <row r="182" spans="1:19" x14ac:dyDescent="0.25">
      <c r="A182" s="2">
        <f t="shared" si="543"/>
        <v>5</v>
      </c>
      <c r="B182" s="2">
        <v>18</v>
      </c>
      <c r="C182" s="2" t="s">
        <v>189</v>
      </c>
      <c r="D182" s="92" t="s">
        <v>196</v>
      </c>
      <c r="E182" t="s">
        <v>111</v>
      </c>
      <c r="F182" t="s">
        <v>220</v>
      </c>
      <c r="G182" s="2">
        <f ca="1">IF(N45&lt;LookupData!$AA$6,1,0)</f>
        <v>1</v>
      </c>
      <c r="S182" s="2">
        <v>12</v>
      </c>
    </row>
    <row r="183" spans="1:19" x14ac:dyDescent="0.25">
      <c r="A183" s="2">
        <f t="shared" si="543"/>
        <v>5</v>
      </c>
      <c r="B183" s="2">
        <v>18</v>
      </c>
      <c r="C183" s="2" t="s">
        <v>189</v>
      </c>
      <c r="D183" s="92" t="s">
        <v>196</v>
      </c>
      <c r="E183" t="s">
        <v>111</v>
      </c>
      <c r="F183" t="s">
        <v>221</v>
      </c>
      <c r="G183" s="2">
        <f ca="1">IF(N46&lt;LookupData!$AA$6,1,0)</f>
        <v>1</v>
      </c>
      <c r="S183" s="2">
        <v>12</v>
      </c>
    </row>
    <row r="184" spans="1:19" x14ac:dyDescent="0.25">
      <c r="A184" s="2">
        <f t="shared" si="543"/>
        <v>5</v>
      </c>
      <c r="B184" s="2">
        <v>18</v>
      </c>
      <c r="C184" s="2" t="s">
        <v>189</v>
      </c>
      <c r="D184" s="92" t="s">
        <v>196</v>
      </c>
      <c r="E184" t="s">
        <v>111</v>
      </c>
      <c r="F184" t="s">
        <v>222</v>
      </c>
      <c r="G184" s="2">
        <f ca="1">IF(N47&lt;LookupData!$AA$6,1,0)</f>
        <v>0</v>
      </c>
      <c r="S184" s="2">
        <v>12</v>
      </c>
    </row>
    <row r="185" spans="1:19" x14ac:dyDescent="0.25">
      <c r="A185" s="2">
        <f t="shared" si="543"/>
        <v>5</v>
      </c>
      <c r="B185" s="2">
        <v>18</v>
      </c>
      <c r="C185" s="2" t="s">
        <v>189</v>
      </c>
      <c r="D185" s="92" t="s">
        <v>196</v>
      </c>
      <c r="E185" t="s">
        <v>111</v>
      </c>
      <c r="F185" t="s">
        <v>223</v>
      </c>
      <c r="G185" s="2">
        <f ca="1">IF(N48&lt;LookupData!$AA$6,1,0)</f>
        <v>0</v>
      </c>
      <c r="S185" s="2">
        <v>12</v>
      </c>
    </row>
    <row r="186" spans="1:19" x14ac:dyDescent="0.25">
      <c r="A186" s="2">
        <f t="shared" si="543"/>
        <v>5</v>
      </c>
      <c r="B186" s="2">
        <v>18</v>
      </c>
      <c r="C186" s="2" t="s">
        <v>189</v>
      </c>
      <c r="D186" s="92" t="s">
        <v>196</v>
      </c>
      <c r="E186" t="s">
        <v>109</v>
      </c>
      <c r="F186" t="s">
        <v>220</v>
      </c>
      <c r="G186" s="2">
        <f ca="1">IF(N53&lt;LookupData!$AA$7,1,0)</f>
        <v>0</v>
      </c>
      <c r="S186" s="2">
        <v>12</v>
      </c>
    </row>
    <row r="187" spans="1:19" x14ac:dyDescent="0.25">
      <c r="A187" s="2">
        <f t="shared" si="543"/>
        <v>5</v>
      </c>
      <c r="B187" s="2">
        <v>18</v>
      </c>
      <c r="C187" s="2" t="s">
        <v>189</v>
      </c>
      <c r="D187" s="92" t="s">
        <v>196</v>
      </c>
      <c r="E187" t="s">
        <v>109</v>
      </c>
      <c r="F187" t="s">
        <v>221</v>
      </c>
      <c r="G187" s="2">
        <f ca="1">IF(N54&lt;LookupData!$AA$7,1,0)</f>
        <v>0</v>
      </c>
      <c r="S187" s="2">
        <v>12</v>
      </c>
    </row>
    <row r="188" spans="1:19" x14ac:dyDescent="0.25">
      <c r="A188" s="2">
        <f t="shared" si="543"/>
        <v>5</v>
      </c>
      <c r="B188" s="2">
        <v>18</v>
      </c>
      <c r="C188" s="2" t="s">
        <v>189</v>
      </c>
      <c r="D188" s="92" t="s">
        <v>196</v>
      </c>
      <c r="E188" t="s">
        <v>109</v>
      </c>
      <c r="F188" t="s">
        <v>222</v>
      </c>
      <c r="G188" s="2">
        <f ca="1">IF(N55&lt;LookupData!$AA$7,1,0)</f>
        <v>0</v>
      </c>
      <c r="S188" s="2">
        <v>12</v>
      </c>
    </row>
    <row r="189" spans="1:19" x14ac:dyDescent="0.25">
      <c r="A189" s="2">
        <f t="shared" si="543"/>
        <v>5</v>
      </c>
      <c r="B189" s="2">
        <v>18</v>
      </c>
      <c r="C189" s="2" t="s">
        <v>189</v>
      </c>
      <c r="D189" s="92" t="s">
        <v>196</v>
      </c>
      <c r="E189" t="s">
        <v>109</v>
      </c>
      <c r="F189" t="s">
        <v>223</v>
      </c>
      <c r="G189" s="2">
        <f ca="1">IF(N56&lt;LookupData!$AA$7,1,0)</f>
        <v>0</v>
      </c>
      <c r="S189" s="2">
        <v>12</v>
      </c>
    </row>
    <row r="190" spans="1:19" x14ac:dyDescent="0.25">
      <c r="A190" s="2">
        <f t="shared" si="543"/>
        <v>5</v>
      </c>
      <c r="B190" s="2">
        <v>18</v>
      </c>
      <c r="C190" s="2" t="s">
        <v>189</v>
      </c>
      <c r="D190" s="92" t="s">
        <v>196</v>
      </c>
      <c r="E190" t="s">
        <v>106</v>
      </c>
      <c r="F190" t="s">
        <v>220</v>
      </c>
      <c r="G190" s="2">
        <f ca="1">IF(N61&lt;LookupData!$AA$8,1,0)</f>
        <v>0</v>
      </c>
      <c r="S190" s="2">
        <v>12</v>
      </c>
    </row>
    <row r="191" spans="1:19" x14ac:dyDescent="0.25">
      <c r="A191" s="2">
        <f t="shared" si="543"/>
        <v>5</v>
      </c>
      <c r="B191" s="2">
        <v>18</v>
      </c>
      <c r="C191" s="2" t="s">
        <v>189</v>
      </c>
      <c r="D191" s="92" t="s">
        <v>196</v>
      </c>
      <c r="E191" t="s">
        <v>106</v>
      </c>
      <c r="F191" t="s">
        <v>221</v>
      </c>
      <c r="G191" s="2">
        <f ca="1">IF(N62&lt;LookupData!$AA$8,1,0)</f>
        <v>0</v>
      </c>
      <c r="S191" s="2">
        <v>12</v>
      </c>
    </row>
    <row r="192" spans="1:19" x14ac:dyDescent="0.25">
      <c r="A192" s="2">
        <f t="shared" si="543"/>
        <v>5</v>
      </c>
      <c r="B192" s="2">
        <v>18</v>
      </c>
      <c r="C192" s="2" t="s">
        <v>189</v>
      </c>
      <c r="D192" s="92" t="s">
        <v>196</v>
      </c>
      <c r="E192" t="s">
        <v>106</v>
      </c>
      <c r="F192" t="s">
        <v>222</v>
      </c>
      <c r="G192" s="2">
        <f ca="1">IF(N63&lt;LookupData!$AA$8,1,0)</f>
        <v>0</v>
      </c>
      <c r="S192" s="2">
        <v>12</v>
      </c>
    </row>
    <row r="193" spans="1:19" x14ac:dyDescent="0.25">
      <c r="A193" s="2">
        <f t="shared" si="543"/>
        <v>5</v>
      </c>
      <c r="B193" s="2">
        <v>18</v>
      </c>
      <c r="C193" s="2" t="s">
        <v>189</v>
      </c>
      <c r="D193" s="92" t="s">
        <v>196</v>
      </c>
      <c r="E193" t="s">
        <v>106</v>
      </c>
      <c r="F193" t="s">
        <v>223</v>
      </c>
      <c r="G193" s="2">
        <f ca="1">IF(N64&lt;LookupData!$AA$8,1,0)</f>
        <v>0</v>
      </c>
      <c r="S193" s="2">
        <v>12</v>
      </c>
    </row>
    <row r="194" spans="1:19" x14ac:dyDescent="0.25">
      <c r="A194" s="2">
        <f t="shared" si="543"/>
        <v>5</v>
      </c>
      <c r="B194" s="2">
        <v>18</v>
      </c>
      <c r="C194" s="2" t="s">
        <v>189</v>
      </c>
      <c r="D194" s="92" t="s">
        <v>196</v>
      </c>
      <c r="E194" t="s">
        <v>107</v>
      </c>
      <c r="F194" t="s">
        <v>220</v>
      </c>
      <c r="G194" s="2">
        <f ca="1">IF(N69&lt;LookupData!$AA$9,1,0)</f>
        <v>0</v>
      </c>
      <c r="S194" s="2">
        <v>12</v>
      </c>
    </row>
    <row r="195" spans="1:19" x14ac:dyDescent="0.25">
      <c r="A195" s="2">
        <f t="shared" si="543"/>
        <v>5</v>
      </c>
      <c r="B195" s="2">
        <v>18</v>
      </c>
      <c r="C195" s="2" t="s">
        <v>189</v>
      </c>
      <c r="D195" s="92" t="s">
        <v>196</v>
      </c>
      <c r="E195" t="s">
        <v>107</v>
      </c>
      <c r="F195" t="s">
        <v>221</v>
      </c>
      <c r="G195" s="2">
        <f ca="1">IF(N70&lt;LookupData!$AA$9,1,0)</f>
        <v>0</v>
      </c>
      <c r="S195" s="2">
        <v>12</v>
      </c>
    </row>
    <row r="196" spans="1:19" x14ac:dyDescent="0.25">
      <c r="A196" s="2">
        <f t="shared" si="543"/>
        <v>5</v>
      </c>
      <c r="B196" s="2">
        <v>18</v>
      </c>
      <c r="C196" s="2" t="s">
        <v>189</v>
      </c>
      <c r="D196" s="92" t="s">
        <v>196</v>
      </c>
      <c r="E196" t="s">
        <v>107</v>
      </c>
      <c r="F196" t="s">
        <v>222</v>
      </c>
      <c r="G196" s="2">
        <f ca="1">IF(N71&lt;LookupData!$AA$9,1,0)</f>
        <v>0</v>
      </c>
      <c r="S196" s="2">
        <v>12</v>
      </c>
    </row>
    <row r="197" spans="1:19" x14ac:dyDescent="0.25">
      <c r="A197" s="2">
        <f t="shared" si="543"/>
        <v>5</v>
      </c>
      <c r="B197" s="2">
        <v>18</v>
      </c>
      <c r="C197" s="2" t="s">
        <v>189</v>
      </c>
      <c r="D197" s="92" t="s">
        <v>196</v>
      </c>
      <c r="E197" t="s">
        <v>107</v>
      </c>
      <c r="F197" t="s">
        <v>223</v>
      </c>
      <c r="G197" s="2">
        <f ca="1">IF(N72&lt;LookupData!$AA$9,1,0)</f>
        <v>0</v>
      </c>
      <c r="S197" s="2">
        <v>12</v>
      </c>
    </row>
    <row r="198" spans="1:19" x14ac:dyDescent="0.25">
      <c r="A198" s="2">
        <f t="shared" si="543"/>
        <v>5</v>
      </c>
      <c r="B198" s="2">
        <v>18</v>
      </c>
      <c r="C198" s="2" t="s">
        <v>189</v>
      </c>
      <c r="D198" s="92" t="s">
        <v>196</v>
      </c>
      <c r="E198" t="s">
        <v>110</v>
      </c>
      <c r="F198" t="s">
        <v>220</v>
      </c>
      <c r="G198" s="2">
        <f ca="1">IF(N77&lt;LookupData!$AA$10,1,0)</f>
        <v>1</v>
      </c>
      <c r="S198" s="2">
        <v>12</v>
      </c>
    </row>
    <row r="199" spans="1:19" x14ac:dyDescent="0.25">
      <c r="A199" s="2">
        <f t="shared" si="543"/>
        <v>5</v>
      </c>
      <c r="B199" s="2">
        <v>18</v>
      </c>
      <c r="C199" s="2" t="s">
        <v>189</v>
      </c>
      <c r="D199" s="92" t="s">
        <v>196</v>
      </c>
      <c r="E199" t="s">
        <v>110</v>
      </c>
      <c r="F199" t="s">
        <v>221</v>
      </c>
      <c r="G199" s="2">
        <f ca="1">IF(N78&lt;LookupData!$AA$10,1,0)</f>
        <v>0</v>
      </c>
      <c r="S199" s="2">
        <v>12</v>
      </c>
    </row>
    <row r="200" spans="1:19" x14ac:dyDescent="0.25">
      <c r="A200" s="2">
        <f t="shared" si="543"/>
        <v>5</v>
      </c>
      <c r="B200" s="2">
        <v>18</v>
      </c>
      <c r="C200" s="2" t="s">
        <v>189</v>
      </c>
      <c r="D200" s="92" t="s">
        <v>196</v>
      </c>
      <c r="E200" t="s">
        <v>110</v>
      </c>
      <c r="F200" t="s">
        <v>222</v>
      </c>
      <c r="G200" s="2">
        <f ca="1">IF(N79&lt;LookupData!$AA$10,1,0)</f>
        <v>0</v>
      </c>
      <c r="S200" s="2">
        <v>12</v>
      </c>
    </row>
    <row r="201" spans="1:19" x14ac:dyDescent="0.25">
      <c r="A201" s="2">
        <f t="shared" si="543"/>
        <v>5</v>
      </c>
      <c r="B201" s="2">
        <v>18</v>
      </c>
      <c r="C201" s="2" t="s">
        <v>189</v>
      </c>
      <c r="D201" s="92" t="s">
        <v>196</v>
      </c>
      <c r="E201" t="s">
        <v>110</v>
      </c>
      <c r="F201" t="s">
        <v>223</v>
      </c>
      <c r="G201" s="2">
        <f ca="1">IF(N80&lt;LookupData!$AA$10,1,0)</f>
        <v>0</v>
      </c>
      <c r="S201" s="2">
        <v>12</v>
      </c>
    </row>
    <row r="202" spans="1:19" x14ac:dyDescent="0.25">
      <c r="A202" s="2">
        <f t="shared" si="543"/>
        <v>5</v>
      </c>
      <c r="B202" s="2">
        <v>18</v>
      </c>
      <c r="C202" s="2" t="s">
        <v>189</v>
      </c>
      <c r="D202" s="92" t="s">
        <v>196</v>
      </c>
      <c r="E202" t="s">
        <v>108</v>
      </c>
      <c r="F202" t="s">
        <v>220</v>
      </c>
      <c r="G202" s="2">
        <f ca="1">IF(N85&lt;LookupData!$AA$11,1,0)</f>
        <v>0</v>
      </c>
      <c r="S202" s="2">
        <v>12</v>
      </c>
    </row>
    <row r="203" spans="1:19" x14ac:dyDescent="0.25">
      <c r="A203" s="2">
        <f t="shared" si="543"/>
        <v>5</v>
      </c>
      <c r="B203" s="2">
        <v>18</v>
      </c>
      <c r="C203" s="2" t="s">
        <v>189</v>
      </c>
      <c r="D203" s="92" t="s">
        <v>196</v>
      </c>
      <c r="E203" t="s">
        <v>108</v>
      </c>
      <c r="F203" t="s">
        <v>221</v>
      </c>
      <c r="G203" s="2">
        <f ca="1">IF(N86&lt;LookupData!$AA$11,1,0)</f>
        <v>0</v>
      </c>
      <c r="S203" s="2">
        <v>12</v>
      </c>
    </row>
    <row r="204" spans="1:19" x14ac:dyDescent="0.25">
      <c r="A204" s="2">
        <f t="shared" si="543"/>
        <v>5</v>
      </c>
      <c r="B204" s="2">
        <v>18</v>
      </c>
      <c r="C204" s="2" t="s">
        <v>189</v>
      </c>
      <c r="D204" s="92" t="s">
        <v>196</v>
      </c>
      <c r="E204" t="s">
        <v>108</v>
      </c>
      <c r="F204" t="s">
        <v>222</v>
      </c>
      <c r="G204" s="2">
        <f ca="1">IF(N87&lt;LookupData!$AA$11,1,0)</f>
        <v>0</v>
      </c>
      <c r="S204" s="2">
        <v>12</v>
      </c>
    </row>
    <row r="205" spans="1:19" x14ac:dyDescent="0.25">
      <c r="A205" s="2">
        <f t="shared" si="543"/>
        <v>5</v>
      </c>
      <c r="B205" s="2">
        <v>18</v>
      </c>
      <c r="C205" s="2" t="s">
        <v>189</v>
      </c>
      <c r="D205" s="92" t="s">
        <v>196</v>
      </c>
      <c r="E205" t="s">
        <v>108</v>
      </c>
      <c r="F205" t="s">
        <v>223</v>
      </c>
      <c r="G205" s="2">
        <f ca="1">IF(N88&lt;LookupData!$AA$11,1,0)</f>
        <v>0</v>
      </c>
      <c r="S205" s="2">
        <v>12</v>
      </c>
    </row>
    <row r="206" spans="1:19" x14ac:dyDescent="0.25">
      <c r="A206" s="2">
        <f t="shared" si="543"/>
        <v>5</v>
      </c>
      <c r="B206" s="2">
        <v>18</v>
      </c>
      <c r="C206" s="2" t="s">
        <v>189</v>
      </c>
      <c r="D206" s="92" t="s">
        <v>196</v>
      </c>
      <c r="E206" t="s">
        <v>70</v>
      </c>
      <c r="F206" t="s">
        <v>220</v>
      </c>
      <c r="G206" s="2">
        <f ca="1">IF(N93&lt;LookupData!$AA$12,1,0)</f>
        <v>0</v>
      </c>
      <c r="S206" s="2">
        <v>12</v>
      </c>
    </row>
    <row r="207" spans="1:19" x14ac:dyDescent="0.25">
      <c r="A207" s="2">
        <f t="shared" si="543"/>
        <v>5</v>
      </c>
      <c r="B207" s="2">
        <v>18</v>
      </c>
      <c r="C207" s="2" t="s">
        <v>189</v>
      </c>
      <c r="D207" s="92" t="s">
        <v>196</v>
      </c>
      <c r="E207" t="s">
        <v>70</v>
      </c>
      <c r="F207" t="s">
        <v>221</v>
      </c>
      <c r="G207" s="2">
        <f ca="1">IF(N94&lt;LookupData!$AA$12,1,0)</f>
        <v>0</v>
      </c>
      <c r="S207" s="2">
        <v>12</v>
      </c>
    </row>
    <row r="208" spans="1:19" x14ac:dyDescent="0.25">
      <c r="A208" s="2">
        <f t="shared" si="543"/>
        <v>5</v>
      </c>
      <c r="B208" s="2">
        <v>18</v>
      </c>
      <c r="C208" s="2" t="s">
        <v>189</v>
      </c>
      <c r="D208" s="92" t="s">
        <v>196</v>
      </c>
      <c r="E208" t="s">
        <v>70</v>
      </c>
      <c r="F208" t="s">
        <v>222</v>
      </c>
      <c r="G208" s="2">
        <f ca="1">IF(N95&lt;LookupData!$AA$12,1,0)</f>
        <v>0</v>
      </c>
      <c r="S208" s="2">
        <v>12</v>
      </c>
    </row>
    <row r="209" spans="1:19" x14ac:dyDescent="0.25">
      <c r="A209" s="2">
        <f t="shared" si="543"/>
        <v>5</v>
      </c>
      <c r="B209" s="2">
        <v>18</v>
      </c>
      <c r="C209" s="2" t="s">
        <v>189</v>
      </c>
      <c r="D209" s="92" t="s">
        <v>196</v>
      </c>
      <c r="E209" t="s">
        <v>70</v>
      </c>
      <c r="F209" t="s">
        <v>223</v>
      </c>
      <c r="G209" s="2">
        <f ca="1">IF(N96&lt;LookupData!$AA$12,1,0)</f>
        <v>0</v>
      </c>
      <c r="S209" s="2">
        <v>12</v>
      </c>
    </row>
    <row r="210" spans="1:19" x14ac:dyDescent="0.25">
      <c r="A210" s="91" t="s">
        <v>71</v>
      </c>
      <c r="B210" s="91" t="s">
        <v>90</v>
      </c>
      <c r="C210" s="91" t="s">
        <v>122</v>
      </c>
      <c r="D210" s="91" t="s">
        <v>123</v>
      </c>
      <c r="E210" s="91" t="s">
        <v>124</v>
      </c>
      <c r="F210" s="91" t="s">
        <v>125</v>
      </c>
      <c r="G210" s="91" t="s">
        <v>103</v>
      </c>
    </row>
    <row r="211" spans="1:19" x14ac:dyDescent="0.25">
      <c r="A211" s="92">
        <f t="shared" ref="A211:A220" si="544">A$21</f>
        <v>5</v>
      </c>
      <c r="B211" s="92">
        <v>18</v>
      </c>
      <c r="C211" s="92" t="s">
        <v>200</v>
      </c>
      <c r="D211" t="s">
        <v>104</v>
      </c>
      <c r="E211" s="93">
        <f ca="1">INDIRECT("'"&amp;$D211&amp;"'!$M$33")</f>
        <v>0</v>
      </c>
      <c r="F211" s="92"/>
      <c r="G211" s="92">
        <v>12</v>
      </c>
    </row>
    <row r="212" spans="1:19" x14ac:dyDescent="0.25">
      <c r="A212" s="92">
        <f t="shared" si="544"/>
        <v>5</v>
      </c>
      <c r="B212" s="92">
        <v>18</v>
      </c>
      <c r="C212" s="92" t="s">
        <v>201</v>
      </c>
      <c r="D212" t="s">
        <v>104</v>
      </c>
      <c r="E212" s="93">
        <f ca="1">INDIRECT("'"&amp;$D212&amp;"'!$M$36")</f>
        <v>0</v>
      </c>
      <c r="F212" s="92"/>
      <c r="G212" s="92">
        <v>12</v>
      </c>
    </row>
    <row r="213" spans="1:19" x14ac:dyDescent="0.25">
      <c r="A213" s="92">
        <f t="shared" si="544"/>
        <v>5</v>
      </c>
      <c r="B213" s="92">
        <v>18</v>
      </c>
      <c r="C213" s="92" t="s">
        <v>202</v>
      </c>
      <c r="D213" t="s">
        <v>104</v>
      </c>
      <c r="E213" s="93">
        <f ca="1">INDIRECT("'"&amp;$D213&amp;"'!$M$39")</f>
        <v>0</v>
      </c>
      <c r="F213" s="92"/>
      <c r="G213" s="92">
        <v>12</v>
      </c>
    </row>
    <row r="214" spans="1:19" x14ac:dyDescent="0.25">
      <c r="A214" s="92">
        <f t="shared" si="544"/>
        <v>5</v>
      </c>
      <c r="B214" s="92">
        <v>18</v>
      </c>
      <c r="C214" s="92" t="s">
        <v>203</v>
      </c>
      <c r="D214" t="s">
        <v>104</v>
      </c>
      <c r="E214" s="93">
        <f ca="1">INDIRECT("'"&amp;$D214&amp;"'!$M$42")</f>
        <v>0</v>
      </c>
      <c r="F214" s="92"/>
      <c r="G214" s="92">
        <v>12</v>
      </c>
    </row>
    <row r="215" spans="1:19" x14ac:dyDescent="0.25">
      <c r="A215" s="92">
        <f t="shared" si="544"/>
        <v>5</v>
      </c>
      <c r="B215" s="92">
        <v>18</v>
      </c>
      <c r="C215" s="92" t="s">
        <v>200</v>
      </c>
      <c r="D215" t="s">
        <v>105</v>
      </c>
      <c r="E215" s="93">
        <f ca="1">INDIRECT("'"&amp;$D215&amp;"'!$M$33")</f>
        <v>0</v>
      </c>
      <c r="F215" s="92"/>
      <c r="G215" s="92">
        <v>12</v>
      </c>
    </row>
    <row r="216" spans="1:19" x14ac:dyDescent="0.25">
      <c r="A216" s="92">
        <f t="shared" si="544"/>
        <v>5</v>
      </c>
      <c r="B216" s="92">
        <v>18</v>
      </c>
      <c r="C216" s="92" t="s">
        <v>201</v>
      </c>
      <c r="D216" t="s">
        <v>105</v>
      </c>
      <c r="E216" s="93">
        <f ca="1">INDIRECT("'"&amp;$D216&amp;"'!$M$36")</f>
        <v>0</v>
      </c>
      <c r="F216" s="92"/>
      <c r="G216" s="92">
        <v>12</v>
      </c>
    </row>
    <row r="217" spans="1:19" x14ac:dyDescent="0.25">
      <c r="A217" s="92">
        <f t="shared" si="544"/>
        <v>5</v>
      </c>
      <c r="B217" s="92">
        <v>18</v>
      </c>
      <c r="C217" s="92" t="s">
        <v>202</v>
      </c>
      <c r="D217" t="s">
        <v>105</v>
      </c>
      <c r="E217" s="93">
        <f ca="1">INDIRECT("'"&amp;$D217&amp;"'!$M$39")</f>
        <v>0</v>
      </c>
      <c r="F217" s="92"/>
      <c r="G217" s="92">
        <v>12</v>
      </c>
    </row>
    <row r="218" spans="1:19" x14ac:dyDescent="0.25">
      <c r="A218" s="92">
        <f t="shared" si="544"/>
        <v>5</v>
      </c>
      <c r="B218" s="92">
        <v>18</v>
      </c>
      <c r="C218" s="92" t="s">
        <v>203</v>
      </c>
      <c r="D218" t="s">
        <v>105</v>
      </c>
      <c r="E218" s="93">
        <f ca="1">INDIRECT("'"&amp;$D218&amp;"'!$M$42")</f>
        <v>0</v>
      </c>
      <c r="F218" s="92"/>
      <c r="G218" s="92">
        <v>12</v>
      </c>
    </row>
    <row r="219" spans="1:19" x14ac:dyDescent="0.25">
      <c r="A219" s="92">
        <f t="shared" si="544"/>
        <v>5</v>
      </c>
      <c r="B219" s="92">
        <v>18</v>
      </c>
      <c r="C219" s="92" t="s">
        <v>200</v>
      </c>
      <c r="D219" t="s">
        <v>111</v>
      </c>
      <c r="E219" s="93">
        <f ca="1">INDIRECT("'"&amp;$D219&amp;"'!$M$33")</f>
        <v>0</v>
      </c>
      <c r="F219" s="92"/>
      <c r="G219" s="92">
        <v>12</v>
      </c>
    </row>
    <row r="220" spans="1:19" x14ac:dyDescent="0.25">
      <c r="A220" s="92">
        <f t="shared" si="544"/>
        <v>5</v>
      </c>
      <c r="B220" s="92">
        <v>18</v>
      </c>
      <c r="C220" s="92" t="s">
        <v>201</v>
      </c>
      <c r="D220" t="s">
        <v>111</v>
      </c>
      <c r="E220" s="93">
        <f ca="1">INDIRECT("'"&amp;$D220&amp;"'!$M$36")</f>
        <v>0</v>
      </c>
      <c r="F220" s="92"/>
      <c r="G220" s="92">
        <v>12</v>
      </c>
    </row>
    <row r="221" spans="1:19" x14ac:dyDescent="0.25">
      <c r="C221" s="92" t="s">
        <v>202</v>
      </c>
      <c r="D221" t="s">
        <v>111</v>
      </c>
      <c r="E221" s="93">
        <f ca="1">INDIRECT("'"&amp;$D221&amp;"'!$M$39")</f>
        <v>0</v>
      </c>
      <c r="G221" s="92">
        <v>12</v>
      </c>
    </row>
    <row r="222" spans="1:19" x14ac:dyDescent="0.25">
      <c r="C222" s="92" t="s">
        <v>203</v>
      </c>
      <c r="D222" t="s">
        <v>111</v>
      </c>
      <c r="E222" s="93">
        <f ca="1">INDIRECT("'"&amp;$D222&amp;"'!$M$42")</f>
        <v>0</v>
      </c>
      <c r="G222" s="92">
        <v>12</v>
      </c>
    </row>
    <row r="223" spans="1:19" x14ac:dyDescent="0.25">
      <c r="C223" s="92" t="s">
        <v>200</v>
      </c>
      <c r="D223" t="s">
        <v>109</v>
      </c>
      <c r="E223" s="93">
        <f ca="1">INDIRECT("'"&amp;$D223&amp;"'!$M$33")</f>
        <v>0</v>
      </c>
      <c r="G223" s="92">
        <v>12</v>
      </c>
    </row>
    <row r="224" spans="1:19" x14ac:dyDescent="0.25">
      <c r="C224" s="92" t="s">
        <v>201</v>
      </c>
      <c r="D224" t="s">
        <v>109</v>
      </c>
      <c r="E224" s="93">
        <f ca="1">INDIRECT("'"&amp;$D224&amp;"'!$M$36")</f>
        <v>0</v>
      </c>
      <c r="G224" s="92">
        <v>12</v>
      </c>
    </row>
    <row r="225" spans="3:7" x14ac:dyDescent="0.25">
      <c r="C225" s="92" t="s">
        <v>202</v>
      </c>
      <c r="D225" t="s">
        <v>109</v>
      </c>
      <c r="E225" s="93">
        <f ca="1">INDIRECT("'"&amp;$D225&amp;"'!$M$39")</f>
        <v>0</v>
      </c>
      <c r="G225" s="92">
        <v>12</v>
      </c>
    </row>
    <row r="226" spans="3:7" x14ac:dyDescent="0.25">
      <c r="C226" s="92" t="s">
        <v>203</v>
      </c>
      <c r="D226" t="s">
        <v>109</v>
      </c>
      <c r="E226" s="93">
        <f ca="1">INDIRECT("'"&amp;$D226&amp;"'!$M$42")</f>
        <v>0</v>
      </c>
      <c r="G226" s="92">
        <v>12</v>
      </c>
    </row>
    <row r="227" spans="3:7" x14ac:dyDescent="0.25">
      <c r="C227" s="92" t="s">
        <v>200</v>
      </c>
      <c r="D227" t="s">
        <v>106</v>
      </c>
      <c r="E227" s="93">
        <f ca="1">INDIRECT("'"&amp;$D227&amp;"'!$M$33")</f>
        <v>0</v>
      </c>
      <c r="G227" s="92">
        <v>12</v>
      </c>
    </row>
    <row r="228" spans="3:7" x14ac:dyDescent="0.25">
      <c r="C228" s="92" t="s">
        <v>201</v>
      </c>
      <c r="D228" t="s">
        <v>106</v>
      </c>
      <c r="E228" s="93">
        <f ca="1">INDIRECT("'"&amp;$D228&amp;"'!$M$36")</f>
        <v>0</v>
      </c>
      <c r="G228" s="92">
        <v>12</v>
      </c>
    </row>
    <row r="229" spans="3:7" x14ac:dyDescent="0.25">
      <c r="C229" s="92" t="s">
        <v>202</v>
      </c>
      <c r="D229" t="s">
        <v>106</v>
      </c>
      <c r="E229" s="93">
        <f ca="1">INDIRECT("'"&amp;$D229&amp;"'!$M$39")</f>
        <v>0</v>
      </c>
      <c r="G229" s="92">
        <v>12</v>
      </c>
    </row>
    <row r="230" spans="3:7" x14ac:dyDescent="0.25">
      <c r="C230" s="92" t="s">
        <v>203</v>
      </c>
      <c r="D230" t="s">
        <v>106</v>
      </c>
      <c r="E230" s="93">
        <f ca="1">INDIRECT("'"&amp;$D230&amp;"'!$M$42")</f>
        <v>0</v>
      </c>
      <c r="G230" s="92">
        <v>12</v>
      </c>
    </row>
    <row r="231" spans="3:7" x14ac:dyDescent="0.25">
      <c r="C231" s="92" t="s">
        <v>200</v>
      </c>
      <c r="D231" t="s">
        <v>107</v>
      </c>
      <c r="E231" s="93">
        <f ca="1">INDIRECT("'"&amp;$D231&amp;"'!$M$33")</f>
        <v>0</v>
      </c>
      <c r="G231" s="92">
        <v>12</v>
      </c>
    </row>
    <row r="232" spans="3:7" x14ac:dyDescent="0.25">
      <c r="C232" s="92" t="s">
        <v>201</v>
      </c>
      <c r="D232" t="s">
        <v>107</v>
      </c>
      <c r="E232" s="93">
        <f ca="1">INDIRECT("'"&amp;$D232&amp;"'!$M$36")</f>
        <v>0</v>
      </c>
      <c r="G232" s="92">
        <v>12</v>
      </c>
    </row>
    <row r="233" spans="3:7" x14ac:dyDescent="0.25">
      <c r="C233" s="92" t="s">
        <v>202</v>
      </c>
      <c r="D233" t="s">
        <v>107</v>
      </c>
      <c r="E233" s="93">
        <f ca="1">INDIRECT("'"&amp;$D233&amp;"'!$M$39")</f>
        <v>0</v>
      </c>
      <c r="G233" s="92">
        <v>12</v>
      </c>
    </row>
    <row r="234" spans="3:7" x14ac:dyDescent="0.25">
      <c r="C234" s="92" t="s">
        <v>203</v>
      </c>
      <c r="D234" t="s">
        <v>107</v>
      </c>
      <c r="E234" s="93">
        <f ca="1">INDIRECT("'"&amp;$D234&amp;"'!$M$42")</f>
        <v>0</v>
      </c>
      <c r="G234" s="92">
        <v>12</v>
      </c>
    </row>
    <row r="235" spans="3:7" x14ac:dyDescent="0.25">
      <c r="C235" s="92" t="s">
        <v>200</v>
      </c>
      <c r="D235" t="s">
        <v>110</v>
      </c>
      <c r="E235" s="93">
        <f ca="1">INDIRECT("'"&amp;$D235&amp;"'!$M$33")</f>
        <v>0</v>
      </c>
      <c r="G235" s="92">
        <v>12</v>
      </c>
    </row>
    <row r="236" spans="3:7" x14ac:dyDescent="0.25">
      <c r="C236" s="92" t="s">
        <v>201</v>
      </c>
      <c r="D236" t="s">
        <v>110</v>
      </c>
      <c r="E236" s="93">
        <f ca="1">INDIRECT("'"&amp;$D236&amp;"'!$M$36")</f>
        <v>0</v>
      </c>
      <c r="G236" s="92">
        <v>12</v>
      </c>
    </row>
    <row r="237" spans="3:7" x14ac:dyDescent="0.25">
      <c r="C237" s="92" t="s">
        <v>202</v>
      </c>
      <c r="D237" t="s">
        <v>110</v>
      </c>
      <c r="E237" s="93">
        <f ca="1">INDIRECT("'"&amp;$D237&amp;"'!$M$39")</f>
        <v>0</v>
      </c>
      <c r="G237" s="92">
        <v>12</v>
      </c>
    </row>
    <row r="238" spans="3:7" x14ac:dyDescent="0.25">
      <c r="C238" s="92" t="s">
        <v>203</v>
      </c>
      <c r="D238" t="s">
        <v>110</v>
      </c>
      <c r="E238" s="93">
        <f ca="1">INDIRECT("'"&amp;$D238&amp;"'!$M$42")</f>
        <v>0</v>
      </c>
      <c r="G238" s="92">
        <v>12</v>
      </c>
    </row>
    <row r="239" spans="3:7" x14ac:dyDescent="0.25">
      <c r="C239" s="92" t="s">
        <v>200</v>
      </c>
      <c r="D239" t="s">
        <v>108</v>
      </c>
      <c r="E239" s="93">
        <f ca="1">INDIRECT("'"&amp;$D239&amp;"'!$M$33")</f>
        <v>0</v>
      </c>
      <c r="G239" s="92">
        <v>12</v>
      </c>
    </row>
    <row r="240" spans="3:7" x14ac:dyDescent="0.25">
      <c r="C240" s="92" t="s">
        <v>201</v>
      </c>
      <c r="D240" t="s">
        <v>108</v>
      </c>
      <c r="E240" s="93">
        <f ca="1">INDIRECT("'"&amp;$D240&amp;"'!$M$36")</f>
        <v>0</v>
      </c>
      <c r="G240" s="92">
        <v>12</v>
      </c>
    </row>
    <row r="241" spans="3:7" x14ac:dyDescent="0.25">
      <c r="C241" s="92" t="s">
        <v>202</v>
      </c>
      <c r="D241" t="s">
        <v>108</v>
      </c>
      <c r="E241" s="93">
        <f ca="1">INDIRECT("'"&amp;$D241&amp;"'!$M$39")</f>
        <v>0</v>
      </c>
      <c r="G241" s="92">
        <v>12</v>
      </c>
    </row>
    <row r="242" spans="3:7" x14ac:dyDescent="0.25">
      <c r="C242" s="92" t="s">
        <v>203</v>
      </c>
      <c r="D242" t="s">
        <v>108</v>
      </c>
      <c r="E242" s="93">
        <f ca="1">INDIRECT("'"&amp;$D242&amp;"'!$M$42")</f>
        <v>0</v>
      </c>
      <c r="G242" s="92">
        <v>12</v>
      </c>
    </row>
    <row r="243" spans="3:7" x14ac:dyDescent="0.25">
      <c r="C243" s="92" t="s">
        <v>200</v>
      </c>
      <c r="D243" t="s">
        <v>70</v>
      </c>
      <c r="E243" s="93">
        <f ca="1">INDIRECT("'"&amp;$D243&amp;"'!$M$33")</f>
        <v>0</v>
      </c>
      <c r="G243" s="92">
        <v>12</v>
      </c>
    </row>
    <row r="244" spans="3:7" x14ac:dyDescent="0.25">
      <c r="C244" s="92" t="s">
        <v>201</v>
      </c>
      <c r="D244" t="s">
        <v>70</v>
      </c>
      <c r="E244" s="93">
        <f ca="1">INDIRECT("'"&amp;$D244&amp;"'!$M$36")</f>
        <v>0</v>
      </c>
      <c r="G244" s="92">
        <v>12</v>
      </c>
    </row>
    <row r="245" spans="3:7" x14ac:dyDescent="0.25">
      <c r="C245" s="92" t="s">
        <v>202</v>
      </c>
      <c r="D245" t="s">
        <v>70</v>
      </c>
      <c r="E245" s="93">
        <f ca="1">INDIRECT("'"&amp;$D245&amp;"'!$M$39")</f>
        <v>0</v>
      </c>
      <c r="G245" s="92">
        <v>12</v>
      </c>
    </row>
    <row r="246" spans="3:7" x14ac:dyDescent="0.25">
      <c r="C246" s="92" t="s">
        <v>203</v>
      </c>
      <c r="D246" t="s">
        <v>70</v>
      </c>
      <c r="E246" s="93">
        <f ca="1">INDIRECT("'"&amp;$D246&amp;"'!$M$42")</f>
        <v>0</v>
      </c>
      <c r="G246" s="92">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100"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hidden="1" customWidth="1"/>
    <col min="14" max="14" width="20.85546875" style="6" hidden="1"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124" t="str">
        <f>'Circuit Criminal'!N4</f>
        <v>CCOC Form Version 2
Revised 1/7/20</v>
      </c>
      <c r="L4" s="124"/>
    </row>
    <row r="5" spans="1:14" ht="24" customHeight="1" thickBot="1" x14ac:dyDescent="0.25">
      <c r="A5" s="8"/>
      <c r="C5" s="32" t="s">
        <v>68</v>
      </c>
      <c r="D5" s="115" t="str">
        <f>'Circuit Criminal'!D5</f>
        <v>Michelle Levar</v>
      </c>
      <c r="E5" s="115"/>
      <c r="F5" s="9"/>
      <c r="K5" s="125"/>
      <c r="L5" s="125"/>
    </row>
    <row r="6" spans="1:14" ht="24" customHeight="1" x14ac:dyDescent="0.2">
      <c r="A6" s="8"/>
      <c r="C6" s="32" t="s">
        <v>69</v>
      </c>
      <c r="D6" s="114" t="str">
        <f>'Circuit Criminal'!D6</f>
        <v>michelle.levar@brevardclerk.us</v>
      </c>
      <c r="E6" s="114"/>
      <c r="F6" s="9"/>
      <c r="G6" s="32" t="s">
        <v>1</v>
      </c>
      <c r="H6" s="79">
        <f>'Circuit Criminal'!L4</f>
        <v>2</v>
      </c>
      <c r="J6" s="202" t="s">
        <v>215</v>
      </c>
      <c r="K6" s="203"/>
      <c r="L6" s="204"/>
      <c r="M6"/>
    </row>
    <row r="7" spans="1:14" ht="24" customHeight="1" thickBot="1" x14ac:dyDescent="0.25">
      <c r="A7" s="8"/>
      <c r="I7"/>
      <c r="J7" s="205"/>
      <c r="K7" s="206"/>
      <c r="L7" s="207"/>
      <c r="M7"/>
    </row>
    <row r="8" spans="1:14" ht="24" customHeight="1" thickTop="1" thickBot="1" x14ac:dyDescent="0.25">
      <c r="A8" s="130" t="s">
        <v>136</v>
      </c>
      <c r="B8" s="130"/>
      <c r="C8" s="131"/>
      <c r="D8" s="29" t="str">
        <f ca="1">MID(CELL("filename",A1),FIND("]",CELL("filename",A1))+1,255)</f>
        <v>Drug Trafficking</v>
      </c>
      <c r="E8" s="10"/>
      <c r="F8" s="211" t="s">
        <v>137</v>
      </c>
      <c r="G8" s="211"/>
      <c r="H8" s="80">
        <f ca="1">INDEX(LookupData!AA3:AA12,MATCH(D8,LookupData!Z3:Z12,0))</f>
        <v>0</v>
      </c>
      <c r="I8"/>
      <c r="J8" s="205"/>
      <c r="K8" s="206"/>
      <c r="L8" s="207"/>
      <c r="M8"/>
    </row>
    <row r="9" spans="1:14" ht="19.5" customHeight="1" thickTop="1" thickBot="1" x14ac:dyDescent="0.25">
      <c r="A9" s="8"/>
      <c r="D9" s="8"/>
      <c r="E9" s="8"/>
      <c r="I9"/>
      <c r="J9" s="208"/>
      <c r="K9" s="209"/>
      <c r="L9" s="210"/>
    </row>
    <row r="10" spans="1:14" ht="25.5" customHeight="1" thickBot="1" x14ac:dyDescent="0.25">
      <c r="D10" s="1"/>
      <c r="F10" s="99"/>
      <c r="G10" s="99"/>
      <c r="H10" s="99"/>
      <c r="I10" s="99"/>
      <c r="J10" s="99"/>
      <c r="K10" s="99"/>
      <c r="L10" s="100"/>
      <c r="M10" s="197" t="s">
        <v>183</v>
      </c>
      <c r="N10" s="198"/>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212" t="s">
        <v>184</v>
      </c>
      <c r="N11" s="213"/>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99"/>
      <c r="M12" s="214"/>
      <c r="N12" s="215"/>
    </row>
    <row r="13" spans="1:14" ht="19.5" customHeight="1" x14ac:dyDescent="0.2">
      <c r="A13" s="118"/>
      <c r="B13" s="119"/>
      <c r="C13" s="134" t="s">
        <v>150</v>
      </c>
      <c r="D13" s="135"/>
      <c r="E13" s="52">
        <f ca="1">SUMIFS(LookupData!I$3:I$2682,LookupData!$A$3:$A$2682,$D$4,LookupData!$B$3:$B$2682,$D$8,LookupData!$C$3:$C$2682,$A12)</f>
        <v>224</v>
      </c>
      <c r="F13" s="53">
        <f ca="1">SUMIFS(LookupData!J$3:J$2682,LookupData!$A$3:$A$2682,$D$4,LookupData!$B$3:$B$2682,$D$8,LookupData!$C$3:$C$2682,$A12)</f>
        <v>317.98</v>
      </c>
      <c r="G13" s="53">
        <f ca="1">SUMIFS(LookupData!K$3:K$2682,LookupData!$A$3:$A$2682,$D$4,LookupData!$B$3:$B$2682,$D$8,LookupData!$C$3:$C$2682,$A12)</f>
        <v>324.98</v>
      </c>
      <c r="H13" s="53">
        <f ca="1">SUMIFS(LookupData!L$3:L$2682,LookupData!$A$3:$A$2682,$D$4,LookupData!$B$3:$B$2682,$D$8,LookupData!$C$3:$C$2682,$A12)</f>
        <v>324.98</v>
      </c>
      <c r="I13" s="43">
        <v>324.98</v>
      </c>
      <c r="J13" s="137"/>
      <c r="K13" s="137"/>
      <c r="L13" s="200"/>
      <c r="M13" s="96" t="s">
        <v>185</v>
      </c>
      <c r="N13" s="81">
        <f>'Circuit Criminal'!I13-'Drug Trafficking'!I13</f>
        <v>118146.71</v>
      </c>
    </row>
    <row r="14" spans="1:14" ht="19.5" customHeight="1" thickBot="1" x14ac:dyDescent="0.25">
      <c r="A14" s="118"/>
      <c r="B14" s="119"/>
      <c r="C14" s="134" t="s">
        <v>151</v>
      </c>
      <c r="D14" s="135"/>
      <c r="E14" s="54">
        <f ca="1">SUMIFS(LookupData!D$3:D$2682,LookupData!$A$3:$A$2682,$D$4,LookupData!$B$3:$B$2682,$D$8,LookupData!$C$3:$C$2682,$A12)</f>
        <v>527003</v>
      </c>
      <c r="F14" s="55">
        <f ca="1">SUMIFS(LookupData!E$3:E$2682,LookupData!$A$3:$A$2682,$D$4,LookupData!$B$3:$B$2682,$D$8,LookupData!$C$3:$C$2682,$A12)</f>
        <v>527003</v>
      </c>
      <c r="G14" s="55">
        <f ca="1">SUMIFS(LookupData!F$3:F$2682,LookupData!$A$3:$A$2682,$D$4,LookupData!$B$3:$B$2682,$D$8,LookupData!$C$3:$C$2682,$A12)</f>
        <v>527003</v>
      </c>
      <c r="H14" s="55">
        <f ca="1">SUMIFS(LookupData!G$3:G$2682,LookupData!$A$3:$A$2682,$D$4,LookupData!$B$3:$B$2682,$D$8,LookupData!$C$3:$C$2682,$A12)</f>
        <v>527003</v>
      </c>
      <c r="I14" s="44">
        <v>527003</v>
      </c>
      <c r="J14" s="137"/>
      <c r="K14" s="137"/>
      <c r="L14" s="200"/>
      <c r="M14" s="97" t="s">
        <v>186</v>
      </c>
      <c r="N14" s="82">
        <f>'Circuit Criminal'!I14-'Drug Trafficking'!I14</f>
        <v>734753.2</v>
      </c>
    </row>
    <row r="15" spans="1:14" ht="19.5" customHeight="1" thickTop="1" thickBot="1" x14ac:dyDescent="0.25">
      <c r="A15" s="120"/>
      <c r="B15" s="121"/>
      <c r="C15" s="134" t="s">
        <v>152</v>
      </c>
      <c r="D15" s="135"/>
      <c r="E15" s="71">
        <f ca="1">IFERROR(IF(E14=0,1,ROUND(E13/E14,4)),0)</f>
        <v>4.0000000000000002E-4</v>
      </c>
      <c r="F15" s="77">
        <f t="shared" ref="F15:I15" ca="1" si="0">IFERROR(IF(F14=0,1,ROUND(F13/F14,4)),0)</f>
        <v>5.9999999999999995E-4</v>
      </c>
      <c r="G15" s="77">
        <f t="shared" ca="1" si="0"/>
        <v>5.9999999999999995E-4</v>
      </c>
      <c r="H15" s="77">
        <f t="shared" ca="1" si="0"/>
        <v>5.9999999999999995E-4</v>
      </c>
      <c r="I15" s="78">
        <f t="shared" si="0"/>
        <v>5.9999999999999995E-4</v>
      </c>
      <c r="J15" s="137"/>
      <c r="K15" s="137"/>
      <c r="L15" s="200"/>
      <c r="M15" s="86" t="s">
        <v>187</v>
      </c>
      <c r="N15" s="83">
        <f>IFERROR(N13/N14,1)</f>
        <v>0.16079781619188593</v>
      </c>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87"/>
      <c r="N16" s="84"/>
    </row>
    <row r="17" spans="1:16" ht="20.25" customHeight="1" x14ac:dyDescent="0.2">
      <c r="A17" s="142"/>
      <c r="B17" s="143"/>
      <c r="C17" s="134" t="s">
        <v>150</v>
      </c>
      <c r="D17" s="135"/>
      <c r="E17" s="158"/>
      <c r="F17" s="52">
        <f ca="1">SUMIFS(LookupData!I$3:I$2682,LookupData!$A$3:$A$2682,$D$4,LookupData!$B$3:$B$2682,$D$8,LookupData!$C$3:$C$2682,$A16)</f>
        <v>316</v>
      </c>
      <c r="G17" s="53">
        <f ca="1">SUMIFS(LookupData!J$3:J$2682,LookupData!$A$3:$A$2682,$D$4,LookupData!$B$3:$B$2682,$D$8,LookupData!$C$3:$C$2682,$A16)</f>
        <v>323</v>
      </c>
      <c r="H17" s="53">
        <f ca="1">SUMIFS(LookupData!K$3:K$2682,LookupData!$A$3:$A$2682,$D$4,LookupData!$B$3:$B$2682,$D$8,LookupData!$C$3:$C$2682,$A16)</f>
        <v>323</v>
      </c>
      <c r="I17" s="30">
        <v>323</v>
      </c>
      <c r="J17" s="43">
        <v>372.56</v>
      </c>
      <c r="K17" s="151"/>
      <c r="L17" s="153"/>
      <c r="M17" s="96" t="s">
        <v>185</v>
      </c>
      <c r="N17" s="81">
        <f>'Circuit Criminal'!J17-'Drug Trafficking'!J17</f>
        <v>131973.57</v>
      </c>
    </row>
    <row r="18" spans="1:16" ht="20.25" customHeight="1" thickBot="1" x14ac:dyDescent="0.25">
      <c r="A18" s="142"/>
      <c r="B18" s="143"/>
      <c r="C18" s="134" t="s">
        <v>151</v>
      </c>
      <c r="D18" s="135"/>
      <c r="E18" s="158"/>
      <c r="F18" s="54">
        <f ca="1">SUMIFS(LookupData!D$3:D$2682,LookupData!$A$3:$A$2682,$D$4,LookupData!$B$3:$B$2682,$D$8,LookupData!$C$3:$C$2682,$A16)</f>
        <v>173944.5</v>
      </c>
      <c r="G18" s="55">
        <f ca="1">SUMIFS(LookupData!E$3:E$2682,LookupData!$A$3:$A$2682,$D$4,LookupData!$B$3:$B$2682,$D$8,LookupData!$C$3:$C$2682,$A16)</f>
        <v>173944.5</v>
      </c>
      <c r="H18" s="55">
        <f ca="1">SUMIFS(LookupData!F$3:F$2682,LookupData!$A$3:$A$2682,$D$4,LookupData!$B$3:$B$2682,$D$8,LookupData!$C$3:$C$2682,$A16)</f>
        <v>173844.5</v>
      </c>
      <c r="I18" s="38">
        <v>173844.5</v>
      </c>
      <c r="J18" s="44">
        <v>173844.5</v>
      </c>
      <c r="K18" s="151"/>
      <c r="L18" s="153"/>
      <c r="M18" s="97" t="s">
        <v>186</v>
      </c>
      <c r="N18" s="82">
        <f>'Circuit Criminal'!J18-'Drug Trafficking'!J18</f>
        <v>1113339.95</v>
      </c>
    </row>
    <row r="19" spans="1:16" ht="20.25" customHeight="1" thickTop="1" thickBot="1" x14ac:dyDescent="0.25">
      <c r="A19" s="144"/>
      <c r="B19" s="145"/>
      <c r="C19" s="146" t="s">
        <v>152</v>
      </c>
      <c r="D19" s="147"/>
      <c r="E19" s="159"/>
      <c r="F19" s="73">
        <f ca="1">IFERROR(IF(F18=0,1,ROUND(F17/F18,4)),0)</f>
        <v>1.8E-3</v>
      </c>
      <c r="G19" s="75">
        <f t="shared" ref="G19:I19" ca="1" si="1">IFERROR(IF(G18=0,1,ROUND(G17/G18,4)),0)</f>
        <v>1.9E-3</v>
      </c>
      <c r="H19" s="75">
        <f t="shared" ca="1" si="1"/>
        <v>1.9E-3</v>
      </c>
      <c r="I19" s="75">
        <f t="shared" si="1"/>
        <v>1.9E-3</v>
      </c>
      <c r="J19" s="76">
        <f t="shared" ref="J19" si="2">IFERROR(IF(J18=0,1,ROUND(J17/J18,4)),0)</f>
        <v>2.0999999999999999E-3</v>
      </c>
      <c r="K19" s="154"/>
      <c r="L19" s="156"/>
      <c r="M19" s="86" t="s">
        <v>187</v>
      </c>
      <c r="N19" s="83">
        <f>IFERROR(N17/N18,1)</f>
        <v>0.11853843024316159</v>
      </c>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8"/>
      <c r="M20" s="87"/>
      <c r="N20" s="84"/>
    </row>
    <row r="21" spans="1:16" ht="20.25" customHeight="1" x14ac:dyDescent="0.2">
      <c r="A21" s="118"/>
      <c r="B21" s="119"/>
      <c r="C21" s="134" t="s">
        <v>150</v>
      </c>
      <c r="D21" s="135"/>
      <c r="E21" s="160"/>
      <c r="F21" s="161"/>
      <c r="G21" s="52">
        <f ca="1">SUMIFS(LookupData!I$3:I$2682,LookupData!$A$3:$A$2682,$D$4,LookupData!$B$3:$B$2682,$D$8,LookupData!$C$3:$C$2682,$A20)</f>
        <v>380</v>
      </c>
      <c r="H21" s="53">
        <f ca="1">SUMIFS(LookupData!J$3:J$2682,LookupData!$A$3:$A$2682,$D$4,LookupData!$B$3:$B$2682,$D$8,LookupData!$C$3:$C$2682,$A20)</f>
        <v>400</v>
      </c>
      <c r="I21" s="30">
        <v>400</v>
      </c>
      <c r="J21" s="30">
        <v>400</v>
      </c>
      <c r="K21" s="43"/>
      <c r="L21" s="158"/>
      <c r="M21" s="96" t="s">
        <v>185</v>
      </c>
      <c r="N21" s="81">
        <f>'Circuit Criminal'!K21-'Drug Trafficking'!K21</f>
        <v>0</v>
      </c>
    </row>
    <row r="22" spans="1:16" ht="20.25" customHeight="1" thickBot="1" x14ac:dyDescent="0.25">
      <c r="A22" s="118"/>
      <c r="B22" s="119"/>
      <c r="C22" s="134" t="s">
        <v>151</v>
      </c>
      <c r="D22" s="135"/>
      <c r="E22" s="160"/>
      <c r="F22" s="161"/>
      <c r="G22" s="54">
        <f ca="1">SUMIFS(LookupData!D$3:D$2682,LookupData!$A$3:$A$2682,$D$4,LookupData!$B$3:$B$2682,$D$8,LookupData!$C$3:$C$2682,$A20)</f>
        <v>107661</v>
      </c>
      <c r="H22" s="55">
        <f ca="1">SUMIFS(LookupData!E$3:E$2682,LookupData!$A$3:$A$2682,$D$4,LookupData!$B$3:$B$2682,$D$8,LookupData!$C$3:$C$2682,$A20)</f>
        <v>107661</v>
      </c>
      <c r="I22" s="38">
        <v>107661</v>
      </c>
      <c r="J22" s="38">
        <v>107661</v>
      </c>
      <c r="K22" s="44"/>
      <c r="L22" s="158"/>
      <c r="M22" s="97" t="s">
        <v>186</v>
      </c>
      <c r="N22" s="82">
        <f>'Circuit Criminal'!K22-'Drug Trafficking'!K22</f>
        <v>0</v>
      </c>
    </row>
    <row r="23" spans="1:16" ht="20.25" customHeight="1" thickTop="1" thickBot="1" x14ac:dyDescent="0.25">
      <c r="A23" s="120"/>
      <c r="B23" s="121"/>
      <c r="C23" s="134" t="s">
        <v>152</v>
      </c>
      <c r="D23" s="135"/>
      <c r="E23" s="160"/>
      <c r="F23" s="161"/>
      <c r="G23" s="71">
        <f t="shared" ref="G23:I23" ca="1" si="3">IFERROR(IF(G22=0,1,ROUND(G21/G22,4)),0)</f>
        <v>3.5000000000000001E-3</v>
      </c>
      <c r="H23" s="77">
        <f t="shared" ca="1" si="3"/>
        <v>3.7000000000000002E-3</v>
      </c>
      <c r="I23" s="77">
        <f t="shared" si="3"/>
        <v>3.7000000000000002E-3</v>
      </c>
      <c r="J23" s="77">
        <f t="shared" ref="J23:K23" si="4">IFERROR(IF(J22=0,1,ROUND(J21/J22,4)),0)</f>
        <v>3.7000000000000002E-3</v>
      </c>
      <c r="K23" s="78">
        <f t="shared" si="4"/>
        <v>1</v>
      </c>
      <c r="L23" s="158"/>
      <c r="M23" s="86" t="s">
        <v>187</v>
      </c>
      <c r="N23" s="83">
        <f>IFERROR(N21/N22,1)</f>
        <v>1</v>
      </c>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87"/>
      <c r="N24" s="84"/>
      <c r="O24"/>
      <c r="P24"/>
    </row>
    <row r="25" spans="1:16" ht="20.25" customHeight="1" x14ac:dyDescent="0.2">
      <c r="A25" s="142"/>
      <c r="B25" s="143"/>
      <c r="C25" s="134" t="s">
        <v>150</v>
      </c>
      <c r="D25" s="135"/>
      <c r="E25" s="151"/>
      <c r="F25" s="152"/>
      <c r="G25" s="153"/>
      <c r="H25" s="52">
        <f ca="1">SUMIFS(LookupData!I$3:I$2682,LookupData!$A$3:$A$2682,$D$4,LookupData!$B$3:$B$2682,$D$8,LookupData!$C$3:$C$2682,$A24)</f>
        <v>285</v>
      </c>
      <c r="I25" s="30">
        <v>345</v>
      </c>
      <c r="J25" s="30">
        <v>345</v>
      </c>
      <c r="K25" s="30"/>
      <c r="L25" s="43"/>
      <c r="M25" s="96" t="s">
        <v>185</v>
      </c>
      <c r="N25" s="81">
        <f>'Circuit Criminal'!L25-'Drug Trafficking'!L25</f>
        <v>0</v>
      </c>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267654</v>
      </c>
      <c r="I26" s="38">
        <v>267654</v>
      </c>
      <c r="J26" s="38">
        <v>267654</v>
      </c>
      <c r="K26" s="38"/>
      <c r="L26" s="44"/>
      <c r="M26" s="97" t="s">
        <v>186</v>
      </c>
      <c r="N26" s="82">
        <f>'Circuit Criminal'!L26-'Drug Trafficking'!L26</f>
        <v>0</v>
      </c>
      <c r="O26"/>
      <c r="P26"/>
    </row>
    <row r="27" spans="1:16" ht="20.25" customHeight="1" thickTop="1" thickBot="1" x14ac:dyDescent="0.25">
      <c r="A27" s="144"/>
      <c r="B27" s="145"/>
      <c r="C27" s="146" t="s">
        <v>152</v>
      </c>
      <c r="D27" s="147"/>
      <c r="E27" s="154"/>
      <c r="F27" s="155"/>
      <c r="G27" s="156"/>
      <c r="H27" s="73">
        <f t="shared" ref="H27:I27" ca="1" si="5">IFERROR(IF(H26=0,1,ROUND(H25/H26,4)),0)</f>
        <v>1.1000000000000001E-3</v>
      </c>
      <c r="I27" s="75">
        <f t="shared" si="5"/>
        <v>1.2999999999999999E-3</v>
      </c>
      <c r="J27" s="75">
        <f t="shared" ref="J27:L27" si="6">IFERROR(IF(J26=0,1,ROUND(J25/J26,4)),0)</f>
        <v>1.2999999999999999E-3</v>
      </c>
      <c r="K27" s="75">
        <f t="shared" si="6"/>
        <v>1</v>
      </c>
      <c r="L27" s="76">
        <f t="shared" si="6"/>
        <v>1</v>
      </c>
      <c r="M27" s="88" t="s">
        <v>187</v>
      </c>
      <c r="N27" s="85">
        <f>IFERROR(N25/N26,1)</f>
        <v>1</v>
      </c>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c r="N28"/>
      <c r="O28"/>
      <c r="P28"/>
    </row>
    <row r="29" spans="1:16" ht="20.25" customHeight="1" x14ac:dyDescent="0.2">
      <c r="A29" s="118"/>
      <c r="B29" s="119"/>
      <c r="C29" s="134" t="s">
        <v>150</v>
      </c>
      <c r="D29" s="135"/>
      <c r="E29" s="151"/>
      <c r="F29" s="152"/>
      <c r="G29" s="152"/>
      <c r="H29" s="153"/>
      <c r="I29" s="42">
        <v>247</v>
      </c>
      <c r="J29" s="30">
        <v>247</v>
      </c>
      <c r="K29" s="30"/>
      <c r="L29" s="43"/>
      <c r="M29"/>
      <c r="N29"/>
      <c r="O29"/>
      <c r="P29"/>
    </row>
    <row r="30" spans="1:16" ht="20.25" customHeight="1" thickBot="1" x14ac:dyDescent="0.25">
      <c r="A30" s="118"/>
      <c r="B30" s="119"/>
      <c r="C30" s="134" t="s">
        <v>151</v>
      </c>
      <c r="D30" s="135"/>
      <c r="E30" s="151"/>
      <c r="F30" s="152"/>
      <c r="G30" s="152"/>
      <c r="H30" s="153"/>
      <c r="I30" s="37">
        <v>82148</v>
      </c>
      <c r="J30" s="38">
        <v>32148</v>
      </c>
      <c r="K30" s="38"/>
      <c r="L30" s="44"/>
      <c r="M30"/>
      <c r="N30"/>
      <c r="O30"/>
      <c r="P30"/>
    </row>
    <row r="31" spans="1:16" ht="20.25" customHeight="1" thickTop="1" thickBot="1" x14ac:dyDescent="0.25">
      <c r="A31" s="120"/>
      <c r="B31" s="121"/>
      <c r="C31" s="146" t="s">
        <v>152</v>
      </c>
      <c r="D31" s="147"/>
      <c r="E31" s="154"/>
      <c r="F31" s="155"/>
      <c r="G31" s="155"/>
      <c r="H31" s="156"/>
      <c r="I31" s="73">
        <f t="shared" ref="I31" si="7">IFERROR(IF(I30=0,1,ROUND(I29/I30,4)),0)</f>
        <v>3.0000000000000001E-3</v>
      </c>
      <c r="J31" s="75">
        <f t="shared" ref="J31:L31" si="8">IFERROR(IF(J30=0,1,ROUND(J29/J30,4)),0)</f>
        <v>7.7000000000000002E-3</v>
      </c>
      <c r="K31" s="75">
        <f t="shared" si="8"/>
        <v>1</v>
      </c>
      <c r="L31" s="76">
        <f t="shared" si="8"/>
        <v>1</v>
      </c>
      <c r="M31"/>
      <c r="N31"/>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1" t="s">
        <v>147</v>
      </c>
      <c r="M32"/>
      <c r="N32"/>
      <c r="O32"/>
      <c r="P32"/>
    </row>
    <row r="33" spans="1:16" ht="20.25" customHeight="1" x14ac:dyDescent="0.2">
      <c r="A33" s="142"/>
      <c r="B33" s="143"/>
      <c r="C33" s="134" t="s">
        <v>150</v>
      </c>
      <c r="D33" s="135"/>
      <c r="E33" s="151"/>
      <c r="F33" s="152"/>
      <c r="G33" s="152"/>
      <c r="H33" s="152"/>
      <c r="I33" s="153"/>
      <c r="J33" s="42">
        <v>263</v>
      </c>
      <c r="K33" s="30"/>
      <c r="L33" s="43"/>
      <c r="M33"/>
      <c r="N33"/>
      <c r="O33"/>
      <c r="P33"/>
    </row>
    <row r="34" spans="1:16" ht="20.25" customHeight="1" thickBot="1" x14ac:dyDescent="0.25">
      <c r="A34" s="142"/>
      <c r="B34" s="143"/>
      <c r="C34" s="134" t="s">
        <v>151</v>
      </c>
      <c r="D34" s="135"/>
      <c r="E34" s="151"/>
      <c r="F34" s="152"/>
      <c r="G34" s="152"/>
      <c r="H34" s="152"/>
      <c r="I34" s="153"/>
      <c r="J34" s="37">
        <v>841075</v>
      </c>
      <c r="K34" s="38"/>
      <c r="L34" s="44"/>
      <c r="M34"/>
      <c r="N34"/>
      <c r="O34"/>
      <c r="P34"/>
    </row>
    <row r="35" spans="1:16" ht="20.25" customHeight="1" thickTop="1" thickBot="1" x14ac:dyDescent="0.25">
      <c r="A35" s="144"/>
      <c r="B35" s="145"/>
      <c r="C35" s="146" t="s">
        <v>152</v>
      </c>
      <c r="D35" s="147"/>
      <c r="E35" s="154"/>
      <c r="F35" s="155"/>
      <c r="G35" s="155"/>
      <c r="H35" s="155"/>
      <c r="I35" s="156"/>
      <c r="J35" s="73">
        <f t="shared" ref="J35:L35" si="9">IFERROR(IF(J34=0,1,ROUND(J33/J34,4)),0)</f>
        <v>2.9999999999999997E-4</v>
      </c>
      <c r="K35" s="75">
        <f t="shared" si="9"/>
        <v>1</v>
      </c>
      <c r="L35" s="76">
        <f t="shared" si="9"/>
        <v>1</v>
      </c>
      <c r="M35"/>
      <c r="N35"/>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1" t="s">
        <v>146</v>
      </c>
      <c r="M36"/>
      <c r="N36"/>
      <c r="O36"/>
      <c r="P36"/>
    </row>
    <row r="37" spans="1:16" ht="20.25" customHeight="1" x14ac:dyDescent="0.2">
      <c r="A37" s="118"/>
      <c r="B37" s="119"/>
      <c r="C37" s="134" t="s">
        <v>150</v>
      </c>
      <c r="D37" s="135"/>
      <c r="E37" s="151"/>
      <c r="F37" s="152"/>
      <c r="G37" s="152"/>
      <c r="H37" s="152"/>
      <c r="I37" s="152"/>
      <c r="J37" s="153"/>
      <c r="K37" s="42"/>
      <c r="L37" s="43"/>
      <c r="M37"/>
      <c r="N37"/>
      <c r="O37"/>
      <c r="P37"/>
    </row>
    <row r="38" spans="1:16" ht="20.25" customHeight="1" thickBot="1" x14ac:dyDescent="0.25">
      <c r="A38" s="118"/>
      <c r="B38" s="119"/>
      <c r="C38" s="134" t="s">
        <v>151</v>
      </c>
      <c r="D38" s="135"/>
      <c r="E38" s="151"/>
      <c r="F38" s="152"/>
      <c r="G38" s="152"/>
      <c r="H38" s="152"/>
      <c r="I38" s="152"/>
      <c r="J38" s="153"/>
      <c r="K38" s="37"/>
      <c r="L38" s="44"/>
      <c r="M38"/>
      <c r="N38"/>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6">
        <f t="shared" si="10"/>
        <v>1</v>
      </c>
      <c r="M39"/>
      <c r="N3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45" t="s">
        <v>145</v>
      </c>
      <c r="M40"/>
      <c r="N40"/>
      <c r="O40"/>
      <c r="P40"/>
    </row>
    <row r="41" spans="1:16" ht="20.25" customHeight="1" x14ac:dyDescent="0.2">
      <c r="A41" s="142"/>
      <c r="B41" s="143"/>
      <c r="C41" s="134" t="s">
        <v>150</v>
      </c>
      <c r="D41" s="135"/>
      <c r="E41" s="151"/>
      <c r="F41" s="152"/>
      <c r="G41" s="152"/>
      <c r="H41" s="152"/>
      <c r="I41" s="152"/>
      <c r="J41" s="152"/>
      <c r="K41" s="153"/>
      <c r="L41" s="46"/>
      <c r="M41"/>
      <c r="N41"/>
      <c r="O41"/>
      <c r="P41"/>
    </row>
    <row r="42" spans="1:16" ht="20.25" customHeight="1" thickBot="1" x14ac:dyDescent="0.25">
      <c r="A42" s="142"/>
      <c r="B42" s="143"/>
      <c r="C42" s="134" t="s">
        <v>151</v>
      </c>
      <c r="D42" s="135"/>
      <c r="E42" s="151"/>
      <c r="F42" s="152"/>
      <c r="G42" s="152"/>
      <c r="H42" s="152"/>
      <c r="I42" s="152"/>
      <c r="J42" s="152"/>
      <c r="K42" s="153"/>
      <c r="L42" s="47"/>
      <c r="M42"/>
      <c r="N42"/>
      <c r="O42"/>
      <c r="P42"/>
    </row>
    <row r="43" spans="1:16" ht="20.25" customHeight="1" thickTop="1" thickBot="1" x14ac:dyDescent="0.25">
      <c r="A43" s="144"/>
      <c r="B43" s="145"/>
      <c r="C43" s="146" t="s">
        <v>152</v>
      </c>
      <c r="D43" s="147"/>
      <c r="E43" s="154"/>
      <c r="F43" s="155"/>
      <c r="G43" s="155"/>
      <c r="H43" s="155"/>
      <c r="I43" s="155"/>
      <c r="J43" s="155"/>
      <c r="K43" s="156"/>
      <c r="L43" s="89">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68" t="s">
        <v>162</v>
      </c>
      <c r="C45" s="168"/>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211</v>
      </c>
      <c r="E47" s="107" t="s">
        <v>212</v>
      </c>
      <c r="F47" s="58"/>
      <c r="G47" s="58"/>
      <c r="H47" s="58"/>
      <c r="I47" s="58"/>
      <c r="J47" s="58"/>
      <c r="K47" s="58"/>
      <c r="L47" s="58"/>
      <c r="M47" s="58"/>
      <c r="N47" s="12"/>
    </row>
    <row r="48" spans="1:16" ht="20.25" customHeight="1" x14ac:dyDescent="0.3">
      <c r="C48" s="58"/>
      <c r="D48" s="58" t="s">
        <v>213</v>
      </c>
      <c r="E48" s="58"/>
      <c r="F48" s="58"/>
      <c r="G48" s="58"/>
      <c r="H48" s="58"/>
      <c r="I48" s="58"/>
      <c r="J48" s="58"/>
      <c r="K48" s="58"/>
      <c r="L48" s="58"/>
      <c r="M48" s="58"/>
      <c r="N48" s="12"/>
    </row>
    <row r="49" spans="3:14" ht="20.25" customHeight="1" x14ac:dyDescent="0.3">
      <c r="C49" s="58"/>
      <c r="D49" s="58" t="s">
        <v>214</v>
      </c>
      <c r="F49" s="58"/>
      <c r="G49" s="58"/>
      <c r="H49" s="58"/>
      <c r="I49" s="58"/>
      <c r="J49" s="58"/>
      <c r="K49" s="58"/>
      <c r="L49" s="58"/>
      <c r="M49" s="58"/>
      <c r="N49" s="12"/>
    </row>
    <row r="50" spans="3:14" ht="20.25" customHeight="1" x14ac:dyDescent="0.3">
      <c r="C50" s="58"/>
      <c r="D50" s="58"/>
      <c r="E50" s="58" t="s">
        <v>209</v>
      </c>
      <c r="F50" s="58"/>
      <c r="G50" s="58"/>
      <c r="H50" s="58"/>
      <c r="I50" s="58"/>
      <c r="J50" s="58"/>
      <c r="K50" s="58"/>
      <c r="L50" s="58"/>
      <c r="M50" s="58"/>
      <c r="N50" s="12"/>
    </row>
    <row r="51" spans="3:14" ht="20.25" customHeight="1" x14ac:dyDescent="0.3">
      <c r="C51" s="69"/>
      <c r="D51" s="58"/>
      <c r="E51" s="58" t="s">
        <v>210</v>
      </c>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sbXh2t+uH8IWc/16REIJite6bvfffbzvSatbrlkdZtqcam72gvTUtwDUeArOSDT/D+xumBBV2zvedSqYy3LeQw==" saltValue="S2iFpp7A/HgSNqfdtFi1YA==" spinCount="100000" sheet="1" formatColumns="0" formatRows="0" selectLockedCells="1"/>
  <mergeCells count="62">
    <mergeCell ref="B45:C45"/>
    <mergeCell ref="D45:G45"/>
    <mergeCell ref="H45:K45"/>
    <mergeCell ref="M11:N12"/>
    <mergeCell ref="C40:D40"/>
    <mergeCell ref="E40:K43"/>
    <mergeCell ref="C41:D41"/>
    <mergeCell ref="C42:D42"/>
    <mergeCell ref="C43:D43"/>
    <mergeCell ref="A36:B39"/>
    <mergeCell ref="C36:D36"/>
    <mergeCell ref="E36:J39"/>
    <mergeCell ref="C37:D37"/>
    <mergeCell ref="C38:D38"/>
    <mergeCell ref="C39:D39"/>
    <mergeCell ref="A40:B43"/>
    <mergeCell ref="A32:B35"/>
    <mergeCell ref="C32:D32"/>
    <mergeCell ref="E32:I35"/>
    <mergeCell ref="C33:D33"/>
    <mergeCell ref="C34:D34"/>
    <mergeCell ref="C35:D35"/>
    <mergeCell ref="A28:B31"/>
    <mergeCell ref="C28:D28"/>
    <mergeCell ref="E28:H31"/>
    <mergeCell ref="C29:D29"/>
    <mergeCell ref="C30:D30"/>
    <mergeCell ref="C31:D31"/>
    <mergeCell ref="A24:B27"/>
    <mergeCell ref="C24:D24"/>
    <mergeCell ref="E24:G27"/>
    <mergeCell ref="C25:D25"/>
    <mergeCell ref="C26:D26"/>
    <mergeCell ref="C27:D27"/>
    <mergeCell ref="A20:B23"/>
    <mergeCell ref="C20:D20"/>
    <mergeCell ref="E20:F23"/>
    <mergeCell ref="L20:L23"/>
    <mergeCell ref="C21:D21"/>
    <mergeCell ref="C22:D22"/>
    <mergeCell ref="C23:D23"/>
    <mergeCell ref="K16:L19"/>
    <mergeCell ref="C17:D17"/>
    <mergeCell ref="C18:D18"/>
    <mergeCell ref="C19:D19"/>
    <mergeCell ref="C13:D13"/>
    <mergeCell ref="C14:D14"/>
    <mergeCell ref="C15:D15"/>
    <mergeCell ref="A16:B19"/>
    <mergeCell ref="C16:D16"/>
    <mergeCell ref="E16:E19"/>
    <mergeCell ref="A8:C8"/>
    <mergeCell ref="F8:G8"/>
    <mergeCell ref="M10:N10"/>
    <mergeCell ref="A12:B15"/>
    <mergeCell ref="C12:D12"/>
    <mergeCell ref="J12:L15"/>
    <mergeCell ref="D4:E4"/>
    <mergeCell ref="D5:E5"/>
    <mergeCell ref="D6:E6"/>
    <mergeCell ref="J6:L9"/>
    <mergeCell ref="K4:L5"/>
  </mergeCells>
  <conditionalFormatting sqref="F14:I14">
    <cfRule type="expression" dxfId="166" priority="14">
      <formula>F14&gt;(MIN($E14:E14))</formula>
    </cfRule>
  </conditionalFormatting>
  <conditionalFormatting sqref="F13:I13">
    <cfRule type="expression" dxfId="165" priority="13">
      <formula>F13&lt;(MAX($E13:E13))</formula>
    </cfRule>
  </conditionalFormatting>
  <conditionalFormatting sqref="G17:J17">
    <cfRule type="expression" dxfId="164" priority="12">
      <formula>G17&lt;(MAX($F17:F17))</formula>
    </cfRule>
  </conditionalFormatting>
  <conditionalFormatting sqref="G18:J18">
    <cfRule type="expression" dxfId="163" priority="11">
      <formula>G18&gt;(MIN($F18:F18))</formula>
    </cfRule>
  </conditionalFormatting>
  <conditionalFormatting sqref="H22:K22">
    <cfRule type="expression" dxfId="162" priority="10">
      <formula>H22&gt;(MIN($G22:G22))</formula>
    </cfRule>
  </conditionalFormatting>
  <conditionalFormatting sqref="H21:K21">
    <cfRule type="expression" dxfId="161" priority="9">
      <formula>H21&lt;(MAX($G21:G21))</formula>
    </cfRule>
  </conditionalFormatting>
  <conditionalFormatting sqref="I26:L26">
    <cfRule type="expression" dxfId="160" priority="8">
      <formula>I26&gt;(MIN($H26:H26))</formula>
    </cfRule>
  </conditionalFormatting>
  <conditionalFormatting sqref="I25:L25">
    <cfRule type="expression" dxfId="159" priority="7">
      <formula>I25&lt;(MAX($H25:H25))</formula>
    </cfRule>
  </conditionalFormatting>
  <conditionalFormatting sqref="J30:L30">
    <cfRule type="expression" dxfId="158" priority="6">
      <formula>J30&gt;(MIN($I30:I30))</formula>
    </cfRule>
  </conditionalFormatting>
  <conditionalFormatting sqref="J29:L29">
    <cfRule type="expression" dxfId="157" priority="5">
      <formula>J29&lt;(MAX($I29:I29))</formula>
    </cfRule>
  </conditionalFormatting>
  <conditionalFormatting sqref="K34:L34">
    <cfRule type="expression" dxfId="156" priority="4">
      <formula>K34&gt;(MIN($J34:J34))</formula>
    </cfRule>
  </conditionalFormatting>
  <conditionalFormatting sqref="K33:L33">
    <cfRule type="expression" dxfId="155" priority="3">
      <formula>K33&lt;(MAX($J33:J33))</formula>
    </cfRule>
  </conditionalFormatting>
  <conditionalFormatting sqref="L38">
    <cfRule type="expression" dxfId="154" priority="2">
      <formula>L38&gt;(MIN($G38:K38))</formula>
    </cfRule>
  </conditionalFormatting>
  <conditionalFormatting sqref="L37">
    <cfRule type="expression" dxfId="153"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H6</xm:sqref>
        </x14:dataValidation>
        <x14:dataValidation type="list" allowBlank="1" showInputMessage="1" showErrorMessage="1">
          <x14:formula1>
            <xm:f>LookupData!$U$3:$U$6</xm:f>
          </x14:formula1>
          <xm:sqref>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J35" sqref="J35"/>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County Criminal</v>
      </c>
      <c r="E8" s="10"/>
      <c r="F8" s="130" t="s">
        <v>137</v>
      </c>
      <c r="G8" s="130"/>
      <c r="H8" s="102">
        <f ca="1">INDEX(LookupData!AA3:AA12,MATCH(D8,LookupData!Z3:Z12,0))</f>
        <v>0.4</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t="s">
        <v>155</v>
      </c>
      <c r="N12" s="128" t="s">
        <v>232</v>
      </c>
    </row>
    <row r="13" spans="1:14" ht="19.5" customHeight="1" x14ac:dyDescent="0.2">
      <c r="A13" s="118"/>
      <c r="B13" s="119"/>
      <c r="C13" s="134" t="s">
        <v>150</v>
      </c>
      <c r="D13" s="135"/>
      <c r="E13" s="52">
        <f ca="1">SUMIFS(LookupData!I$3:I$2682,LookupData!$A$3:$A$2682,$D$4,LookupData!$B$3:$B$2682,$D$8,LookupData!$C$3:$C$2682,$A12)</f>
        <v>72813.91</v>
      </c>
      <c r="F13" s="53">
        <f ca="1">SUMIFS(LookupData!J$3:J$2682,LookupData!$A$3:$A$2682,$D$4,LookupData!$B$3:$B$2682,$D$8,LookupData!$C$3:$C$2682,$A12)</f>
        <v>116359.84</v>
      </c>
      <c r="G13" s="53">
        <f ca="1">SUMIFS(LookupData!K$3:K$2682,LookupData!$A$3:$A$2682,$D$4,LookupData!$B$3:$B$2682,$D$8,LookupData!$C$3:$C$2682,$A12)</f>
        <v>152319.07999999999</v>
      </c>
      <c r="H13" s="53">
        <f ca="1">SUMIFS(LookupData!L$3:L$2682,LookupData!$A$3:$A$2682,$D$4,LookupData!$B$3:$B$2682,$D$8,LookupData!$C$3:$C$2682,$A12)</f>
        <v>176221.88</v>
      </c>
      <c r="I13" s="43">
        <v>196752.92</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532791.19999999995</v>
      </c>
      <c r="F14" s="55">
        <f ca="1">SUMIFS(LookupData!E$3:E$2682,LookupData!$A$3:$A$2682,$D$4,LookupData!$B$3:$B$2682,$D$8,LookupData!$C$3:$C$2682,$A12)</f>
        <v>525804.19999999995</v>
      </c>
      <c r="G14" s="55">
        <f ca="1">SUMIFS(LookupData!F$3:F$2682,LookupData!$A$3:$A$2682,$D$4,LookupData!$B$3:$B$2682,$D$8,LookupData!$C$3:$C$2682,$A12)</f>
        <v>524930.19999999995</v>
      </c>
      <c r="H14" s="55">
        <f ca="1">SUMIFS(LookupData!G$3:G$2682,LookupData!$A$3:$A$2682,$D$4,LookupData!$B$3:$B$2682,$D$8,LookupData!$C$3:$C$2682,$A12)</f>
        <v>524511.19999999995</v>
      </c>
      <c r="I14" s="44">
        <v>523845.2</v>
      </c>
      <c r="J14" s="137"/>
      <c r="K14" s="137"/>
      <c r="L14" s="137"/>
      <c r="M14" s="127"/>
      <c r="N14" s="129"/>
    </row>
    <row r="15" spans="1:14" ht="19.5" customHeight="1" thickTop="1" thickBot="1" x14ac:dyDescent="0.25">
      <c r="A15" s="120"/>
      <c r="B15" s="121"/>
      <c r="C15" s="134" t="s">
        <v>152</v>
      </c>
      <c r="D15" s="135"/>
      <c r="E15" s="71">
        <f ca="1">IFERROR(IF(E14=0,1,ROUND(E13/E14,4)),0)</f>
        <v>0.13669999999999999</v>
      </c>
      <c r="F15" s="77">
        <f t="shared" ref="F15:H15" ca="1" si="0">IFERROR(IF(F14=0,1,ROUND(F13/F14,4)),0)</f>
        <v>0.2213</v>
      </c>
      <c r="G15" s="77">
        <f t="shared" ca="1" si="0"/>
        <v>0.29020000000000001</v>
      </c>
      <c r="H15" s="77">
        <f t="shared" ca="1" si="0"/>
        <v>0.33600000000000002</v>
      </c>
      <c r="I15" s="78">
        <f t="shared" ref="I15" si="1">IFERROR(IF(I14=0,1,ROUND(I13/I14,4)),0)</f>
        <v>0.37559999999999999</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89997.52</v>
      </c>
      <c r="G17" s="53">
        <f ca="1">SUMIFS(LookupData!J$3:J$2682,LookupData!$A$3:$A$2682,$D$4,LookupData!$B$3:$B$2682,$D$8,LookupData!$C$3:$C$2682,$A16)</f>
        <v>126916.42</v>
      </c>
      <c r="H17" s="53">
        <f ca="1">SUMIFS(LookupData!K$3:K$2682,LookupData!$A$3:$A$2682,$D$4,LookupData!$B$3:$B$2682,$D$8,LookupData!$C$3:$C$2682,$A16)</f>
        <v>165696.4</v>
      </c>
      <c r="I17" s="30">
        <v>184042.21</v>
      </c>
      <c r="J17" s="43">
        <v>202706.96</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510011.75</v>
      </c>
      <c r="G18" s="55">
        <f ca="1">SUMIFS(LookupData!E$3:E$2682,LookupData!$A$3:$A$2682,$D$4,LookupData!$B$3:$B$2682,$D$8,LookupData!$C$3:$C$2682,$A16)</f>
        <v>503104.25</v>
      </c>
      <c r="H18" s="55">
        <f ca="1">SUMIFS(LookupData!F$3:F$2682,LookupData!$A$3:$A$2682,$D$4,LookupData!$B$3:$B$2682,$D$8,LookupData!$C$3:$C$2682,$A16)</f>
        <v>502056.25</v>
      </c>
      <c r="I18" s="38">
        <v>501756.25</v>
      </c>
      <c r="J18" s="44">
        <v>500833.25</v>
      </c>
      <c r="K18" s="151"/>
      <c r="L18" s="153"/>
      <c r="M18" s="162"/>
      <c r="N18" s="163"/>
    </row>
    <row r="19" spans="1:16" ht="20.25" customHeight="1" thickTop="1" thickBot="1" x14ac:dyDescent="0.25">
      <c r="A19" s="144"/>
      <c r="B19" s="145"/>
      <c r="C19" s="146" t="s">
        <v>152</v>
      </c>
      <c r="D19" s="147"/>
      <c r="E19" s="159"/>
      <c r="F19" s="73">
        <f ca="1">IFERROR(IF(F18=0,1,ROUND(F17/F18,4)),0)</f>
        <v>0.17649999999999999</v>
      </c>
      <c r="G19" s="75">
        <f t="shared" ref="G19:H19" ca="1" si="2">IFERROR(IF(G18=0,1,ROUND(G17/G18,4)),0)</f>
        <v>0.25230000000000002</v>
      </c>
      <c r="H19" s="75">
        <f t="shared" ca="1" si="2"/>
        <v>0.33</v>
      </c>
      <c r="I19" s="75">
        <f t="shared" ref="I19:J19" si="3">IFERROR(IF(I18=0,1,ROUND(I17/I18,4)),0)</f>
        <v>0.36680000000000001</v>
      </c>
      <c r="J19" s="76">
        <f t="shared" si="3"/>
        <v>0.4047</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99655.84</v>
      </c>
      <c r="H21" s="53">
        <f ca="1">SUMIFS(LookupData!J$3:J$2682,LookupData!$A$3:$A$2682,$D$4,LookupData!$B$3:$B$2682,$D$8,LookupData!$C$3:$C$2682,$A20)</f>
        <v>140754.04999999999</v>
      </c>
      <c r="I21" s="30">
        <v>172930.19</v>
      </c>
      <c r="J21" s="30">
        <v>195855.59</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515552.01</v>
      </c>
      <c r="H22" s="55">
        <f ca="1">SUMIFS(LookupData!E$3:E$2682,LookupData!$A$3:$A$2682,$D$4,LookupData!$B$3:$B$2682,$D$8,LookupData!$C$3:$C$2682,$A20)</f>
        <v>508667.98</v>
      </c>
      <c r="I22" s="38">
        <v>507523.98</v>
      </c>
      <c r="J22" s="38">
        <v>506457.98</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0.1933</v>
      </c>
      <c r="H23" s="77">
        <f t="shared" ca="1" si="4"/>
        <v>0.2767</v>
      </c>
      <c r="I23" s="77">
        <f t="shared" ref="I23:K23" si="5">IFERROR(IF(I22=0,1,ROUND(I21/I22,4)),0)</f>
        <v>0.3407</v>
      </c>
      <c r="J23" s="77">
        <f t="shared" si="5"/>
        <v>0.38669999999999999</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71814.600000000006</v>
      </c>
      <c r="I25" s="30">
        <v>100202.23</v>
      </c>
      <c r="J25" s="30">
        <v>130553.95</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470811.1</v>
      </c>
      <c r="I26" s="38">
        <v>464340.1</v>
      </c>
      <c r="J26" s="38">
        <v>462712.1</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0.1525</v>
      </c>
      <c r="I27" s="75">
        <f t="shared" ref="I27:L27" si="7">IFERROR(IF(I26=0,1,ROUND(I25/I26,4)),0)</f>
        <v>0.21579999999999999</v>
      </c>
      <c r="J27" s="75">
        <f t="shared" si="7"/>
        <v>0.28210000000000002</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81175.59</v>
      </c>
      <c r="J29" s="30">
        <v>102201.72</v>
      </c>
      <c r="K29" s="30"/>
      <c r="L29" s="43"/>
      <c r="M29" s="160"/>
      <c r="N29" s="194"/>
      <c r="O29"/>
      <c r="P29"/>
    </row>
    <row r="30" spans="1:16" ht="20.25" customHeight="1" thickBot="1" x14ac:dyDescent="0.25">
      <c r="A30" s="118"/>
      <c r="B30" s="119"/>
      <c r="C30" s="134" t="s">
        <v>151</v>
      </c>
      <c r="D30" s="135"/>
      <c r="E30" s="151"/>
      <c r="F30" s="152"/>
      <c r="G30" s="152"/>
      <c r="H30" s="153"/>
      <c r="I30" s="37">
        <v>437097.7</v>
      </c>
      <c r="J30" s="38">
        <v>432292.2</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0.1857</v>
      </c>
      <c r="J31" s="75">
        <f t="shared" si="8"/>
        <v>0.2364</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77127.429999999993</v>
      </c>
      <c r="K33" s="30"/>
      <c r="L33" s="48"/>
      <c r="M33" s="184"/>
      <c r="N33" s="185"/>
      <c r="O33"/>
      <c r="P33"/>
    </row>
    <row r="34" spans="1:16" ht="20.25" customHeight="1" thickBot="1" x14ac:dyDescent="0.25">
      <c r="A34" s="142"/>
      <c r="B34" s="143"/>
      <c r="C34" s="134" t="s">
        <v>151</v>
      </c>
      <c r="D34" s="135"/>
      <c r="E34" s="151"/>
      <c r="F34" s="152"/>
      <c r="G34" s="152"/>
      <c r="H34" s="152"/>
      <c r="I34" s="153"/>
      <c r="J34" s="37">
        <v>439055.9</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0.1757</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53.25" customHeight="1" x14ac:dyDescent="0.3">
      <c r="B45" s="168" t="s">
        <v>162</v>
      </c>
      <c r="C45" s="168"/>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KUx1kGmm7yZIG96oeOcTZLJv0qUiMNmjNeerQwio0H10f8gT032FmGNkunMotSLR5j5cEKajwRKOcyzc3WhTcQ==" saltValue="FXWHpM+TXh73sKyLZAT9TQ==" spinCount="100000" sheet="1" formatColumns="0" formatRows="0"/>
  <mergeCells count="81">
    <mergeCell ref="D45:G45"/>
    <mergeCell ref="H45:K45"/>
    <mergeCell ref="B45:C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52" priority="25">
      <formula>F14&gt;(MIN($E14:E14))</formula>
    </cfRule>
  </conditionalFormatting>
  <conditionalFormatting sqref="F13:I13">
    <cfRule type="expression" dxfId="151" priority="24">
      <formula>F13&lt;(MAX($E13:E13))</formula>
    </cfRule>
  </conditionalFormatting>
  <conditionalFormatting sqref="G17:J17">
    <cfRule type="expression" dxfId="150" priority="23">
      <formula>G17&lt;(MAX($F17:F17))</formula>
    </cfRule>
  </conditionalFormatting>
  <conditionalFormatting sqref="G18:J18">
    <cfRule type="expression" dxfId="149" priority="22">
      <formula>G18&gt;(MIN($F18:F18))</formula>
    </cfRule>
  </conditionalFormatting>
  <conditionalFormatting sqref="H22:K22">
    <cfRule type="expression" dxfId="148" priority="21">
      <formula>H22&gt;(MIN($G22:G22))</formula>
    </cfRule>
  </conditionalFormatting>
  <conditionalFormatting sqref="H21:K21">
    <cfRule type="expression" dxfId="147" priority="20">
      <formula>H21&lt;(MAX($G21:G21))</formula>
    </cfRule>
  </conditionalFormatting>
  <conditionalFormatting sqref="I26:L26">
    <cfRule type="expression" dxfId="146" priority="19">
      <formula>I26&gt;(MIN($H26:H26))</formula>
    </cfRule>
  </conditionalFormatting>
  <conditionalFormatting sqref="I25:L25">
    <cfRule type="expression" dxfId="145" priority="18">
      <formula>I25&lt;(MAX($H25:H25))</formula>
    </cfRule>
  </conditionalFormatting>
  <conditionalFormatting sqref="J30:L30">
    <cfRule type="expression" dxfId="144" priority="17">
      <formula>J30&gt;(MIN($I30:I30))</formula>
    </cfRule>
  </conditionalFormatting>
  <conditionalFormatting sqref="J29:L29">
    <cfRule type="expression" dxfId="143" priority="16">
      <formula>J29&lt;(MAX($I29:I29))</formula>
    </cfRule>
  </conditionalFormatting>
  <conditionalFormatting sqref="K34:L34">
    <cfRule type="expression" dxfId="142" priority="15">
      <formula>K34&gt;(MIN($J34:J34))</formula>
    </cfRule>
  </conditionalFormatting>
  <conditionalFormatting sqref="K33:L33">
    <cfRule type="expression" dxfId="141" priority="14">
      <formula>K33&lt;(MAX($J33:J33))</formula>
    </cfRule>
  </conditionalFormatting>
  <conditionalFormatting sqref="L38">
    <cfRule type="expression" dxfId="140" priority="13">
      <formula>L38&gt;(MIN($G38:K38))</formula>
    </cfRule>
  </conditionalFormatting>
  <conditionalFormatting sqref="L37">
    <cfRule type="expression" dxfId="139" priority="12">
      <formula>L37&lt;(MAX($K37:K37))</formula>
    </cfRule>
  </conditionalFormatting>
  <conditionalFormatting sqref="I15 J19 K23 L27">
    <cfRule type="expression" dxfId="138" priority="11">
      <formula>I15&lt;$H$8</formula>
    </cfRule>
  </conditionalFormatting>
  <conditionalFormatting sqref="M16:N19">
    <cfRule type="expression" dxfId="137" priority="5">
      <formula>$J$19&lt;$H$8</formula>
    </cfRule>
  </conditionalFormatting>
  <conditionalFormatting sqref="M20:N23">
    <cfRule type="expression" dxfId="136" priority="4">
      <formula>$K$23&lt;$H$8</formula>
    </cfRule>
  </conditionalFormatting>
  <conditionalFormatting sqref="M24:N27">
    <cfRule type="expression" dxfId="135" priority="3">
      <formula>$L$27&lt;$H$8</formula>
    </cfRule>
  </conditionalFormatting>
  <conditionalFormatting sqref="M12:M15">
    <cfRule type="expression" dxfId="134" priority="2">
      <formula>$I$15&lt;$H$8</formula>
    </cfRule>
  </conditionalFormatting>
  <conditionalFormatting sqref="N12:N15">
    <cfRule type="expression" dxfId="133"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N20" sqref="N20:N23"/>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Juvenile Delinquency</v>
      </c>
      <c r="E8" s="10"/>
      <c r="F8" s="130" t="s">
        <v>137</v>
      </c>
      <c r="G8" s="130"/>
      <c r="H8" s="102">
        <f ca="1">INDEX(LookupData!AA3:AA12,MATCH(D8,LookupData!Z3:Z12,0))</f>
        <v>0.09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t="s">
        <v>155</v>
      </c>
      <c r="N12" s="128" t="s">
        <v>233</v>
      </c>
    </row>
    <row r="13" spans="1:14" ht="19.5" customHeight="1" x14ac:dyDescent="0.2">
      <c r="A13" s="118"/>
      <c r="B13" s="119"/>
      <c r="C13" s="134" t="s">
        <v>150</v>
      </c>
      <c r="D13" s="135"/>
      <c r="E13" s="52">
        <f ca="1">SUMIFS(LookupData!I$3:I$2682,LookupData!$A$3:$A$2682,$D$4,LookupData!$B$3:$B$2682,$D$8,LookupData!$C$3:$C$2682,$A12)</f>
        <v>1043.0999999999999</v>
      </c>
      <c r="F13" s="53">
        <f ca="1">SUMIFS(LookupData!J$3:J$2682,LookupData!$A$3:$A$2682,$D$4,LookupData!$B$3:$B$2682,$D$8,LookupData!$C$3:$C$2682,$A12)</f>
        <v>1393.1</v>
      </c>
      <c r="G13" s="53">
        <f ca="1">SUMIFS(LookupData!K$3:K$2682,LookupData!$A$3:$A$2682,$D$4,LookupData!$B$3:$B$2682,$D$8,LookupData!$C$3:$C$2682,$A12)</f>
        <v>1481.1</v>
      </c>
      <c r="H13" s="53">
        <f ca="1">SUMIFS(LookupData!L$3:L$2682,LookupData!$A$3:$A$2682,$D$4,LookupData!$B$3:$B$2682,$D$8,LookupData!$C$3:$C$2682,$A12)</f>
        <v>1481.1</v>
      </c>
      <c r="I13" s="43">
        <v>1606.1</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25844.1</v>
      </c>
      <c r="F14" s="55">
        <f ca="1">SUMIFS(LookupData!E$3:E$2682,LookupData!$A$3:$A$2682,$D$4,LookupData!$B$3:$B$2682,$D$8,LookupData!$C$3:$C$2682,$A12)</f>
        <v>24744.1</v>
      </c>
      <c r="G14" s="55">
        <f ca="1">SUMIFS(LookupData!F$3:F$2682,LookupData!$A$3:$A$2682,$D$4,LookupData!$B$3:$B$2682,$D$8,LookupData!$C$3:$C$2682,$A12)</f>
        <v>24394.1</v>
      </c>
      <c r="H14" s="55">
        <f ca="1">SUMIFS(LookupData!G$3:G$2682,LookupData!$A$3:$A$2682,$D$4,LookupData!$B$3:$B$2682,$D$8,LookupData!$C$3:$C$2682,$A12)</f>
        <v>24194.1</v>
      </c>
      <c r="I14" s="44">
        <v>24144.1</v>
      </c>
      <c r="J14" s="137"/>
      <c r="K14" s="137"/>
      <c r="L14" s="137"/>
      <c r="M14" s="127"/>
      <c r="N14" s="129"/>
    </row>
    <row r="15" spans="1:14" ht="19.5" customHeight="1" thickTop="1" thickBot="1" x14ac:dyDescent="0.25">
      <c r="A15" s="120"/>
      <c r="B15" s="121"/>
      <c r="C15" s="134" t="s">
        <v>152</v>
      </c>
      <c r="D15" s="135"/>
      <c r="E15" s="71">
        <f ca="1">IFERROR(IF(E14=0,1,ROUND(E13/E14,4)),0)</f>
        <v>4.0399999999999998E-2</v>
      </c>
      <c r="F15" s="77">
        <f t="shared" ref="F15:H15" ca="1" si="0">IFERROR(IF(F14=0,1,ROUND(F13/F14,4)),0)</f>
        <v>5.6300000000000003E-2</v>
      </c>
      <c r="G15" s="77">
        <f t="shared" ca="1" si="0"/>
        <v>6.0699999999999997E-2</v>
      </c>
      <c r="H15" s="77">
        <f t="shared" ca="1" si="0"/>
        <v>6.1199999999999997E-2</v>
      </c>
      <c r="I15" s="78">
        <f t="shared" ref="I15" si="1">IFERROR(IF(I14=0,1,ROUND(I13/I14,4)),0)</f>
        <v>6.6500000000000004E-2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t="s">
        <v>156</v>
      </c>
      <c r="N16" s="163" t="s">
        <v>234</v>
      </c>
    </row>
    <row r="17" spans="1:16" ht="20.25" customHeight="1" x14ac:dyDescent="0.2">
      <c r="A17" s="142"/>
      <c r="B17" s="143"/>
      <c r="C17" s="134" t="s">
        <v>150</v>
      </c>
      <c r="D17" s="135"/>
      <c r="E17" s="158"/>
      <c r="F17" s="52">
        <f ca="1">SUMIFS(LookupData!I$3:I$2682,LookupData!$A$3:$A$2682,$D$4,LookupData!$B$3:$B$2682,$D$8,LookupData!$C$3:$C$2682,$A16)</f>
        <v>792.9</v>
      </c>
      <c r="G17" s="53">
        <f ca="1">SUMIFS(LookupData!J$3:J$2682,LookupData!$A$3:$A$2682,$D$4,LookupData!$B$3:$B$2682,$D$8,LookupData!$C$3:$C$2682,$A16)</f>
        <v>892.9</v>
      </c>
      <c r="H17" s="53">
        <f ca="1">SUMIFS(LookupData!K$3:K$2682,LookupData!$A$3:$A$2682,$D$4,LookupData!$B$3:$B$2682,$D$8,LookupData!$C$3:$C$2682,$A16)</f>
        <v>1042.9000000000001</v>
      </c>
      <c r="I17" s="30">
        <v>1042.9000000000001</v>
      </c>
      <c r="J17" s="43">
        <v>1152.9000000000001</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21028.9</v>
      </c>
      <c r="G18" s="55">
        <f ca="1">SUMIFS(LookupData!E$3:E$2682,LookupData!$A$3:$A$2682,$D$4,LookupData!$B$3:$B$2682,$D$8,LookupData!$C$3:$C$2682,$A16)</f>
        <v>19478.900000000001</v>
      </c>
      <c r="H18" s="55">
        <f ca="1">SUMIFS(LookupData!F$3:F$2682,LookupData!$A$3:$A$2682,$D$4,LookupData!$B$3:$B$2682,$D$8,LookupData!$C$3:$C$2682,$A16)</f>
        <v>19278.900000000001</v>
      </c>
      <c r="I18" s="38">
        <v>19178.900000000001</v>
      </c>
      <c r="J18" s="44">
        <v>19128.900000000001</v>
      </c>
      <c r="K18" s="151"/>
      <c r="L18" s="153"/>
      <c r="M18" s="162"/>
      <c r="N18" s="163"/>
    </row>
    <row r="19" spans="1:16" ht="20.25" customHeight="1" thickTop="1" thickBot="1" x14ac:dyDescent="0.25">
      <c r="A19" s="144"/>
      <c r="B19" s="145"/>
      <c r="C19" s="146" t="s">
        <v>152</v>
      </c>
      <c r="D19" s="147"/>
      <c r="E19" s="159"/>
      <c r="F19" s="73">
        <f ca="1">IFERROR(IF(F18=0,1,ROUND(F17/F18,4)),0)</f>
        <v>3.7699999999999997E-2</v>
      </c>
      <c r="G19" s="75">
        <f t="shared" ref="G19:H19" ca="1" si="2">IFERROR(IF(G18=0,1,ROUND(G17/G18,4)),0)</f>
        <v>4.58E-2</v>
      </c>
      <c r="H19" s="75">
        <f t="shared" ca="1" si="2"/>
        <v>5.4100000000000002E-2</v>
      </c>
      <c r="I19" s="75">
        <f t="shared" ref="I19:J19" si="3">IFERROR(IF(I18=0,1,ROUND(I17/I18,4)),0)</f>
        <v>5.4399999999999997E-2</v>
      </c>
      <c r="J19" s="76">
        <f t="shared" si="3"/>
        <v>6.0299999999999999E-2</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539.65</v>
      </c>
      <c r="H21" s="53">
        <f ca="1">SUMIFS(LookupData!J$3:J$2682,LookupData!$A$3:$A$2682,$D$4,LookupData!$B$3:$B$2682,$D$8,LookupData!$C$3:$C$2682,$A20)</f>
        <v>739.65</v>
      </c>
      <c r="I21" s="30">
        <v>889.65</v>
      </c>
      <c r="J21" s="30">
        <v>1070.1500000000001</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33640.65</v>
      </c>
      <c r="H22" s="55">
        <f ca="1">SUMIFS(LookupData!E$3:E$2682,LookupData!$A$3:$A$2682,$D$4,LookupData!$B$3:$B$2682,$D$8,LookupData!$C$3:$C$2682,$A20)</f>
        <v>33090.65</v>
      </c>
      <c r="I22" s="38">
        <v>32540.65</v>
      </c>
      <c r="J22" s="38">
        <v>32190.65</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1.6E-2</v>
      </c>
      <c r="H23" s="77">
        <f t="shared" ca="1" si="4"/>
        <v>2.24E-2</v>
      </c>
      <c r="I23" s="77">
        <f t="shared" ref="I23:K23" si="5">IFERROR(IF(I22=0,1,ROUND(I21/I22,4)),0)</f>
        <v>2.7300000000000001E-2</v>
      </c>
      <c r="J23" s="77">
        <f t="shared" si="5"/>
        <v>3.32E-2</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737.75</v>
      </c>
      <c r="I25" s="30">
        <v>887.75</v>
      </c>
      <c r="J25" s="30">
        <v>962.75</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29353.25</v>
      </c>
      <c r="I26" s="38">
        <v>28753.25</v>
      </c>
      <c r="J26" s="38">
        <v>28303.25</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2.5100000000000001E-2</v>
      </c>
      <c r="I27" s="75">
        <f t="shared" ref="I27:L27" si="7">IFERROR(IF(I26=0,1,ROUND(I25/I26,4)),0)</f>
        <v>3.09E-2</v>
      </c>
      <c r="J27" s="75">
        <f t="shared" si="7"/>
        <v>3.4000000000000002E-2</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550.54999999999995</v>
      </c>
      <c r="J29" s="30">
        <v>657.55</v>
      </c>
      <c r="K29" s="30"/>
      <c r="L29" s="43"/>
      <c r="M29" s="160"/>
      <c r="N29" s="194"/>
      <c r="O29"/>
      <c r="P29"/>
    </row>
    <row r="30" spans="1:16" ht="20.25" customHeight="1" thickBot="1" x14ac:dyDescent="0.25">
      <c r="A30" s="118"/>
      <c r="B30" s="119"/>
      <c r="C30" s="134" t="s">
        <v>151</v>
      </c>
      <c r="D30" s="135"/>
      <c r="E30" s="151"/>
      <c r="F30" s="152"/>
      <c r="G30" s="152"/>
      <c r="H30" s="153"/>
      <c r="I30" s="37">
        <v>28571.05</v>
      </c>
      <c r="J30" s="38">
        <v>27971.05</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1.9300000000000001E-2</v>
      </c>
      <c r="J31" s="75">
        <f t="shared" si="8"/>
        <v>2.35E-2</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901.2</v>
      </c>
      <c r="K33" s="30"/>
      <c r="L33" s="48"/>
      <c r="M33" s="184"/>
      <c r="N33" s="185"/>
      <c r="O33"/>
      <c r="P33"/>
    </row>
    <row r="34" spans="1:16" ht="20.25" customHeight="1" thickBot="1" x14ac:dyDescent="0.25">
      <c r="A34" s="142"/>
      <c r="B34" s="143"/>
      <c r="C34" s="134" t="s">
        <v>151</v>
      </c>
      <c r="D34" s="135"/>
      <c r="E34" s="151"/>
      <c r="F34" s="152"/>
      <c r="G34" s="152"/>
      <c r="H34" s="152"/>
      <c r="I34" s="153"/>
      <c r="J34" s="37">
        <v>24149.200000000001</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3.73E-2</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5hVwYUIHeNYCGwH039sARoCAmHPxmZ6Ba42TPbJHGm1L6SLx3EPP19HsDHrHmuCUGxkRdOHJa9C7QSeWKrJ0OQ==" saltValue="1jsZVSq+uOZ8lmFXw50P1g=="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32" priority="24">
      <formula>F14&gt;(MIN($E14:E14))</formula>
    </cfRule>
  </conditionalFormatting>
  <conditionalFormatting sqref="F13:I13">
    <cfRule type="expression" dxfId="131" priority="23">
      <formula>F13&lt;(MAX($E13:E13))</formula>
    </cfRule>
  </conditionalFormatting>
  <conditionalFormatting sqref="G17:J17">
    <cfRule type="expression" dxfId="130" priority="22">
      <formula>G17&lt;(MAX($F17:F17))</formula>
    </cfRule>
  </conditionalFormatting>
  <conditionalFormatting sqref="G18:J18">
    <cfRule type="expression" dxfId="129" priority="21">
      <formula>G18&gt;(MIN($F18:F18))</formula>
    </cfRule>
  </conditionalFormatting>
  <conditionalFormatting sqref="H22:K22">
    <cfRule type="expression" dxfId="128" priority="20">
      <formula>H22&gt;(MIN($G22:G22))</formula>
    </cfRule>
  </conditionalFormatting>
  <conditionalFormatting sqref="H21:K21">
    <cfRule type="expression" dxfId="127" priority="19">
      <formula>H21&lt;(MAX($G21:G21))</formula>
    </cfRule>
  </conditionalFormatting>
  <conditionalFormatting sqref="I26:L26">
    <cfRule type="expression" dxfId="126" priority="18">
      <formula>I26&gt;(MIN($H26:H26))</formula>
    </cfRule>
  </conditionalFormatting>
  <conditionalFormatting sqref="I25:L25">
    <cfRule type="expression" dxfId="125" priority="17">
      <formula>I25&lt;(MAX($H25:H25))</formula>
    </cfRule>
  </conditionalFormatting>
  <conditionalFormatting sqref="J30:L30">
    <cfRule type="expression" dxfId="124" priority="16">
      <formula>J30&gt;(MIN($I30:I30))</formula>
    </cfRule>
  </conditionalFormatting>
  <conditionalFormatting sqref="J29:L29">
    <cfRule type="expression" dxfId="123" priority="15">
      <formula>J29&lt;(MAX($I29:I29))</formula>
    </cfRule>
  </conditionalFormatting>
  <conditionalFormatting sqref="K34:L34">
    <cfRule type="expression" dxfId="122" priority="14">
      <formula>K34&gt;(MIN($J34:J34))</formula>
    </cfRule>
  </conditionalFormatting>
  <conditionalFormatting sqref="K33:L33">
    <cfRule type="expression" dxfId="121" priority="13">
      <formula>K33&lt;(MAX($J33:J33))</formula>
    </cfRule>
  </conditionalFormatting>
  <conditionalFormatting sqref="L38">
    <cfRule type="expression" dxfId="120" priority="12">
      <formula>L38&gt;(MIN($G38:K38))</formula>
    </cfRule>
  </conditionalFormatting>
  <conditionalFormatting sqref="L37">
    <cfRule type="expression" dxfId="119" priority="11">
      <formula>L37&lt;(MAX($K37:K37))</formula>
    </cfRule>
  </conditionalFormatting>
  <conditionalFormatting sqref="I15 J19 K23 L27">
    <cfRule type="expression" dxfId="118" priority="10">
      <formula>I15&lt;$H$8</formula>
    </cfRule>
  </conditionalFormatting>
  <conditionalFormatting sqref="M16:N19">
    <cfRule type="expression" dxfId="117" priority="4">
      <formula>$J$19&lt;$H$8</formula>
    </cfRule>
  </conditionalFormatting>
  <conditionalFormatting sqref="M20:N23">
    <cfRule type="expression" dxfId="116" priority="3">
      <formula>$K$23&lt;$H$8</formula>
    </cfRule>
  </conditionalFormatting>
  <conditionalFormatting sqref="M24:N27">
    <cfRule type="expression" dxfId="115" priority="2">
      <formula>$L$27&lt;$H$8</formula>
    </cfRule>
  </conditionalFormatting>
  <conditionalFormatting sqref="M12:N15">
    <cfRule type="expression" dxfId="114"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Criminal Traffic</v>
      </c>
      <c r="E8" s="10"/>
      <c r="F8" s="130" t="s">
        <v>137</v>
      </c>
      <c r="G8" s="130"/>
      <c r="H8" s="102">
        <f ca="1">INDEX(LookupData!AA3:AA12,MATCH(D8,LookupData!Z3:Z12,0))</f>
        <v>0.4</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120599.44</v>
      </c>
      <c r="F13" s="53">
        <f ca="1">SUMIFS(LookupData!J$3:J$2682,LookupData!$A$3:$A$2682,$D$4,LookupData!$B$3:$B$2682,$D$8,LookupData!$C$3:$C$2682,$A12)</f>
        <v>194386.76</v>
      </c>
      <c r="G13" s="53">
        <f ca="1">SUMIFS(LookupData!K$3:K$2682,LookupData!$A$3:$A$2682,$D$4,LookupData!$B$3:$B$2682,$D$8,LookupData!$C$3:$C$2682,$A12)</f>
        <v>250781.63</v>
      </c>
      <c r="H13" s="53">
        <f ca="1">SUMIFS(LookupData!L$3:L$2682,LookupData!$A$3:$A$2682,$D$4,LookupData!$B$3:$B$2682,$D$8,LookupData!$C$3:$C$2682,$A12)</f>
        <v>300520.56</v>
      </c>
      <c r="I13" s="43">
        <v>336657.72</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606334.75</v>
      </c>
      <c r="F14" s="55">
        <f ca="1">SUMIFS(LookupData!E$3:E$2682,LookupData!$A$3:$A$2682,$D$4,LookupData!$B$3:$B$2682,$D$8,LookupData!$C$3:$C$2682,$A12)</f>
        <v>598148.75</v>
      </c>
      <c r="G14" s="55">
        <f ca="1">SUMIFS(LookupData!F$3:F$2682,LookupData!$A$3:$A$2682,$D$4,LookupData!$B$3:$B$2682,$D$8,LookupData!$C$3:$C$2682,$A12)</f>
        <v>589879.25</v>
      </c>
      <c r="H14" s="55">
        <f ca="1">SUMIFS(LookupData!G$3:G$2682,LookupData!$A$3:$A$2682,$D$4,LookupData!$B$3:$B$2682,$D$8,LookupData!$C$3:$C$2682,$A12)</f>
        <v>587018.25</v>
      </c>
      <c r="I14" s="44">
        <v>586899.25</v>
      </c>
      <c r="J14" s="137"/>
      <c r="K14" s="137"/>
      <c r="L14" s="137"/>
      <c r="M14" s="127"/>
      <c r="N14" s="129"/>
    </row>
    <row r="15" spans="1:14" ht="19.5" customHeight="1" thickTop="1" thickBot="1" x14ac:dyDescent="0.25">
      <c r="A15" s="120"/>
      <c r="B15" s="121"/>
      <c r="C15" s="134" t="s">
        <v>152</v>
      </c>
      <c r="D15" s="135"/>
      <c r="E15" s="71">
        <f ca="1">IFERROR(IF(E14=0,1,ROUND(E13/E14,4)),0)</f>
        <v>0.19889999999999999</v>
      </c>
      <c r="F15" s="77">
        <f t="shared" ref="F15:H15" ca="1" si="0">IFERROR(IF(F14=0,1,ROUND(F13/F14,4)),0)</f>
        <v>0.32500000000000001</v>
      </c>
      <c r="G15" s="77">
        <f t="shared" ca="1" si="0"/>
        <v>0.42509999999999998</v>
      </c>
      <c r="H15" s="77">
        <f t="shared" ca="1" si="0"/>
        <v>0.51190000000000002</v>
      </c>
      <c r="I15" s="78">
        <f t="shared" ref="I15" si="1">IFERROR(IF(I14=0,1,ROUND(I13/I14,4)),0)</f>
        <v>0.5736</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146834.54999999999</v>
      </c>
      <c r="G17" s="53">
        <f ca="1">SUMIFS(LookupData!J$3:J$2682,LookupData!$A$3:$A$2682,$D$4,LookupData!$B$3:$B$2682,$D$8,LookupData!$C$3:$C$2682,$A16)</f>
        <v>200797.26</v>
      </c>
      <c r="H17" s="53">
        <f ca="1">SUMIFS(LookupData!K$3:K$2682,LookupData!$A$3:$A$2682,$D$4,LookupData!$B$3:$B$2682,$D$8,LookupData!$C$3:$C$2682,$A16)</f>
        <v>250570.39</v>
      </c>
      <c r="I17" s="30">
        <v>288441.90999999997</v>
      </c>
      <c r="J17" s="43">
        <v>319930.45</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606610.9</v>
      </c>
      <c r="G18" s="55">
        <f ca="1">SUMIFS(LookupData!E$3:E$2682,LookupData!$A$3:$A$2682,$D$4,LookupData!$B$3:$B$2682,$D$8,LookupData!$C$3:$C$2682,$A16)</f>
        <v>600360.9</v>
      </c>
      <c r="H18" s="55">
        <f ca="1">SUMIFS(LookupData!F$3:F$2682,LookupData!$A$3:$A$2682,$D$4,LookupData!$B$3:$B$2682,$D$8,LookupData!$C$3:$C$2682,$A16)</f>
        <v>591196.9</v>
      </c>
      <c r="I18" s="38">
        <v>589482.9</v>
      </c>
      <c r="J18" s="44">
        <v>588787.9</v>
      </c>
      <c r="K18" s="151"/>
      <c r="L18" s="153"/>
      <c r="M18" s="162"/>
      <c r="N18" s="163"/>
    </row>
    <row r="19" spans="1:16" ht="20.25" customHeight="1" thickTop="1" thickBot="1" x14ac:dyDescent="0.25">
      <c r="A19" s="144"/>
      <c r="B19" s="145"/>
      <c r="C19" s="146" t="s">
        <v>152</v>
      </c>
      <c r="D19" s="147"/>
      <c r="E19" s="159"/>
      <c r="F19" s="73">
        <f ca="1">IFERROR(IF(F18=0,1,ROUND(F17/F18,4)),0)</f>
        <v>0.24210000000000001</v>
      </c>
      <c r="G19" s="75">
        <f t="shared" ref="G19:H19" ca="1" si="2">IFERROR(IF(G18=0,1,ROUND(G17/G18,4)),0)</f>
        <v>0.33450000000000002</v>
      </c>
      <c r="H19" s="75">
        <f t="shared" ca="1" si="2"/>
        <v>0.42380000000000001</v>
      </c>
      <c r="I19" s="75">
        <f t="shared" ref="I19:J19" si="3">IFERROR(IF(I18=0,1,ROUND(I17/I18,4)),0)</f>
        <v>0.48930000000000001</v>
      </c>
      <c r="J19" s="76">
        <f t="shared" si="3"/>
        <v>0.54339999999999999</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140868.96</v>
      </c>
      <c r="H21" s="53">
        <f ca="1">SUMIFS(LookupData!J$3:J$2682,LookupData!$A$3:$A$2682,$D$4,LookupData!$B$3:$B$2682,$D$8,LookupData!$C$3:$C$2682,$A20)</f>
        <v>211901.61</v>
      </c>
      <c r="I21" s="30">
        <v>264930.24</v>
      </c>
      <c r="J21" s="30">
        <v>326064.19</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674003.75</v>
      </c>
      <c r="H22" s="55">
        <f ca="1">SUMIFS(LookupData!E$3:E$2682,LookupData!$A$3:$A$2682,$D$4,LookupData!$B$3:$B$2682,$D$8,LookupData!$C$3:$C$2682,$A20)</f>
        <v>663969.35</v>
      </c>
      <c r="I22" s="38">
        <v>654882.35</v>
      </c>
      <c r="J22" s="38">
        <v>652781.35</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0.20899999999999999</v>
      </c>
      <c r="H23" s="77">
        <f t="shared" ca="1" si="4"/>
        <v>0.31909999999999999</v>
      </c>
      <c r="I23" s="77">
        <f t="shared" ref="I23:K23" si="5">IFERROR(IF(I22=0,1,ROUND(I21/I22,4)),0)</f>
        <v>0.40450000000000003</v>
      </c>
      <c r="J23" s="77">
        <f t="shared" si="5"/>
        <v>0.4995</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99793.45</v>
      </c>
      <c r="I25" s="30">
        <v>154986.21</v>
      </c>
      <c r="J25" s="30">
        <v>210466.67</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574968.30000000005</v>
      </c>
      <c r="I26" s="38">
        <v>568105.69999999995</v>
      </c>
      <c r="J26" s="38">
        <v>560139.69999999995</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0.1736</v>
      </c>
      <c r="I27" s="75">
        <f t="shared" ref="I27:L27" si="7">IFERROR(IF(I26=0,1,ROUND(I25/I26,4)),0)</f>
        <v>0.27279999999999999</v>
      </c>
      <c r="J27" s="75">
        <f t="shared" si="7"/>
        <v>0.37569999999999998</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119041.13</v>
      </c>
      <c r="J29" s="30">
        <v>180912.42</v>
      </c>
      <c r="K29" s="30"/>
      <c r="L29" s="43"/>
      <c r="M29" s="160"/>
      <c r="N29" s="194"/>
      <c r="O29"/>
      <c r="P29"/>
    </row>
    <row r="30" spans="1:16" ht="20.25" customHeight="1" thickBot="1" x14ac:dyDescent="0.25">
      <c r="A30" s="118"/>
      <c r="B30" s="119"/>
      <c r="C30" s="134" t="s">
        <v>151</v>
      </c>
      <c r="D30" s="135"/>
      <c r="E30" s="151"/>
      <c r="F30" s="152"/>
      <c r="G30" s="152"/>
      <c r="H30" s="153"/>
      <c r="I30" s="37">
        <v>590444.48</v>
      </c>
      <c r="J30" s="38">
        <v>580927.48</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0.2016</v>
      </c>
      <c r="J31" s="75">
        <f t="shared" si="8"/>
        <v>0.31140000000000001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122444.47</v>
      </c>
      <c r="K33" s="30"/>
      <c r="L33" s="48"/>
      <c r="M33" s="184"/>
      <c r="N33" s="185"/>
      <c r="O33"/>
      <c r="P33"/>
    </row>
    <row r="34" spans="1:16" ht="20.25" customHeight="1" thickBot="1" x14ac:dyDescent="0.25">
      <c r="A34" s="142"/>
      <c r="B34" s="143"/>
      <c r="C34" s="134" t="s">
        <v>151</v>
      </c>
      <c r="D34" s="135"/>
      <c r="E34" s="151"/>
      <c r="F34" s="152"/>
      <c r="G34" s="152"/>
      <c r="H34" s="152"/>
      <c r="I34" s="153"/>
      <c r="J34" s="37">
        <v>535825.94999999995</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0.22850000000000001</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3CqUlfWsyDs5RNlpA2jN81QgLO+JrMka1z3qmFWGYHgc1fvHr58TTZeNtHA7CTxtNDNInQpg30ibCM5PQJCnwQ==" saltValue="iHGSGyF52dFAdrsXjyAq8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113" priority="24">
      <formula>F14&gt;(MIN($E14:E14))</formula>
    </cfRule>
  </conditionalFormatting>
  <conditionalFormatting sqref="F13:I13">
    <cfRule type="expression" dxfId="112" priority="23">
      <formula>F13&lt;(MAX($E13:E13))</formula>
    </cfRule>
  </conditionalFormatting>
  <conditionalFormatting sqref="G17:J17">
    <cfRule type="expression" dxfId="111" priority="22">
      <formula>G17&lt;(MAX($F17:F17))</formula>
    </cfRule>
  </conditionalFormatting>
  <conditionalFormatting sqref="G18:J18">
    <cfRule type="expression" dxfId="110" priority="21">
      <formula>G18&gt;(MIN($F18:F18))</formula>
    </cfRule>
  </conditionalFormatting>
  <conditionalFormatting sqref="H22:K22">
    <cfRule type="expression" dxfId="109" priority="20">
      <formula>H22&gt;(MIN($G22:G22))</formula>
    </cfRule>
  </conditionalFormatting>
  <conditionalFormatting sqref="H21:K21">
    <cfRule type="expression" dxfId="108" priority="19">
      <formula>H21&lt;(MAX($G21:G21))</formula>
    </cfRule>
  </conditionalFormatting>
  <conditionalFormatting sqref="I26:L26">
    <cfRule type="expression" dxfId="107" priority="18">
      <formula>I26&gt;(MIN($H26:H26))</formula>
    </cfRule>
  </conditionalFormatting>
  <conditionalFormatting sqref="I25:L25">
    <cfRule type="expression" dxfId="106" priority="17">
      <formula>I25&lt;(MAX($H25:H25))</formula>
    </cfRule>
  </conditionalFormatting>
  <conditionalFormatting sqref="J30:L30">
    <cfRule type="expression" dxfId="105" priority="16">
      <formula>J30&gt;(MIN($I30:I30))</formula>
    </cfRule>
  </conditionalFormatting>
  <conditionalFormatting sqref="J29:L29">
    <cfRule type="expression" dxfId="104" priority="15">
      <formula>J29&lt;(MAX($I29:I29))</formula>
    </cfRule>
  </conditionalFormatting>
  <conditionalFormatting sqref="K34:L34">
    <cfRule type="expression" dxfId="103" priority="14">
      <formula>K34&gt;(MIN($J34:J34))</formula>
    </cfRule>
  </conditionalFormatting>
  <conditionalFormatting sqref="K33:L33">
    <cfRule type="expression" dxfId="102" priority="13">
      <formula>K33&lt;(MAX($J33:J33))</formula>
    </cfRule>
  </conditionalFormatting>
  <conditionalFormatting sqref="L38">
    <cfRule type="expression" dxfId="101" priority="12">
      <formula>L38&gt;(MIN($G38:K38))</formula>
    </cfRule>
  </conditionalFormatting>
  <conditionalFormatting sqref="L37">
    <cfRule type="expression" dxfId="100" priority="11">
      <formula>L37&lt;(MAX($K37:K37))</formula>
    </cfRule>
  </conditionalFormatting>
  <conditionalFormatting sqref="I15 J19 K23 L27">
    <cfRule type="expression" dxfId="99" priority="10">
      <formula>I15&lt;$H$8</formula>
    </cfRule>
  </conditionalFormatting>
  <conditionalFormatting sqref="M16:N19">
    <cfRule type="expression" dxfId="98" priority="4">
      <formula>$J$19&lt;$H$8</formula>
    </cfRule>
  </conditionalFormatting>
  <conditionalFormatting sqref="M20:N23">
    <cfRule type="expression" dxfId="97" priority="3">
      <formula>$K$23&lt;$H$8</formula>
    </cfRule>
  </conditionalFormatting>
  <conditionalFormatting sqref="M24:N27">
    <cfRule type="expression" dxfId="96" priority="2">
      <formula>$L$27&lt;$H$8</formula>
    </cfRule>
  </conditionalFormatting>
  <conditionalFormatting sqref="M12:N15">
    <cfRule type="expression" dxfId="95"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abSelected="1" zoomScale="75" zoomScaleNormal="75" zoomScaleSheetLayoutView="75" zoomScalePageLayoutView="75" workbookViewId="0">
      <selection activeCell="N24" sqref="N24:N27"/>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Circuit Civil</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607637.35</v>
      </c>
      <c r="F13" s="53">
        <f ca="1">SUMIFS(LookupData!J$3:J$2682,LookupData!$A$3:$A$2682,$D$4,LookupData!$B$3:$B$2682,$D$8,LookupData!$C$3:$C$2682,$A12)</f>
        <v>637728.87</v>
      </c>
      <c r="G13" s="53">
        <f ca="1">SUMIFS(LookupData!K$3:K$2682,LookupData!$A$3:$A$2682,$D$4,LookupData!$B$3:$B$2682,$D$8,LookupData!$C$3:$C$2682,$A12)</f>
        <v>636061.68000000005</v>
      </c>
      <c r="H13" s="53">
        <f ca="1">SUMIFS(LookupData!L$3:L$2682,LookupData!$A$3:$A$2682,$D$4,LookupData!$B$3:$B$2682,$D$8,LookupData!$C$3:$C$2682,$A12)</f>
        <v>636151.13</v>
      </c>
      <c r="I13" s="43">
        <v>635647.18000000005</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650412.29</v>
      </c>
      <c r="F14" s="55">
        <f ca="1">SUMIFS(LookupData!E$3:E$2682,LookupData!$A$3:$A$2682,$D$4,LookupData!$B$3:$B$2682,$D$8,LookupData!$C$3:$C$2682,$A12)</f>
        <v>650412.29</v>
      </c>
      <c r="G14" s="55">
        <f ca="1">SUMIFS(LookupData!F$3:F$2682,LookupData!$A$3:$A$2682,$D$4,LookupData!$B$3:$B$2682,$D$8,LookupData!$C$3:$C$2682,$A12)</f>
        <v>648704.29</v>
      </c>
      <c r="H14" s="55">
        <f ca="1">SUMIFS(LookupData!G$3:G$2682,LookupData!$A$3:$A$2682,$D$4,LookupData!$B$3:$B$2682,$D$8,LookupData!$C$3:$C$2682,$A12)</f>
        <v>648303.29</v>
      </c>
      <c r="I14" s="44">
        <v>647397.29</v>
      </c>
      <c r="J14" s="137"/>
      <c r="K14" s="137"/>
      <c r="L14" s="137"/>
      <c r="M14" s="127"/>
      <c r="N14" s="129"/>
    </row>
    <row r="15" spans="1:14" ht="19.5" customHeight="1" thickTop="1" thickBot="1" x14ac:dyDescent="0.25">
      <c r="A15" s="120"/>
      <c r="B15" s="121"/>
      <c r="C15" s="134" t="s">
        <v>152</v>
      </c>
      <c r="D15" s="135"/>
      <c r="E15" s="71">
        <f ca="1">IFERROR(IF(E14=0,1,ROUND(E13/E14,4)),0)</f>
        <v>0.93420000000000003</v>
      </c>
      <c r="F15" s="77">
        <f t="shared" ref="F15:H15" ca="1" si="0">IFERROR(IF(F14=0,1,ROUND(F13/F14,4)),0)</f>
        <v>0.98050000000000004</v>
      </c>
      <c r="G15" s="77">
        <f t="shared" ca="1" si="0"/>
        <v>0.98050000000000004</v>
      </c>
      <c r="H15" s="77">
        <f t="shared" ca="1" si="0"/>
        <v>0.98129999999999995</v>
      </c>
      <c r="I15" s="78">
        <f t="shared" ref="I15" si="1">IFERROR(IF(I14=0,1,ROUND(I13/I14,4)),0)</f>
        <v>0.9819</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t="s">
        <v>156</v>
      </c>
      <c r="N16" s="163" t="s">
        <v>235</v>
      </c>
    </row>
    <row r="17" spans="1:16" ht="20.25" customHeight="1" x14ac:dyDescent="0.2">
      <c r="A17" s="142"/>
      <c r="B17" s="143"/>
      <c r="C17" s="134" t="s">
        <v>150</v>
      </c>
      <c r="D17" s="135"/>
      <c r="E17" s="158"/>
      <c r="F17" s="52">
        <f ca="1">SUMIFS(LookupData!I$3:I$2682,LookupData!$A$3:$A$2682,$D$4,LookupData!$B$3:$B$2682,$D$8,LookupData!$C$3:$C$2682,$A16)</f>
        <v>644896.30000000005</v>
      </c>
      <c r="G17" s="53">
        <f ca="1">SUMIFS(LookupData!J$3:J$2682,LookupData!$A$3:$A$2682,$D$4,LookupData!$B$3:$B$2682,$D$8,LookupData!$C$3:$C$2682,$A16)</f>
        <v>691564.87</v>
      </c>
      <c r="H17" s="53">
        <f ca="1">SUMIFS(LookupData!K$3:K$2682,LookupData!$A$3:$A$2682,$D$4,LookupData!$B$3:$B$2682,$D$8,LookupData!$C$3:$C$2682,$A16)</f>
        <v>685668.89</v>
      </c>
      <c r="I17" s="30">
        <v>683479.31</v>
      </c>
      <c r="J17" s="43">
        <v>680705.83</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699628.3</v>
      </c>
      <c r="G18" s="55">
        <f ca="1">SUMIFS(LookupData!E$3:E$2682,LookupData!$A$3:$A$2682,$D$4,LookupData!$B$3:$B$2682,$D$8,LookupData!$C$3:$C$2682,$A16)</f>
        <v>698712.3</v>
      </c>
      <c r="H18" s="55">
        <f ca="1">SUMIFS(LookupData!F$3:F$2682,LookupData!$A$3:$A$2682,$D$4,LookupData!$B$3:$B$2682,$D$8,LookupData!$C$3:$C$2682,$A16)</f>
        <v>692781.3</v>
      </c>
      <c r="I18" s="38">
        <v>690063.3</v>
      </c>
      <c r="J18" s="44">
        <v>687251.3</v>
      </c>
      <c r="K18" s="151"/>
      <c r="L18" s="153"/>
      <c r="M18" s="162"/>
      <c r="N18" s="163"/>
    </row>
    <row r="19" spans="1:16" ht="20.25" customHeight="1" thickTop="1" thickBot="1" x14ac:dyDescent="0.25">
      <c r="A19" s="144"/>
      <c r="B19" s="145"/>
      <c r="C19" s="146" t="s">
        <v>152</v>
      </c>
      <c r="D19" s="147"/>
      <c r="E19" s="159"/>
      <c r="F19" s="73">
        <f ca="1">IFERROR(IF(F18=0,1,ROUND(F17/F18,4)),0)</f>
        <v>0.92179999999999995</v>
      </c>
      <c r="G19" s="75">
        <f t="shared" ref="G19:H19" ca="1" si="2">IFERROR(IF(G18=0,1,ROUND(G17/G18,4)),0)</f>
        <v>0.98980000000000001</v>
      </c>
      <c r="H19" s="75">
        <f t="shared" ca="1" si="2"/>
        <v>0.98970000000000002</v>
      </c>
      <c r="I19" s="75">
        <f t="shared" ref="I19:J19" si="3">IFERROR(IF(I18=0,1,ROUND(I17/I18,4)),0)</f>
        <v>0.99050000000000005</v>
      </c>
      <c r="J19" s="76">
        <f t="shared" si="3"/>
        <v>0.99050000000000005</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t="s">
        <v>156</v>
      </c>
      <c r="N20" s="163" t="s">
        <v>235</v>
      </c>
    </row>
    <row r="21" spans="1:16" ht="20.25" customHeight="1" x14ac:dyDescent="0.2">
      <c r="A21" s="118"/>
      <c r="B21" s="119"/>
      <c r="C21" s="134" t="s">
        <v>150</v>
      </c>
      <c r="D21" s="135"/>
      <c r="E21" s="160"/>
      <c r="F21" s="161"/>
      <c r="G21" s="52">
        <f ca="1">SUMIFS(LookupData!I$3:I$2682,LookupData!$A$3:$A$2682,$D$4,LookupData!$B$3:$B$2682,$D$8,LookupData!$C$3:$C$2682,$A20)</f>
        <v>721936.63</v>
      </c>
      <c r="H21" s="53">
        <f ca="1">SUMIFS(LookupData!J$3:J$2682,LookupData!$A$3:$A$2682,$D$4,LookupData!$B$3:$B$2682,$D$8,LookupData!$C$3:$C$2682,$A20)</f>
        <v>753260.14</v>
      </c>
      <c r="I21" s="30">
        <v>751460.81</v>
      </c>
      <c r="J21" s="30">
        <v>750159.18</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762361.75</v>
      </c>
      <c r="H22" s="55">
        <f ca="1">SUMIFS(LookupData!E$3:E$2682,LookupData!$A$3:$A$2682,$D$4,LookupData!$B$3:$B$2682,$D$8,LookupData!$C$3:$C$2682,$A20)</f>
        <v>762351.75</v>
      </c>
      <c r="I22" s="38">
        <v>761148.75</v>
      </c>
      <c r="J22" s="38">
        <v>759039.75</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0.94699999999999995</v>
      </c>
      <c r="H23" s="77">
        <f t="shared" ca="1" si="4"/>
        <v>0.98809999999999998</v>
      </c>
      <c r="I23" s="77">
        <f t="shared" ref="I23:K23" si="5">IFERROR(IF(I22=0,1,ROUND(I21/I22,4)),0)</f>
        <v>0.98729999999999996</v>
      </c>
      <c r="J23" s="77">
        <f t="shared" si="5"/>
        <v>0.98829999999999996</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t="s">
        <v>156</v>
      </c>
      <c r="N24" s="166" t="s">
        <v>235</v>
      </c>
      <c r="O24"/>
      <c r="P24"/>
    </row>
    <row r="25" spans="1:16" ht="20.25" customHeight="1" x14ac:dyDescent="0.2">
      <c r="A25" s="142"/>
      <c r="B25" s="143"/>
      <c r="C25" s="134" t="s">
        <v>150</v>
      </c>
      <c r="D25" s="135"/>
      <c r="E25" s="151"/>
      <c r="F25" s="152"/>
      <c r="G25" s="153"/>
      <c r="H25" s="52">
        <f ca="1">SUMIFS(LookupData!I$3:I$2682,LookupData!$A$3:$A$2682,$D$4,LookupData!$B$3:$B$2682,$D$8,LookupData!$C$3:$C$2682,$A24)</f>
        <v>685507.16</v>
      </c>
      <c r="I25" s="30">
        <v>713554.68</v>
      </c>
      <c r="J25" s="30">
        <v>711386.32</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720339.8</v>
      </c>
      <c r="I26" s="38">
        <v>719878.8</v>
      </c>
      <c r="J26" s="38">
        <v>716775.8</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0.9516</v>
      </c>
      <c r="I27" s="75">
        <f t="shared" ref="I27:L27" si="7">IFERROR(IF(I26=0,1,ROUND(I25/I26,4)),0)</f>
        <v>0.99119999999999997</v>
      </c>
      <c r="J27" s="75">
        <f t="shared" si="7"/>
        <v>0.99250000000000005</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671123.59</v>
      </c>
      <c r="J29" s="30">
        <v>731441.73</v>
      </c>
      <c r="K29" s="30"/>
      <c r="L29" s="43"/>
      <c r="M29" s="160"/>
      <c r="N29" s="194"/>
      <c r="O29"/>
      <c r="P29"/>
    </row>
    <row r="30" spans="1:16" ht="20.25" customHeight="1" thickBot="1" x14ac:dyDescent="0.25">
      <c r="A30" s="118"/>
      <c r="B30" s="119"/>
      <c r="C30" s="134" t="s">
        <v>151</v>
      </c>
      <c r="D30" s="135"/>
      <c r="E30" s="151"/>
      <c r="F30" s="152"/>
      <c r="G30" s="152"/>
      <c r="H30" s="153"/>
      <c r="I30" s="37">
        <v>738344.55</v>
      </c>
      <c r="J30" s="38">
        <v>738259.55</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0.90900000000000003</v>
      </c>
      <c r="J31" s="75">
        <f t="shared" si="8"/>
        <v>0.99080000000000001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658796.32999999996</v>
      </c>
      <c r="K33" s="30"/>
      <c r="L33" s="48"/>
      <c r="M33" s="184"/>
      <c r="N33" s="185"/>
      <c r="O33"/>
      <c r="P33"/>
    </row>
    <row r="34" spans="1:16" ht="20.25" customHeight="1" thickBot="1" x14ac:dyDescent="0.25">
      <c r="A34" s="142"/>
      <c r="B34" s="143"/>
      <c r="C34" s="134" t="s">
        <v>151</v>
      </c>
      <c r="D34" s="135"/>
      <c r="E34" s="151"/>
      <c r="F34" s="152"/>
      <c r="G34" s="152"/>
      <c r="H34" s="152"/>
      <c r="I34" s="153"/>
      <c r="J34" s="37">
        <v>683096</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0.96440000000000003</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RaGPaKCJ9zHI3zXVYHuFthNMQdk4ExuVjvqPl+n2ifGVSCdbEpHtoWYp2B7BDTscr5Zz6uEqgrkViC4de3DjQA==" saltValue="jxGozlqAbqX71X6TyDgYnA=="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94" priority="24">
      <formula>F14&gt;(MIN($E14:E14))</formula>
    </cfRule>
  </conditionalFormatting>
  <conditionalFormatting sqref="F13:I13">
    <cfRule type="expression" dxfId="93" priority="23">
      <formula>F13&lt;(MAX($E13:E13))</formula>
    </cfRule>
  </conditionalFormatting>
  <conditionalFormatting sqref="G17:J17">
    <cfRule type="expression" dxfId="92" priority="22">
      <formula>G17&lt;(MAX($F17:F17))</formula>
    </cfRule>
  </conditionalFormatting>
  <conditionalFormatting sqref="G18:J18">
    <cfRule type="expression" dxfId="91" priority="21">
      <formula>G18&gt;(MIN($F18:F18))</formula>
    </cfRule>
  </conditionalFormatting>
  <conditionalFormatting sqref="H22:K22">
    <cfRule type="expression" dxfId="90" priority="20">
      <formula>H22&gt;(MIN($G22:G22))</formula>
    </cfRule>
  </conditionalFormatting>
  <conditionalFormatting sqref="H21:K21">
    <cfRule type="expression" dxfId="89" priority="19">
      <formula>H21&lt;(MAX($G21:G21))</formula>
    </cfRule>
  </conditionalFormatting>
  <conditionalFormatting sqref="I26:L26">
    <cfRule type="expression" dxfId="88" priority="18">
      <formula>I26&gt;(MIN($H26:H26))</formula>
    </cfRule>
  </conditionalFormatting>
  <conditionalFormatting sqref="I25:L25">
    <cfRule type="expression" dxfId="87" priority="17">
      <formula>I25&lt;(MAX($H25:H25))</formula>
    </cfRule>
  </conditionalFormatting>
  <conditionalFormatting sqref="J30:L30">
    <cfRule type="expression" dxfId="86" priority="16">
      <formula>J30&gt;(MIN($I30:I30))</formula>
    </cfRule>
  </conditionalFormatting>
  <conditionalFormatting sqref="J29:L29">
    <cfRule type="expression" dxfId="85" priority="15">
      <formula>J29&lt;(MAX($I29:I29))</formula>
    </cfRule>
  </conditionalFormatting>
  <conditionalFormatting sqref="K34:L34">
    <cfRule type="expression" dxfId="84" priority="14">
      <formula>K34&gt;(MIN($J34:J34))</formula>
    </cfRule>
  </conditionalFormatting>
  <conditionalFormatting sqref="K33:L33">
    <cfRule type="expression" dxfId="83" priority="13">
      <formula>K33&lt;(MAX($J33:J33))</formula>
    </cfRule>
  </conditionalFormatting>
  <conditionalFormatting sqref="L38">
    <cfRule type="expression" dxfId="82" priority="12">
      <formula>L38&gt;(MIN($G38:K38))</formula>
    </cfRule>
  </conditionalFormatting>
  <conditionalFormatting sqref="L37">
    <cfRule type="expression" dxfId="81" priority="11">
      <formula>L37&lt;(MAX($K37:K37))</formula>
    </cfRule>
  </conditionalFormatting>
  <conditionalFormatting sqref="I15 J19 K23 L27">
    <cfRule type="expression" dxfId="80" priority="10">
      <formula>I15&lt;$H$8</formula>
    </cfRule>
  </conditionalFormatting>
  <conditionalFormatting sqref="M16:N19">
    <cfRule type="expression" dxfId="79" priority="4">
      <formula>$J$19&lt;$H$8</formula>
    </cfRule>
  </conditionalFormatting>
  <conditionalFormatting sqref="M20:N23">
    <cfRule type="expression" dxfId="78" priority="3">
      <formula>$K$23&lt;$H$8</formula>
    </cfRule>
  </conditionalFormatting>
  <conditionalFormatting sqref="M24:N27">
    <cfRule type="expression" dxfId="77" priority="2">
      <formula>$L$27&lt;$H$8</formula>
    </cfRule>
  </conditionalFormatting>
  <conditionalFormatting sqref="M12:N15">
    <cfRule type="expression" dxfId="76"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County Civil</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623186</v>
      </c>
      <c r="F13" s="53">
        <f ca="1">SUMIFS(LookupData!J$3:J$2682,LookupData!$A$3:$A$2682,$D$4,LookupData!$B$3:$B$2682,$D$8,LookupData!$C$3:$C$2682,$A12)</f>
        <v>635621</v>
      </c>
      <c r="G13" s="53">
        <f ca="1">SUMIFS(LookupData!K$3:K$2682,LookupData!$A$3:$A$2682,$D$4,LookupData!$B$3:$B$2682,$D$8,LookupData!$C$3:$C$2682,$A12)</f>
        <v>636186</v>
      </c>
      <c r="H13" s="53">
        <f ca="1">SUMIFS(LookupData!L$3:L$2682,LookupData!$A$3:$A$2682,$D$4,LookupData!$B$3:$B$2682,$D$8,LookupData!$C$3:$C$2682,$A12)</f>
        <v>636186</v>
      </c>
      <c r="I13" s="43">
        <v>636496</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638320.94999999995</v>
      </c>
      <c r="F14" s="55">
        <f ca="1">SUMIFS(LookupData!E$3:E$2682,LookupData!$A$3:$A$2682,$D$4,LookupData!$B$3:$B$2682,$D$8,LookupData!$C$3:$C$2682,$A12)</f>
        <v>638320.94999999995</v>
      </c>
      <c r="G14" s="55">
        <f ca="1">SUMIFS(LookupData!F$3:F$2682,LookupData!$A$3:$A$2682,$D$4,LookupData!$B$3:$B$2682,$D$8,LookupData!$C$3:$C$2682,$A12)</f>
        <v>638305.94999999995</v>
      </c>
      <c r="H14" s="55">
        <f ca="1">SUMIFS(LookupData!G$3:G$2682,LookupData!$A$3:$A$2682,$D$4,LookupData!$B$3:$B$2682,$D$8,LookupData!$C$3:$C$2682,$A12)</f>
        <v>638280.94999999995</v>
      </c>
      <c r="I14" s="44">
        <v>638280.94999999995</v>
      </c>
      <c r="J14" s="137"/>
      <c r="K14" s="137"/>
      <c r="L14" s="137"/>
      <c r="M14" s="127"/>
      <c r="N14" s="129"/>
    </row>
    <row r="15" spans="1:14" ht="19.5" customHeight="1" thickTop="1" thickBot="1" x14ac:dyDescent="0.25">
      <c r="A15" s="120"/>
      <c r="B15" s="121"/>
      <c r="C15" s="134" t="s">
        <v>152</v>
      </c>
      <c r="D15" s="135"/>
      <c r="E15" s="71">
        <f ca="1">IFERROR(IF(E14=0,1,ROUND(E13/E14,4)),0)</f>
        <v>0.97629999999999995</v>
      </c>
      <c r="F15" s="77">
        <f t="shared" ref="F15:H15" ca="1" si="0">IFERROR(IF(F14=0,1,ROUND(F13/F14,4)),0)</f>
        <v>0.99580000000000002</v>
      </c>
      <c r="G15" s="77">
        <f t="shared" ca="1" si="0"/>
        <v>0.99670000000000003</v>
      </c>
      <c r="H15" s="77">
        <f t="shared" ca="1" si="0"/>
        <v>0.99670000000000003</v>
      </c>
      <c r="I15" s="78">
        <f t="shared" ref="I15" si="1">IFERROR(IF(I14=0,1,ROUND(I13/I14,4)),0)</f>
        <v>0.99719999999999998</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651771.61</v>
      </c>
      <c r="G17" s="53">
        <f ca="1">SUMIFS(LookupData!J$3:J$2682,LookupData!$A$3:$A$2682,$D$4,LookupData!$B$3:$B$2682,$D$8,LookupData!$C$3:$C$2682,$A16)</f>
        <v>689846.61</v>
      </c>
      <c r="H17" s="53">
        <f ca="1">SUMIFS(LookupData!K$3:K$2682,LookupData!$A$3:$A$2682,$D$4,LookupData!$B$3:$B$2682,$D$8,LookupData!$C$3:$C$2682,$A16)</f>
        <v>689926.61</v>
      </c>
      <c r="I17" s="30">
        <v>690021.61</v>
      </c>
      <c r="J17" s="43">
        <v>690021.61</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695414.61</v>
      </c>
      <c r="G18" s="55">
        <f ca="1">SUMIFS(LookupData!E$3:E$2682,LookupData!$A$3:$A$2682,$D$4,LookupData!$B$3:$B$2682,$D$8,LookupData!$C$3:$C$2682,$A16)</f>
        <v>695384.61</v>
      </c>
      <c r="H18" s="55">
        <f ca="1">SUMIFS(LookupData!F$3:F$2682,LookupData!$A$3:$A$2682,$D$4,LookupData!$B$3:$B$2682,$D$8,LookupData!$C$3:$C$2682,$A16)</f>
        <v>695384.61</v>
      </c>
      <c r="I18" s="38">
        <v>695299.61</v>
      </c>
      <c r="J18" s="44">
        <v>695289.61</v>
      </c>
      <c r="K18" s="151"/>
      <c r="L18" s="153"/>
      <c r="M18" s="162"/>
      <c r="N18" s="163"/>
    </row>
    <row r="19" spans="1:16" ht="20.25" customHeight="1" thickTop="1" thickBot="1" x14ac:dyDescent="0.25">
      <c r="A19" s="144"/>
      <c r="B19" s="145"/>
      <c r="C19" s="146" t="s">
        <v>152</v>
      </c>
      <c r="D19" s="147"/>
      <c r="E19" s="159"/>
      <c r="F19" s="73">
        <f ca="1">IFERROR(IF(F18=0,1,ROUND(F17/F18,4)),0)</f>
        <v>0.93720000000000003</v>
      </c>
      <c r="G19" s="75">
        <f t="shared" ref="G19:H19" ca="1" si="2">IFERROR(IF(G18=0,1,ROUND(G17/G18,4)),0)</f>
        <v>0.99199999999999999</v>
      </c>
      <c r="H19" s="75">
        <f t="shared" ca="1" si="2"/>
        <v>0.99219999999999997</v>
      </c>
      <c r="I19" s="75">
        <f t="shared" ref="I19:J19" si="3">IFERROR(IF(I18=0,1,ROUND(I17/I18,4)),0)</f>
        <v>0.99239999999999995</v>
      </c>
      <c r="J19" s="76">
        <f t="shared" si="3"/>
        <v>0.99239999999999995</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559617.5</v>
      </c>
      <c r="H21" s="53">
        <f ca="1">SUMIFS(LookupData!J$3:J$2682,LookupData!$A$3:$A$2682,$D$4,LookupData!$B$3:$B$2682,$D$8,LookupData!$C$3:$C$2682,$A20)</f>
        <v>588605.5</v>
      </c>
      <c r="I21" s="30">
        <v>588605.5</v>
      </c>
      <c r="J21" s="30">
        <v>588605.5</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591450.5</v>
      </c>
      <c r="H22" s="55">
        <f ca="1">SUMIFS(LookupData!E$3:E$2682,LookupData!$A$3:$A$2682,$D$4,LookupData!$B$3:$B$2682,$D$8,LookupData!$C$3:$C$2682,$A20)</f>
        <v>591450.5</v>
      </c>
      <c r="I22" s="38">
        <v>591450.5</v>
      </c>
      <c r="J22" s="38">
        <v>591450.5</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0.94620000000000004</v>
      </c>
      <c r="H23" s="77">
        <f t="shared" ca="1" si="4"/>
        <v>0.99519999999999997</v>
      </c>
      <c r="I23" s="77">
        <f t="shared" ref="I23:K23" si="5">IFERROR(IF(I22=0,1,ROUND(I21/I22,4)),0)</f>
        <v>0.99519999999999997</v>
      </c>
      <c r="J23" s="77">
        <f t="shared" si="5"/>
        <v>0.99519999999999997</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711714.01</v>
      </c>
      <c r="I25" s="30">
        <v>741789.01</v>
      </c>
      <c r="J25" s="30">
        <v>741829.01</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744180.25</v>
      </c>
      <c r="I26" s="38">
        <v>744010.25</v>
      </c>
      <c r="J26" s="38">
        <v>744010.25</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0.95640000000000003</v>
      </c>
      <c r="I27" s="75">
        <f t="shared" ref="I27:L27" si="7">IFERROR(IF(I26=0,1,ROUND(I25/I26,4)),0)</f>
        <v>0.997</v>
      </c>
      <c r="J27" s="75">
        <f t="shared" si="7"/>
        <v>0.99709999999999999</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735447.75</v>
      </c>
      <c r="J29" s="30">
        <v>819126.75</v>
      </c>
      <c r="K29" s="30"/>
      <c r="L29" s="43"/>
      <c r="M29" s="160"/>
      <c r="N29" s="194"/>
      <c r="O29"/>
      <c r="P29"/>
    </row>
    <row r="30" spans="1:16" ht="20.25" customHeight="1" thickBot="1" x14ac:dyDescent="0.25">
      <c r="A30" s="118"/>
      <c r="B30" s="119"/>
      <c r="C30" s="134" t="s">
        <v>151</v>
      </c>
      <c r="D30" s="135"/>
      <c r="E30" s="151"/>
      <c r="F30" s="152"/>
      <c r="G30" s="152"/>
      <c r="H30" s="153"/>
      <c r="I30" s="37">
        <v>823890.25</v>
      </c>
      <c r="J30" s="38">
        <v>823795.25</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0.89270000000000005</v>
      </c>
      <c r="J31" s="75">
        <f t="shared" si="8"/>
        <v>0.99429999999999996</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656100.15</v>
      </c>
      <c r="K33" s="30"/>
      <c r="L33" s="48"/>
      <c r="M33" s="184"/>
      <c r="N33" s="185"/>
      <c r="O33"/>
      <c r="P33"/>
    </row>
    <row r="34" spans="1:16" ht="20.25" customHeight="1" thickBot="1" x14ac:dyDescent="0.25">
      <c r="A34" s="142"/>
      <c r="B34" s="143"/>
      <c r="C34" s="134" t="s">
        <v>151</v>
      </c>
      <c r="D34" s="135"/>
      <c r="E34" s="151"/>
      <c r="F34" s="152"/>
      <c r="G34" s="152"/>
      <c r="H34" s="152"/>
      <c r="I34" s="153"/>
      <c r="J34" s="37">
        <v>673565.15</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0.97409999999999997</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xo2xtQ+L3Sl58hq37UFFd2sRg+KdgWreXs4kyacYkRJGudiWcKbjuS6DtSuQiXxuCPvA6pgHlVh+JSDHIUe5Fw==" saltValue="5vph01fBWTJtFzkF4X+mzQ=="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75" priority="24">
      <formula>F14&gt;(MIN($E14:E14))</formula>
    </cfRule>
  </conditionalFormatting>
  <conditionalFormatting sqref="F13:I13">
    <cfRule type="expression" dxfId="74" priority="23">
      <formula>F13&lt;(MAX($E13:E13))</formula>
    </cfRule>
  </conditionalFormatting>
  <conditionalFormatting sqref="G17:J17">
    <cfRule type="expression" dxfId="73" priority="22">
      <formula>G17&lt;(MAX($F17:F17))</formula>
    </cfRule>
  </conditionalFormatting>
  <conditionalFormatting sqref="G18:J18">
    <cfRule type="expression" dxfId="72" priority="21">
      <formula>G18&gt;(MIN($F18:F18))</formula>
    </cfRule>
  </conditionalFormatting>
  <conditionalFormatting sqref="H22:K22">
    <cfRule type="expression" dxfId="71" priority="20">
      <formula>H22&gt;(MIN($G22:G22))</formula>
    </cfRule>
  </conditionalFormatting>
  <conditionalFormatting sqref="H21:K21">
    <cfRule type="expression" dxfId="70" priority="19">
      <formula>H21&lt;(MAX($G21:G21))</formula>
    </cfRule>
  </conditionalFormatting>
  <conditionalFormatting sqref="I26:L26">
    <cfRule type="expression" dxfId="69" priority="18">
      <formula>I26&gt;(MIN($H26:H26))</formula>
    </cfRule>
  </conditionalFormatting>
  <conditionalFormatting sqref="I25:L25">
    <cfRule type="expression" dxfId="68" priority="17">
      <formula>I25&lt;(MAX($H25:H25))</formula>
    </cfRule>
  </conditionalFormatting>
  <conditionalFormatting sqref="J30:L30">
    <cfRule type="expression" dxfId="67" priority="16">
      <formula>J30&gt;(MIN($I30:I30))</formula>
    </cfRule>
  </conditionalFormatting>
  <conditionalFormatting sqref="J29:L29">
    <cfRule type="expression" dxfId="66" priority="15">
      <formula>J29&lt;(MAX($I29:I29))</formula>
    </cfRule>
  </conditionalFormatting>
  <conditionalFormatting sqref="K34:L34">
    <cfRule type="expression" dxfId="65" priority="14">
      <formula>K34&gt;(MIN($J34:J34))</formula>
    </cfRule>
  </conditionalFormatting>
  <conditionalFormatting sqref="K33:L33">
    <cfRule type="expression" dxfId="64" priority="13">
      <formula>K33&lt;(MAX($J33:J33))</formula>
    </cfRule>
  </conditionalFormatting>
  <conditionalFormatting sqref="L38">
    <cfRule type="expression" dxfId="63" priority="12">
      <formula>L38&gt;(MIN($G38:K38))</formula>
    </cfRule>
  </conditionalFormatting>
  <conditionalFormatting sqref="L37">
    <cfRule type="expression" dxfId="62" priority="11">
      <formula>L37&lt;(MAX($K37:K37))</formula>
    </cfRule>
  </conditionalFormatting>
  <conditionalFormatting sqref="I15 J19 K23 L27">
    <cfRule type="expression" dxfId="61" priority="10">
      <formula>I15&lt;$H$8</formula>
    </cfRule>
  </conditionalFormatting>
  <conditionalFormatting sqref="M16:N19">
    <cfRule type="expression" dxfId="60" priority="4">
      <formula>$J$19&lt;$H$8</formula>
    </cfRule>
  </conditionalFormatting>
  <conditionalFormatting sqref="M20:N23">
    <cfRule type="expression" dxfId="59" priority="3">
      <formula>$K$23&lt;$H$8</formula>
    </cfRule>
  </conditionalFormatting>
  <conditionalFormatting sqref="M24:N27">
    <cfRule type="expression" dxfId="58" priority="2">
      <formula>$L$27&lt;$H$8</formula>
    </cfRule>
  </conditionalFormatting>
  <conditionalFormatting sqref="M12:N15">
    <cfRule type="expression" dxfId="57"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Probate</v>
      </c>
      <c r="E8" s="10"/>
      <c r="F8" s="130" t="s">
        <v>137</v>
      </c>
      <c r="G8" s="130"/>
      <c r="H8" s="102">
        <f ca="1">INDEX(LookupData!AA3:AA12,MATCH(D8,LookupData!Z3:Z12,0))</f>
        <v>0.9</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221339.76</v>
      </c>
      <c r="F13" s="53">
        <f ca="1">SUMIFS(LookupData!J$3:J$2682,LookupData!$A$3:$A$2682,$D$4,LookupData!$B$3:$B$2682,$D$8,LookupData!$C$3:$C$2682,$A12)</f>
        <v>224713.57</v>
      </c>
      <c r="G13" s="53">
        <f ca="1">SUMIFS(LookupData!K$3:K$2682,LookupData!$A$3:$A$2682,$D$4,LookupData!$B$3:$B$2682,$D$8,LookupData!$C$3:$C$2682,$A12)</f>
        <v>224839.57</v>
      </c>
      <c r="H13" s="53">
        <f ca="1">SUMIFS(LookupData!L$3:L$2682,LookupData!$A$3:$A$2682,$D$4,LookupData!$B$3:$B$2682,$D$8,LookupData!$C$3:$C$2682,$A12)</f>
        <v>224839.57</v>
      </c>
      <c r="I13" s="43">
        <v>224839.57</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225901.35</v>
      </c>
      <c r="F14" s="55">
        <f ca="1">SUMIFS(LookupData!E$3:E$2682,LookupData!$A$3:$A$2682,$D$4,LookupData!$B$3:$B$2682,$D$8,LookupData!$C$3:$C$2682,$A12)</f>
        <v>225901.35</v>
      </c>
      <c r="G14" s="55">
        <f ca="1">SUMIFS(LookupData!F$3:F$2682,LookupData!$A$3:$A$2682,$D$4,LookupData!$B$3:$B$2682,$D$8,LookupData!$C$3:$C$2682,$A12)</f>
        <v>225901.35</v>
      </c>
      <c r="H14" s="55">
        <f ca="1">SUMIFS(LookupData!G$3:G$2682,LookupData!$A$3:$A$2682,$D$4,LookupData!$B$3:$B$2682,$D$8,LookupData!$C$3:$C$2682,$A12)</f>
        <v>225901.35</v>
      </c>
      <c r="I14" s="44">
        <v>225901.35</v>
      </c>
      <c r="J14" s="137"/>
      <c r="K14" s="137"/>
      <c r="L14" s="137"/>
      <c r="M14" s="127"/>
      <c r="N14" s="129"/>
    </row>
    <row r="15" spans="1:14" ht="19.5" customHeight="1" thickTop="1" thickBot="1" x14ac:dyDescent="0.25">
      <c r="A15" s="120"/>
      <c r="B15" s="121"/>
      <c r="C15" s="134" t="s">
        <v>152</v>
      </c>
      <c r="D15" s="135"/>
      <c r="E15" s="71">
        <f ca="1">IFERROR(IF(E14=0,1,ROUND(E13/E14,4)),0)</f>
        <v>0.9798</v>
      </c>
      <c r="F15" s="77">
        <f t="shared" ref="F15:H15" ca="1" si="0">IFERROR(IF(F14=0,1,ROUND(F13/F14,4)),0)</f>
        <v>0.99470000000000003</v>
      </c>
      <c r="G15" s="77">
        <f t="shared" ca="1" si="0"/>
        <v>0.99529999999999996</v>
      </c>
      <c r="H15" s="77">
        <f t="shared" ca="1" si="0"/>
        <v>0.99529999999999996</v>
      </c>
      <c r="I15" s="78">
        <f t="shared" ref="I15" si="1">IFERROR(IF(I14=0,1,ROUND(I13/I14,4)),0)</f>
        <v>0.99529999999999996</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221819.4</v>
      </c>
      <c r="G17" s="53">
        <f ca="1">SUMIFS(LookupData!J$3:J$2682,LookupData!$A$3:$A$2682,$D$4,LookupData!$B$3:$B$2682,$D$8,LookupData!$C$3:$C$2682,$A16)</f>
        <v>246798.09</v>
      </c>
      <c r="H17" s="53">
        <f ca="1">SUMIFS(LookupData!K$3:K$2682,LookupData!$A$3:$A$2682,$D$4,LookupData!$B$3:$B$2682,$D$8,LookupData!$C$3:$C$2682,$A16)</f>
        <v>246798.09</v>
      </c>
      <c r="I17" s="30">
        <v>246798.09</v>
      </c>
      <c r="J17" s="43">
        <v>246798.09</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247936.65</v>
      </c>
      <c r="G18" s="55">
        <f ca="1">SUMIFS(LookupData!E$3:E$2682,LookupData!$A$3:$A$2682,$D$4,LookupData!$B$3:$B$2682,$D$8,LookupData!$C$3:$C$2682,$A16)</f>
        <v>247936.65</v>
      </c>
      <c r="H18" s="55">
        <f ca="1">SUMIFS(LookupData!F$3:F$2682,LookupData!$A$3:$A$2682,$D$4,LookupData!$B$3:$B$2682,$D$8,LookupData!$C$3:$C$2682,$A16)</f>
        <v>247936.65</v>
      </c>
      <c r="I18" s="38">
        <v>247936.65</v>
      </c>
      <c r="J18" s="44">
        <v>247936.65</v>
      </c>
      <c r="K18" s="151"/>
      <c r="L18" s="153"/>
      <c r="M18" s="162"/>
      <c r="N18" s="163"/>
    </row>
    <row r="19" spans="1:16" ht="20.25" customHeight="1" thickTop="1" thickBot="1" x14ac:dyDescent="0.25">
      <c r="A19" s="144"/>
      <c r="B19" s="145"/>
      <c r="C19" s="146" t="s">
        <v>152</v>
      </c>
      <c r="D19" s="147"/>
      <c r="E19" s="159"/>
      <c r="F19" s="73">
        <f ca="1">IFERROR(IF(F18=0,1,ROUND(F17/F18,4)),0)</f>
        <v>0.89470000000000005</v>
      </c>
      <c r="G19" s="75">
        <f t="shared" ref="G19:H19" ca="1" si="2">IFERROR(IF(G18=0,1,ROUND(G17/G18,4)),0)</f>
        <v>0.99539999999999995</v>
      </c>
      <c r="H19" s="75">
        <f t="shared" ca="1" si="2"/>
        <v>0.99539999999999995</v>
      </c>
      <c r="I19" s="75">
        <f t="shared" ref="I19:J19" si="3">IFERROR(IF(I18=0,1,ROUND(I17/I18,4)),0)</f>
        <v>0.99539999999999995</v>
      </c>
      <c r="J19" s="76">
        <f t="shared" si="3"/>
        <v>0.99539999999999995</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228410.26</v>
      </c>
      <c r="H21" s="53">
        <f ca="1">SUMIFS(LookupData!J$3:J$2682,LookupData!$A$3:$A$2682,$D$4,LookupData!$B$3:$B$2682,$D$8,LookupData!$C$3:$C$2682,$A20)</f>
        <v>245042.26</v>
      </c>
      <c r="I21" s="30">
        <v>245673.26</v>
      </c>
      <c r="J21" s="30">
        <v>245689.36</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247347.25</v>
      </c>
      <c r="H22" s="55">
        <f ca="1">SUMIFS(LookupData!E$3:E$2682,LookupData!$A$3:$A$2682,$D$4,LookupData!$B$3:$B$2682,$D$8,LookupData!$C$3:$C$2682,$A20)</f>
        <v>247347.25</v>
      </c>
      <c r="I22" s="38">
        <v>247347.25</v>
      </c>
      <c r="J22" s="38">
        <v>247347.25</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0.9234</v>
      </c>
      <c r="H23" s="77">
        <f t="shared" ca="1" si="4"/>
        <v>0.99070000000000003</v>
      </c>
      <c r="I23" s="77">
        <f t="shared" ref="I23:K23" si="5">IFERROR(IF(I22=0,1,ROUND(I21/I22,4)),0)</f>
        <v>0.99319999999999997</v>
      </c>
      <c r="J23" s="77">
        <f t="shared" si="5"/>
        <v>0.99329999999999996</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227349.22</v>
      </c>
      <c r="I25" s="30">
        <v>237647.56</v>
      </c>
      <c r="J25" s="30">
        <v>237663.75</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239843.1</v>
      </c>
      <c r="I26" s="38">
        <v>239843.1</v>
      </c>
      <c r="J26" s="38">
        <v>239843.1</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0.94789999999999996</v>
      </c>
      <c r="I27" s="75">
        <f t="shared" ref="I27:L27" si="7">IFERROR(IF(I26=0,1,ROUND(I25/I26,4)),0)</f>
        <v>0.99080000000000001</v>
      </c>
      <c r="J27" s="75">
        <f t="shared" si="7"/>
        <v>0.9909</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195067.96</v>
      </c>
      <c r="J29" s="30">
        <v>201508.96</v>
      </c>
      <c r="K29" s="30"/>
      <c r="L29" s="43"/>
      <c r="M29" s="160"/>
      <c r="N29" s="194"/>
      <c r="O29"/>
      <c r="P29"/>
    </row>
    <row r="30" spans="1:16" ht="20.25" customHeight="1" thickBot="1" x14ac:dyDescent="0.25">
      <c r="A30" s="118"/>
      <c r="B30" s="119"/>
      <c r="C30" s="134" t="s">
        <v>151</v>
      </c>
      <c r="D30" s="135"/>
      <c r="E30" s="151"/>
      <c r="F30" s="152"/>
      <c r="G30" s="152"/>
      <c r="H30" s="153"/>
      <c r="I30" s="37">
        <v>203167.1</v>
      </c>
      <c r="J30" s="38">
        <v>203167.1</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0.96009999999999995</v>
      </c>
      <c r="J31" s="75">
        <f t="shared" si="8"/>
        <v>0.99180000000000001</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225189.96</v>
      </c>
      <c r="K33" s="30"/>
      <c r="L33" s="48"/>
      <c r="M33" s="184"/>
      <c r="N33" s="185"/>
      <c r="O33"/>
      <c r="P33"/>
    </row>
    <row r="34" spans="1:16" ht="20.25" customHeight="1" thickBot="1" x14ac:dyDescent="0.25">
      <c r="A34" s="142"/>
      <c r="B34" s="143"/>
      <c r="C34" s="134" t="s">
        <v>151</v>
      </c>
      <c r="D34" s="135"/>
      <c r="E34" s="151"/>
      <c r="F34" s="152"/>
      <c r="G34" s="152"/>
      <c r="H34" s="152"/>
      <c r="I34" s="153"/>
      <c r="J34" s="37">
        <v>235667</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0.95550000000000002</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oCEYKBJ8jSeBYaMjeOva5slGR5nyXqMF2Z+cf/X0JiCDdCK8C2FwQSfU0lV90noUpn6hRjABwUENW5vH+z470A==" saltValue="qsHBuWta1basqhV7irurUg=="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56" priority="24">
      <formula>F14&gt;(MIN($E14:E14))</formula>
    </cfRule>
  </conditionalFormatting>
  <conditionalFormatting sqref="F13:I13">
    <cfRule type="expression" dxfId="55" priority="23">
      <formula>F13&lt;(MAX($E13:E13))</formula>
    </cfRule>
  </conditionalFormatting>
  <conditionalFormatting sqref="G17:J17">
    <cfRule type="expression" dxfId="54" priority="22">
      <formula>G17&lt;(MAX($F17:F17))</formula>
    </cfRule>
  </conditionalFormatting>
  <conditionalFormatting sqref="G18:J18">
    <cfRule type="expression" dxfId="53" priority="21">
      <formula>G18&gt;(MIN($F18:F18))</formula>
    </cfRule>
  </conditionalFormatting>
  <conditionalFormatting sqref="H22:K22">
    <cfRule type="expression" dxfId="52" priority="20">
      <formula>H22&gt;(MIN($G22:G22))</formula>
    </cfRule>
  </conditionalFormatting>
  <conditionalFormatting sqref="H21:K21">
    <cfRule type="expression" dxfId="51" priority="19">
      <formula>H21&lt;(MAX($G21:G21))</formula>
    </cfRule>
  </conditionalFormatting>
  <conditionalFormatting sqref="I26:L26">
    <cfRule type="expression" dxfId="50" priority="18">
      <formula>I26&gt;(MIN($H26:H26))</formula>
    </cfRule>
  </conditionalFormatting>
  <conditionalFormatting sqref="I25:L25">
    <cfRule type="expression" dxfId="49" priority="17">
      <formula>I25&lt;(MAX($H25:H25))</formula>
    </cfRule>
  </conditionalFormatting>
  <conditionalFormatting sqref="J30:L30">
    <cfRule type="expression" dxfId="48" priority="16">
      <formula>J30&gt;(MIN($I30:I30))</formula>
    </cfRule>
  </conditionalFormatting>
  <conditionalFormatting sqref="J29:L29">
    <cfRule type="expression" dxfId="47" priority="15">
      <formula>J29&lt;(MAX($I29:I29))</formula>
    </cfRule>
  </conditionalFormatting>
  <conditionalFormatting sqref="K34:L34">
    <cfRule type="expression" dxfId="46" priority="14">
      <formula>K34&gt;(MIN($J34:J34))</formula>
    </cfRule>
  </conditionalFormatting>
  <conditionalFormatting sqref="K33:L33">
    <cfRule type="expression" dxfId="45" priority="13">
      <formula>K33&lt;(MAX($J33:J33))</formula>
    </cfRule>
  </conditionalFormatting>
  <conditionalFormatting sqref="L38">
    <cfRule type="expression" dxfId="44" priority="12">
      <formula>L38&gt;(MIN($G38:K38))</formula>
    </cfRule>
  </conditionalFormatting>
  <conditionalFormatting sqref="L37">
    <cfRule type="expression" dxfId="43" priority="11">
      <formula>L37&lt;(MAX($K37:K37))</formula>
    </cfRule>
  </conditionalFormatting>
  <conditionalFormatting sqref="I15 J19 K23 L27">
    <cfRule type="expression" dxfId="42" priority="10">
      <formula>I15&lt;$H$8</formula>
    </cfRule>
  </conditionalFormatting>
  <conditionalFormatting sqref="M16:N19">
    <cfRule type="expression" dxfId="41" priority="4">
      <formula>$J$19&lt;$H$8</formula>
    </cfRule>
  </conditionalFormatting>
  <conditionalFormatting sqref="M20:N23">
    <cfRule type="expression" dxfId="40" priority="3">
      <formula>$K$23&lt;$H$8</formula>
    </cfRule>
  </conditionalFormatting>
  <conditionalFormatting sqref="M24:N27">
    <cfRule type="expression" dxfId="39" priority="2">
      <formula>$L$27&lt;$H$8</formula>
    </cfRule>
  </conditionalFormatting>
  <conditionalFormatting sqref="M12:N15">
    <cfRule type="expression" dxfId="3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zoomScale="75" zoomScaleNormal="75" zoomScaleSheetLayoutView="75" zoomScalePageLayoutView="75" workbookViewId="0">
      <selection activeCell="K21" sqref="K21"/>
    </sheetView>
  </sheetViews>
  <sheetFormatPr defaultColWidth="9.140625" defaultRowHeight="15.75" x14ac:dyDescent="0.2"/>
  <cols>
    <col min="1" max="2" width="5.140625" style="6" customWidth="1"/>
    <col min="3" max="3" width="17.7109375" style="7" customWidth="1"/>
    <col min="4" max="4" width="22" style="6" customWidth="1"/>
    <col min="5" max="12" width="20.7109375" style="6" customWidth="1"/>
    <col min="13" max="13" width="18.7109375" style="6" customWidth="1"/>
    <col min="14" max="14" width="39.42578125" style="6" customWidth="1"/>
    <col min="15" max="16384" width="9.140625" style="6"/>
  </cols>
  <sheetData>
    <row r="1" spans="1:14" ht="24" customHeight="1" x14ac:dyDescent="0.2">
      <c r="A1" s="108" t="s">
        <v>126</v>
      </c>
    </row>
    <row r="2" spans="1:14" ht="24" customHeight="1" x14ac:dyDescent="0.2">
      <c r="A2" s="108" t="str">
        <f>'Circuit Criminal'!A2</f>
        <v>County Fiscal Year 2019-2020</v>
      </c>
    </row>
    <row r="3" spans="1:14" ht="24" customHeight="1" x14ac:dyDescent="0.2"/>
    <row r="4" spans="1:14" ht="24" customHeight="1" x14ac:dyDescent="0.2">
      <c r="A4" s="8"/>
      <c r="C4" s="32" t="s">
        <v>0</v>
      </c>
      <c r="D4" s="201" t="str">
        <f>'Circuit Criminal'!D4</f>
        <v>Brevard</v>
      </c>
      <c r="E4" s="201"/>
      <c r="F4" s="9"/>
      <c r="G4" s="32" t="s">
        <v>135</v>
      </c>
      <c r="H4" s="101" t="str">
        <f>'Circuit Criminal'!H4</f>
        <v>Qtr 2: Jan - Mar</v>
      </c>
      <c r="I4" s="103"/>
      <c r="K4" s="32" t="s">
        <v>1</v>
      </c>
      <c r="L4" s="79">
        <f>'Circuit Criminal'!L4</f>
        <v>2</v>
      </c>
      <c r="N4" s="124" t="str">
        <f>'Circuit Criminal'!N4</f>
        <v>CCOC Form Version 2
Revised 1/7/20</v>
      </c>
    </row>
    <row r="5" spans="1:14" ht="24" customHeight="1" thickBot="1" x14ac:dyDescent="0.25">
      <c r="A5" s="8"/>
      <c r="C5" s="32" t="s">
        <v>68</v>
      </c>
      <c r="D5" s="115" t="str">
        <f>'Circuit Criminal'!D5</f>
        <v>Michelle Levar</v>
      </c>
      <c r="E5" s="115"/>
      <c r="F5" s="9"/>
      <c r="N5" s="125"/>
    </row>
    <row r="6" spans="1:14" ht="24" customHeight="1" x14ac:dyDescent="0.2">
      <c r="A6" s="8"/>
      <c r="C6" s="32" t="s">
        <v>69</v>
      </c>
      <c r="D6" s="114" t="str">
        <f>'Circuit Criminal'!D6</f>
        <v>michelle.levar@brevardclerk.us</v>
      </c>
      <c r="E6" s="114"/>
      <c r="F6" s="9"/>
      <c r="J6" s="171" t="s">
        <v>161</v>
      </c>
      <c r="K6" s="172"/>
      <c r="L6" s="172"/>
      <c r="M6" s="172"/>
      <c r="N6" s="173"/>
    </row>
    <row r="7" spans="1:14" ht="24" customHeight="1" thickBot="1" x14ac:dyDescent="0.25">
      <c r="A7" s="8"/>
      <c r="J7" s="66" t="s">
        <v>157</v>
      </c>
      <c r="K7" s="174" t="s">
        <v>159</v>
      </c>
      <c r="L7" s="174"/>
      <c r="M7" s="174"/>
      <c r="N7" s="175"/>
    </row>
    <row r="8" spans="1:14" ht="24" customHeight="1" thickTop="1" thickBot="1" x14ac:dyDescent="0.25">
      <c r="A8" s="130" t="s">
        <v>136</v>
      </c>
      <c r="B8" s="130"/>
      <c r="C8" s="131"/>
      <c r="D8" s="29" t="str">
        <f ca="1">MID(CELL("filename",A1),FIND("]",CELL("filename",A1))+1,255)</f>
        <v>Family</v>
      </c>
      <c r="E8" s="10"/>
      <c r="F8" s="130" t="s">
        <v>137</v>
      </c>
      <c r="G8" s="130"/>
      <c r="H8" s="102">
        <f ca="1">INDEX(LookupData!AA3:AA12,MATCH(D8,LookupData!Z3:Z12,0))</f>
        <v>0.75</v>
      </c>
      <c r="J8" s="63" t="s">
        <v>158</v>
      </c>
      <c r="K8" s="176" t="s">
        <v>160</v>
      </c>
      <c r="L8" s="176"/>
      <c r="M8" s="176"/>
      <c r="N8" s="177"/>
    </row>
    <row r="9" spans="1:14" ht="19.5" customHeight="1" thickTop="1" thickBot="1" x14ac:dyDescent="0.25">
      <c r="A9" s="8"/>
      <c r="D9" s="8"/>
      <c r="E9" s="8"/>
    </row>
    <row r="10" spans="1:14" ht="25.5" customHeight="1" thickBot="1" x14ac:dyDescent="0.25">
      <c r="D10" s="1"/>
      <c r="E10" s="1"/>
      <c r="F10" s="1"/>
      <c r="G10" s="1"/>
      <c r="H10" s="1"/>
      <c r="I10" s="1"/>
      <c r="J10" s="1"/>
      <c r="K10" s="1"/>
      <c r="L10" s="1"/>
      <c r="M10" s="132" t="s">
        <v>141</v>
      </c>
      <c r="N10" s="133"/>
    </row>
    <row r="11" spans="1:14" ht="30" customHeight="1" thickBot="1" x14ac:dyDescent="0.25">
      <c r="A11" s="28"/>
      <c r="B11" s="28"/>
      <c r="C11" s="35"/>
      <c r="D11" s="1"/>
      <c r="E11" s="104" t="str">
        <f>LookupData!Y3</f>
        <v>10/01/18 - 12/31/18</v>
      </c>
      <c r="F11" s="105" t="str">
        <f>LookupData!Y4</f>
        <v>01/01/19 - 03/31/19</v>
      </c>
      <c r="G11" s="105" t="str">
        <f>LookupData!Y5</f>
        <v>04/01/19 - 06/30/19</v>
      </c>
      <c r="H11" s="105" t="str">
        <f>LookupData!Y6</f>
        <v>07/01/19 - 09/30/19</v>
      </c>
      <c r="I11" s="105" t="str">
        <f>LookupData!Y7</f>
        <v>10/01/19 - 12/31/19</v>
      </c>
      <c r="J11" s="105" t="str">
        <f>LookupData!Y8</f>
        <v>01/01/20 - 03/31/20</v>
      </c>
      <c r="K11" s="105" t="str">
        <f>LookupData!Y9</f>
        <v>04/01/20 - 06/30/20</v>
      </c>
      <c r="L11" s="106" t="str">
        <f>LookupData!Y10</f>
        <v>07/01/20 - 09/30/20</v>
      </c>
      <c r="M11" s="61" t="s">
        <v>142</v>
      </c>
      <c r="N11" s="62" t="s">
        <v>143</v>
      </c>
    </row>
    <row r="12" spans="1:14" ht="19.5" customHeight="1" thickBot="1" x14ac:dyDescent="0.25">
      <c r="A12" s="116" t="str">
        <f>LookupData!W3</f>
        <v>CGE CQ1-20</v>
      </c>
      <c r="B12" s="117"/>
      <c r="C12" s="122" t="str">
        <f>LookupData!X3</f>
        <v>RPE 12/31/18</v>
      </c>
      <c r="D12" s="123"/>
      <c r="E12" s="39" t="s">
        <v>145</v>
      </c>
      <c r="F12" s="40" t="s">
        <v>146</v>
      </c>
      <c r="G12" s="40" t="s">
        <v>147</v>
      </c>
      <c r="H12" s="40" t="s">
        <v>148</v>
      </c>
      <c r="I12" s="41" t="s">
        <v>149</v>
      </c>
      <c r="J12" s="136"/>
      <c r="K12" s="136"/>
      <c r="L12" s="136"/>
      <c r="M12" s="126"/>
      <c r="N12" s="128"/>
    </row>
    <row r="13" spans="1:14" ht="19.5" customHeight="1" x14ac:dyDescent="0.2">
      <c r="A13" s="118"/>
      <c r="B13" s="119"/>
      <c r="C13" s="134" t="s">
        <v>150</v>
      </c>
      <c r="D13" s="135"/>
      <c r="E13" s="52">
        <f ca="1">SUMIFS(LookupData!I$3:I$2682,LookupData!$A$3:$A$2682,$D$4,LookupData!$B$3:$B$2682,$D$8,LookupData!$C$3:$C$2682,$A12)</f>
        <v>262022.19</v>
      </c>
      <c r="F13" s="53">
        <f ca="1">SUMIFS(LookupData!J$3:J$2682,LookupData!$A$3:$A$2682,$D$4,LookupData!$B$3:$B$2682,$D$8,LookupData!$C$3:$C$2682,$A12)</f>
        <v>267554.86</v>
      </c>
      <c r="G13" s="53">
        <f ca="1">SUMIFS(LookupData!K$3:K$2682,LookupData!$A$3:$A$2682,$D$4,LookupData!$B$3:$B$2682,$D$8,LookupData!$C$3:$C$2682,$A12)</f>
        <v>269576.09999999998</v>
      </c>
      <c r="H13" s="53">
        <f ca="1">SUMIFS(LookupData!L$3:L$2682,LookupData!$A$3:$A$2682,$D$4,LookupData!$B$3:$B$2682,$D$8,LookupData!$C$3:$C$2682,$A12)</f>
        <v>270444.3</v>
      </c>
      <c r="I13" s="43">
        <v>270748.3</v>
      </c>
      <c r="J13" s="137"/>
      <c r="K13" s="137"/>
      <c r="L13" s="137"/>
      <c r="M13" s="127"/>
      <c r="N13" s="129"/>
    </row>
    <row r="14" spans="1:14" ht="19.5" customHeight="1" thickBot="1" x14ac:dyDescent="0.25">
      <c r="A14" s="118"/>
      <c r="B14" s="119"/>
      <c r="C14" s="134" t="s">
        <v>151</v>
      </c>
      <c r="D14" s="135"/>
      <c r="E14" s="54">
        <f ca="1">SUMIFS(LookupData!D$3:D$2682,LookupData!$A$3:$A$2682,$D$4,LookupData!$B$3:$B$2682,$D$8,LookupData!$C$3:$C$2682,$A12)</f>
        <v>290401.3</v>
      </c>
      <c r="F14" s="55">
        <f ca="1">SUMIFS(LookupData!E$3:E$2682,LookupData!$A$3:$A$2682,$D$4,LookupData!$B$3:$B$2682,$D$8,LookupData!$C$3:$C$2682,$A12)</f>
        <v>290401.3</v>
      </c>
      <c r="G14" s="55">
        <f ca="1">SUMIFS(LookupData!F$3:F$2682,LookupData!$A$3:$A$2682,$D$4,LookupData!$B$3:$B$2682,$D$8,LookupData!$C$3:$C$2682,$A12)</f>
        <v>290401.3</v>
      </c>
      <c r="H14" s="55">
        <f ca="1">SUMIFS(LookupData!G$3:G$2682,LookupData!$A$3:$A$2682,$D$4,LookupData!$B$3:$B$2682,$D$8,LookupData!$C$3:$C$2682,$A12)</f>
        <v>290401.3</v>
      </c>
      <c r="I14" s="44">
        <v>290401.3</v>
      </c>
      <c r="J14" s="137"/>
      <c r="K14" s="137"/>
      <c r="L14" s="137"/>
      <c r="M14" s="127"/>
      <c r="N14" s="129"/>
    </row>
    <row r="15" spans="1:14" ht="19.5" customHeight="1" thickTop="1" thickBot="1" x14ac:dyDescent="0.25">
      <c r="A15" s="120"/>
      <c r="B15" s="121"/>
      <c r="C15" s="134" t="s">
        <v>152</v>
      </c>
      <c r="D15" s="135"/>
      <c r="E15" s="71">
        <f ca="1">IFERROR(IF(E14=0,1,ROUND(E13/E14,4)),0)</f>
        <v>0.90229999999999999</v>
      </c>
      <c r="F15" s="77">
        <f t="shared" ref="F15:H15" ca="1" si="0">IFERROR(IF(F14=0,1,ROUND(F13/F14,4)),0)</f>
        <v>0.92130000000000001</v>
      </c>
      <c r="G15" s="77">
        <f t="shared" ca="1" si="0"/>
        <v>0.92830000000000001</v>
      </c>
      <c r="H15" s="77">
        <f t="shared" ca="1" si="0"/>
        <v>0.93130000000000002</v>
      </c>
      <c r="I15" s="78">
        <f t="shared" ref="I15" si="1">IFERROR(IF(I14=0,1,ROUND(I13/I14,4)),0)</f>
        <v>0.93230000000000002</v>
      </c>
      <c r="J15" s="137"/>
      <c r="K15" s="137"/>
      <c r="L15" s="137"/>
      <c r="M15" s="127"/>
      <c r="N15" s="129"/>
    </row>
    <row r="16" spans="1:14" ht="20.25" customHeight="1" thickBot="1" x14ac:dyDescent="0.25">
      <c r="A16" s="140" t="str">
        <f>LookupData!W4</f>
        <v>CGE CQ2-20</v>
      </c>
      <c r="B16" s="141"/>
      <c r="C16" s="122" t="str">
        <f>LookupData!X4</f>
        <v>RPE 03/31/19</v>
      </c>
      <c r="D16" s="123"/>
      <c r="E16" s="157"/>
      <c r="F16" s="39" t="s">
        <v>145</v>
      </c>
      <c r="G16" s="40" t="s">
        <v>146</v>
      </c>
      <c r="H16" s="40" t="s">
        <v>147</v>
      </c>
      <c r="I16" s="40" t="s">
        <v>148</v>
      </c>
      <c r="J16" s="41" t="s">
        <v>149</v>
      </c>
      <c r="K16" s="148"/>
      <c r="L16" s="150"/>
      <c r="M16" s="162"/>
      <c r="N16" s="163"/>
    </row>
    <row r="17" spans="1:16" ht="20.25" customHeight="1" x14ac:dyDescent="0.2">
      <c r="A17" s="142"/>
      <c r="B17" s="143"/>
      <c r="C17" s="134" t="s">
        <v>150</v>
      </c>
      <c r="D17" s="135"/>
      <c r="E17" s="158"/>
      <c r="F17" s="52">
        <f ca="1">SUMIFS(LookupData!I$3:I$2682,LookupData!$A$3:$A$2682,$D$4,LookupData!$B$3:$B$2682,$D$8,LookupData!$C$3:$C$2682,$A16)</f>
        <v>291145.5</v>
      </c>
      <c r="G17" s="53">
        <f ca="1">SUMIFS(LookupData!J$3:J$2682,LookupData!$A$3:$A$2682,$D$4,LookupData!$B$3:$B$2682,$D$8,LookupData!$C$3:$C$2682,$A16)</f>
        <v>305969.84000000003</v>
      </c>
      <c r="H17" s="53">
        <f ca="1">SUMIFS(LookupData!K$3:K$2682,LookupData!$A$3:$A$2682,$D$4,LookupData!$B$3:$B$2682,$D$8,LookupData!$C$3:$C$2682,$A16)</f>
        <v>307484.42</v>
      </c>
      <c r="I17" s="30">
        <v>309558.84999999998</v>
      </c>
      <c r="J17" s="43">
        <v>309864.7</v>
      </c>
      <c r="K17" s="151"/>
      <c r="L17" s="153"/>
      <c r="M17" s="162"/>
      <c r="N17" s="163"/>
    </row>
    <row r="18" spans="1:16" ht="20.25" customHeight="1" thickBot="1" x14ac:dyDescent="0.25">
      <c r="A18" s="142"/>
      <c r="B18" s="143"/>
      <c r="C18" s="134" t="s">
        <v>151</v>
      </c>
      <c r="D18" s="135"/>
      <c r="E18" s="158"/>
      <c r="F18" s="54">
        <f ca="1">SUMIFS(LookupData!D$3:D$2682,LookupData!$A$3:$A$2682,$D$4,LookupData!$B$3:$B$2682,$D$8,LookupData!$C$3:$C$2682,$A16)</f>
        <v>326951.05</v>
      </c>
      <c r="G18" s="55">
        <f ca="1">SUMIFS(LookupData!E$3:E$2682,LookupData!$A$3:$A$2682,$D$4,LookupData!$B$3:$B$2682,$D$8,LookupData!$C$3:$C$2682,$A16)</f>
        <v>326891.05</v>
      </c>
      <c r="H18" s="55">
        <f ca="1">SUMIFS(LookupData!F$3:F$2682,LookupData!$A$3:$A$2682,$D$4,LookupData!$B$3:$B$2682,$D$8,LookupData!$C$3:$C$2682,$A16)</f>
        <v>326590.05</v>
      </c>
      <c r="I18" s="38">
        <v>326590.05</v>
      </c>
      <c r="J18" s="44">
        <v>326509.05</v>
      </c>
      <c r="K18" s="151"/>
      <c r="L18" s="153"/>
      <c r="M18" s="162"/>
      <c r="N18" s="163"/>
    </row>
    <row r="19" spans="1:16" ht="20.25" customHeight="1" thickTop="1" thickBot="1" x14ac:dyDescent="0.25">
      <c r="A19" s="144"/>
      <c r="B19" s="145"/>
      <c r="C19" s="146" t="s">
        <v>152</v>
      </c>
      <c r="D19" s="147"/>
      <c r="E19" s="159"/>
      <c r="F19" s="73">
        <f ca="1">IFERROR(IF(F18=0,1,ROUND(F17/F18,4)),0)</f>
        <v>0.89049999999999996</v>
      </c>
      <c r="G19" s="75">
        <f t="shared" ref="G19:H19" ca="1" si="2">IFERROR(IF(G18=0,1,ROUND(G17/G18,4)),0)</f>
        <v>0.93600000000000005</v>
      </c>
      <c r="H19" s="75">
        <f t="shared" ca="1" si="2"/>
        <v>0.9415</v>
      </c>
      <c r="I19" s="75">
        <f t="shared" ref="I19:J19" si="3">IFERROR(IF(I18=0,1,ROUND(I17/I18,4)),0)</f>
        <v>0.94789999999999996</v>
      </c>
      <c r="J19" s="76">
        <f t="shared" si="3"/>
        <v>0.94899999999999995</v>
      </c>
      <c r="K19" s="154"/>
      <c r="L19" s="156"/>
      <c r="M19" s="162"/>
      <c r="N19" s="163"/>
    </row>
    <row r="20" spans="1:16" ht="20.25" customHeight="1" thickBot="1" x14ac:dyDescent="0.25">
      <c r="A20" s="116" t="str">
        <f>LookupData!W5</f>
        <v>CGE CQ3-20</v>
      </c>
      <c r="B20" s="117"/>
      <c r="C20" s="138" t="str">
        <f>LookupData!X5</f>
        <v>RPE 06/30/19</v>
      </c>
      <c r="D20" s="139"/>
      <c r="E20" s="160"/>
      <c r="F20" s="161"/>
      <c r="G20" s="50" t="s">
        <v>145</v>
      </c>
      <c r="H20" s="36" t="s">
        <v>146</v>
      </c>
      <c r="I20" s="36" t="s">
        <v>147</v>
      </c>
      <c r="J20" s="36" t="s">
        <v>148</v>
      </c>
      <c r="K20" s="51" t="s">
        <v>149</v>
      </c>
      <c r="L20" s="151"/>
      <c r="M20" s="162"/>
      <c r="N20" s="163"/>
    </row>
    <row r="21" spans="1:16" ht="20.25" customHeight="1" x14ac:dyDescent="0.2">
      <c r="A21" s="118"/>
      <c r="B21" s="119"/>
      <c r="C21" s="134" t="s">
        <v>150</v>
      </c>
      <c r="D21" s="135"/>
      <c r="E21" s="160"/>
      <c r="F21" s="161"/>
      <c r="G21" s="52">
        <f ca="1">SUMIFS(LookupData!I$3:I$2682,LookupData!$A$3:$A$2682,$D$4,LookupData!$B$3:$B$2682,$D$8,LookupData!$C$3:$C$2682,$A20)</f>
        <v>319425.31</v>
      </c>
      <c r="H21" s="53">
        <f ca="1">SUMIFS(LookupData!J$3:J$2682,LookupData!$A$3:$A$2682,$D$4,LookupData!$B$3:$B$2682,$D$8,LookupData!$C$3:$C$2682,$A20)</f>
        <v>329690.15999999997</v>
      </c>
      <c r="I21" s="30">
        <v>331671.69</v>
      </c>
      <c r="J21" s="30">
        <v>332731.51</v>
      </c>
      <c r="K21" s="43"/>
      <c r="L21" s="151"/>
      <c r="M21" s="162"/>
      <c r="N21" s="163"/>
    </row>
    <row r="22" spans="1:16" ht="20.25" customHeight="1" thickBot="1" x14ac:dyDescent="0.25">
      <c r="A22" s="118"/>
      <c r="B22" s="119"/>
      <c r="C22" s="134" t="s">
        <v>151</v>
      </c>
      <c r="D22" s="135"/>
      <c r="E22" s="160"/>
      <c r="F22" s="161"/>
      <c r="G22" s="54">
        <f ca="1">SUMIFS(LookupData!D$3:D$2682,LookupData!$A$3:$A$2682,$D$4,LookupData!$B$3:$B$2682,$D$8,LookupData!$C$3:$C$2682,$A20)</f>
        <v>354029.95</v>
      </c>
      <c r="H22" s="55">
        <f ca="1">SUMIFS(LookupData!E$3:E$2682,LookupData!$A$3:$A$2682,$D$4,LookupData!$B$3:$B$2682,$D$8,LookupData!$C$3:$C$2682,$A20)</f>
        <v>353979.95</v>
      </c>
      <c r="I22" s="38">
        <v>353929.95</v>
      </c>
      <c r="J22" s="38">
        <v>353929.95</v>
      </c>
      <c r="K22" s="44"/>
      <c r="L22" s="151"/>
      <c r="M22" s="162"/>
      <c r="N22" s="163"/>
    </row>
    <row r="23" spans="1:16" ht="20.25" customHeight="1" thickTop="1" thickBot="1" x14ac:dyDescent="0.25">
      <c r="A23" s="120"/>
      <c r="B23" s="121"/>
      <c r="C23" s="134" t="s">
        <v>152</v>
      </c>
      <c r="D23" s="135"/>
      <c r="E23" s="160"/>
      <c r="F23" s="161"/>
      <c r="G23" s="71">
        <f t="shared" ref="G23:H23" ca="1" si="4">IFERROR(IF(G22=0,1,ROUND(G21/G22,4)),0)</f>
        <v>0.90229999999999999</v>
      </c>
      <c r="H23" s="77">
        <f t="shared" ca="1" si="4"/>
        <v>0.93140000000000001</v>
      </c>
      <c r="I23" s="77">
        <f t="shared" ref="I23:K23" si="5">IFERROR(IF(I22=0,1,ROUND(I21/I22,4)),0)</f>
        <v>0.93710000000000004</v>
      </c>
      <c r="J23" s="77">
        <f t="shared" si="5"/>
        <v>0.94010000000000005</v>
      </c>
      <c r="K23" s="78">
        <f t="shared" si="5"/>
        <v>1</v>
      </c>
      <c r="L23" s="151"/>
      <c r="M23" s="162"/>
      <c r="N23" s="163"/>
      <c r="O23"/>
      <c r="P23"/>
    </row>
    <row r="24" spans="1:16" ht="20.25" customHeight="1" thickBot="1" x14ac:dyDescent="0.25">
      <c r="A24" s="140" t="str">
        <f>LookupData!W6</f>
        <v>CGE CQ4-20</v>
      </c>
      <c r="B24" s="141"/>
      <c r="C24" s="122" t="str">
        <f>LookupData!X6</f>
        <v>RPE 09/30/19</v>
      </c>
      <c r="D24" s="123"/>
      <c r="E24" s="148"/>
      <c r="F24" s="149"/>
      <c r="G24" s="150"/>
      <c r="H24" s="39" t="s">
        <v>145</v>
      </c>
      <c r="I24" s="40" t="s">
        <v>146</v>
      </c>
      <c r="J24" s="40" t="s">
        <v>147</v>
      </c>
      <c r="K24" s="40" t="s">
        <v>148</v>
      </c>
      <c r="L24" s="41" t="s">
        <v>149</v>
      </c>
      <c r="M24" s="164"/>
      <c r="N24" s="166"/>
      <c r="O24"/>
      <c r="P24"/>
    </row>
    <row r="25" spans="1:16" ht="20.25" customHeight="1" x14ac:dyDescent="0.2">
      <c r="A25" s="142"/>
      <c r="B25" s="143"/>
      <c r="C25" s="134" t="s">
        <v>150</v>
      </c>
      <c r="D25" s="135"/>
      <c r="E25" s="151"/>
      <c r="F25" s="152"/>
      <c r="G25" s="153"/>
      <c r="H25" s="52">
        <f ca="1">SUMIFS(LookupData!I$3:I$2682,LookupData!$A$3:$A$2682,$D$4,LookupData!$B$3:$B$2682,$D$8,LookupData!$C$3:$C$2682,$A24)</f>
        <v>282489.65999999997</v>
      </c>
      <c r="I25" s="30">
        <v>291992.55</v>
      </c>
      <c r="J25" s="30">
        <v>294970.8</v>
      </c>
      <c r="K25" s="30"/>
      <c r="L25" s="43"/>
      <c r="M25" s="164"/>
      <c r="N25" s="166"/>
      <c r="O25"/>
      <c r="P25"/>
    </row>
    <row r="26" spans="1:16" ht="20.25" customHeight="1" thickBot="1" x14ac:dyDescent="0.25">
      <c r="A26" s="142"/>
      <c r="B26" s="143"/>
      <c r="C26" s="134" t="s">
        <v>151</v>
      </c>
      <c r="D26" s="135"/>
      <c r="E26" s="151"/>
      <c r="F26" s="152"/>
      <c r="G26" s="153"/>
      <c r="H26" s="54">
        <f ca="1">SUMIFS(LookupData!D$3:D$2682,LookupData!$A$3:$A$2682,$D$4,LookupData!$B$3:$B$2682,$D$8,LookupData!$C$3:$C$2682,$A24)</f>
        <v>313518.95</v>
      </c>
      <c r="I26" s="38">
        <v>313518.95</v>
      </c>
      <c r="J26" s="38">
        <v>313518.95</v>
      </c>
      <c r="K26" s="38"/>
      <c r="L26" s="44"/>
      <c r="M26" s="164"/>
      <c r="N26" s="166"/>
      <c r="O26"/>
      <c r="P26"/>
    </row>
    <row r="27" spans="1:16" ht="20.25" customHeight="1" thickTop="1" thickBot="1" x14ac:dyDescent="0.25">
      <c r="A27" s="144"/>
      <c r="B27" s="145"/>
      <c r="C27" s="146" t="s">
        <v>152</v>
      </c>
      <c r="D27" s="147"/>
      <c r="E27" s="154"/>
      <c r="F27" s="155"/>
      <c r="G27" s="156"/>
      <c r="H27" s="73">
        <f t="shared" ref="H27" ca="1" si="6">IFERROR(IF(H26=0,1,ROUND(H25/H26,4)),0)</f>
        <v>0.90100000000000002</v>
      </c>
      <c r="I27" s="75">
        <f t="shared" ref="I27:L27" si="7">IFERROR(IF(I26=0,1,ROUND(I25/I26,4)),0)</f>
        <v>0.93130000000000002</v>
      </c>
      <c r="J27" s="75">
        <f t="shared" si="7"/>
        <v>0.94079999999999997</v>
      </c>
      <c r="K27" s="75">
        <f t="shared" si="7"/>
        <v>1</v>
      </c>
      <c r="L27" s="76">
        <f t="shared" si="7"/>
        <v>1</v>
      </c>
      <c r="M27" s="165"/>
      <c r="N27" s="167"/>
      <c r="O27"/>
      <c r="P27"/>
    </row>
    <row r="28" spans="1:16" ht="20.25" customHeight="1" thickBot="1" x14ac:dyDescent="0.25">
      <c r="A28" s="116" t="str">
        <f>LookupData!W7</f>
        <v>CGE CQ1-21</v>
      </c>
      <c r="B28" s="117"/>
      <c r="C28" s="122" t="str">
        <f>LookupData!X7</f>
        <v>RPE 12/31/19</v>
      </c>
      <c r="D28" s="123"/>
      <c r="E28" s="148"/>
      <c r="F28" s="149"/>
      <c r="G28" s="149"/>
      <c r="H28" s="150"/>
      <c r="I28" s="39" t="s">
        <v>145</v>
      </c>
      <c r="J28" s="40" t="s">
        <v>146</v>
      </c>
      <c r="K28" s="40" t="s">
        <v>147</v>
      </c>
      <c r="L28" s="41" t="s">
        <v>148</v>
      </c>
      <c r="M28" s="192"/>
      <c r="N28" s="193"/>
      <c r="O28"/>
      <c r="P28"/>
    </row>
    <row r="29" spans="1:16" ht="20.25" customHeight="1" x14ac:dyDescent="0.2">
      <c r="A29" s="118"/>
      <c r="B29" s="119"/>
      <c r="C29" s="134" t="s">
        <v>150</v>
      </c>
      <c r="D29" s="135"/>
      <c r="E29" s="151"/>
      <c r="F29" s="152"/>
      <c r="G29" s="152"/>
      <c r="H29" s="153"/>
      <c r="I29" s="42">
        <v>276858.93</v>
      </c>
      <c r="J29" s="30">
        <v>292426.21000000002</v>
      </c>
      <c r="K29" s="30"/>
      <c r="L29" s="43"/>
      <c r="M29" s="160"/>
      <c r="N29" s="194"/>
      <c r="O29"/>
      <c r="P29"/>
    </row>
    <row r="30" spans="1:16" ht="20.25" customHeight="1" thickBot="1" x14ac:dyDescent="0.25">
      <c r="A30" s="118"/>
      <c r="B30" s="119"/>
      <c r="C30" s="134" t="s">
        <v>151</v>
      </c>
      <c r="D30" s="135"/>
      <c r="E30" s="151"/>
      <c r="F30" s="152"/>
      <c r="G30" s="152"/>
      <c r="H30" s="153"/>
      <c r="I30" s="37">
        <v>318508.84999999998</v>
      </c>
      <c r="J30" s="38">
        <v>317913.84999999998</v>
      </c>
      <c r="K30" s="38"/>
      <c r="L30" s="44"/>
      <c r="M30" s="195"/>
      <c r="N30" s="196"/>
      <c r="O30"/>
      <c r="P30"/>
    </row>
    <row r="31" spans="1:16" ht="20.25" customHeight="1" thickTop="1" thickBot="1" x14ac:dyDescent="0.25">
      <c r="A31" s="120"/>
      <c r="B31" s="121"/>
      <c r="C31" s="146" t="s">
        <v>152</v>
      </c>
      <c r="D31" s="147"/>
      <c r="E31" s="154"/>
      <c r="F31" s="155"/>
      <c r="G31" s="155"/>
      <c r="H31" s="156"/>
      <c r="I31" s="73">
        <f t="shared" ref="I31:L31" si="8">IFERROR(IF(I30=0,1,ROUND(I29/I30,4)),0)</f>
        <v>0.86919999999999997</v>
      </c>
      <c r="J31" s="75">
        <f t="shared" si="8"/>
        <v>0.91979999999999995</v>
      </c>
      <c r="K31" s="75">
        <f t="shared" si="8"/>
        <v>1</v>
      </c>
      <c r="L31" s="74">
        <f t="shared" si="8"/>
        <v>1</v>
      </c>
      <c r="M31" s="169" t="s">
        <v>153</v>
      </c>
      <c r="N31" s="170"/>
      <c r="O31"/>
      <c r="P31"/>
    </row>
    <row r="32" spans="1:16" ht="20.25" customHeight="1" thickBot="1" x14ac:dyDescent="0.25">
      <c r="A32" s="140" t="str">
        <f>LookupData!W8</f>
        <v>CGE CQ2-21</v>
      </c>
      <c r="B32" s="141"/>
      <c r="C32" s="122" t="str">
        <f>LookupData!X8</f>
        <v>RPE 03/31/20</v>
      </c>
      <c r="D32" s="123"/>
      <c r="E32" s="148"/>
      <c r="F32" s="149"/>
      <c r="G32" s="149"/>
      <c r="H32" s="149"/>
      <c r="I32" s="150"/>
      <c r="J32" s="39" t="s">
        <v>145</v>
      </c>
      <c r="K32" s="40" t="s">
        <v>146</v>
      </c>
      <c r="L32" s="40" t="s">
        <v>147</v>
      </c>
      <c r="M32" s="180" t="str">
        <f>LookupData!Y7</f>
        <v>10/01/19 - 12/31/19</v>
      </c>
      <c r="N32" s="181"/>
      <c r="O32"/>
      <c r="P32"/>
    </row>
    <row r="33" spans="1:16" ht="20.25" customHeight="1" x14ac:dyDescent="0.2">
      <c r="A33" s="142"/>
      <c r="B33" s="143"/>
      <c r="C33" s="134" t="s">
        <v>150</v>
      </c>
      <c r="D33" s="135"/>
      <c r="E33" s="151"/>
      <c r="F33" s="152"/>
      <c r="G33" s="152"/>
      <c r="H33" s="152"/>
      <c r="I33" s="153"/>
      <c r="J33" s="42">
        <v>279725.38</v>
      </c>
      <c r="K33" s="30"/>
      <c r="L33" s="48"/>
      <c r="M33" s="184"/>
      <c r="N33" s="185"/>
      <c r="O33"/>
      <c r="P33"/>
    </row>
    <row r="34" spans="1:16" ht="20.25" customHeight="1" thickBot="1" x14ac:dyDescent="0.25">
      <c r="A34" s="142"/>
      <c r="B34" s="143"/>
      <c r="C34" s="134" t="s">
        <v>151</v>
      </c>
      <c r="D34" s="135"/>
      <c r="E34" s="151"/>
      <c r="F34" s="152"/>
      <c r="G34" s="152"/>
      <c r="H34" s="152"/>
      <c r="I34" s="153"/>
      <c r="J34" s="37">
        <v>310336.8</v>
      </c>
      <c r="K34" s="38"/>
      <c r="L34" s="49"/>
      <c r="M34" s="186"/>
      <c r="N34" s="187"/>
      <c r="O34"/>
      <c r="P34"/>
    </row>
    <row r="35" spans="1:16" ht="20.25" customHeight="1" thickTop="1" thickBot="1" x14ac:dyDescent="0.25">
      <c r="A35" s="144"/>
      <c r="B35" s="145"/>
      <c r="C35" s="146" t="s">
        <v>152</v>
      </c>
      <c r="D35" s="147"/>
      <c r="E35" s="154"/>
      <c r="F35" s="155"/>
      <c r="G35" s="155"/>
      <c r="H35" s="155"/>
      <c r="I35" s="156"/>
      <c r="J35" s="73">
        <f t="shared" ref="J35:L35" si="9">IFERROR(IF(J34=0,1,ROUND(J33/J34,4)),0)</f>
        <v>0.90139999999999998</v>
      </c>
      <c r="K35" s="75">
        <f t="shared" si="9"/>
        <v>1</v>
      </c>
      <c r="L35" s="74">
        <f t="shared" si="9"/>
        <v>1</v>
      </c>
      <c r="M35" s="182" t="str">
        <f>LookupData!Y8</f>
        <v>01/01/20 - 03/31/20</v>
      </c>
      <c r="N35" s="183"/>
      <c r="O35"/>
      <c r="P35"/>
    </row>
    <row r="36" spans="1:16" ht="20.25" customHeight="1" thickBot="1" x14ac:dyDescent="0.25">
      <c r="A36" s="116" t="str">
        <f>LookupData!W9</f>
        <v>CGE CQ3-21</v>
      </c>
      <c r="B36" s="117"/>
      <c r="C36" s="122" t="str">
        <f>LookupData!X9</f>
        <v>RPE 06/30/20</v>
      </c>
      <c r="D36" s="123"/>
      <c r="E36" s="148"/>
      <c r="F36" s="149"/>
      <c r="G36" s="149"/>
      <c r="H36" s="149"/>
      <c r="I36" s="149"/>
      <c r="J36" s="150"/>
      <c r="K36" s="39" t="s">
        <v>145</v>
      </c>
      <c r="L36" s="40" t="s">
        <v>146</v>
      </c>
      <c r="M36" s="188"/>
      <c r="N36" s="189"/>
      <c r="O36"/>
      <c r="P36"/>
    </row>
    <row r="37" spans="1:16" ht="20.25" customHeight="1" thickBot="1" x14ac:dyDescent="0.25">
      <c r="A37" s="118"/>
      <c r="B37" s="119"/>
      <c r="C37" s="134" t="s">
        <v>150</v>
      </c>
      <c r="D37" s="135"/>
      <c r="E37" s="151"/>
      <c r="F37" s="152"/>
      <c r="G37" s="152"/>
      <c r="H37" s="152"/>
      <c r="I37" s="152"/>
      <c r="J37" s="153"/>
      <c r="K37" s="42"/>
      <c r="L37" s="30"/>
      <c r="M37" s="190"/>
      <c r="N37" s="191"/>
      <c r="O37"/>
      <c r="P37"/>
    </row>
    <row r="38" spans="1:16" ht="20.25" customHeight="1" thickBot="1" x14ac:dyDescent="0.25">
      <c r="A38" s="118"/>
      <c r="B38" s="119"/>
      <c r="C38" s="134" t="s">
        <v>151</v>
      </c>
      <c r="D38" s="135"/>
      <c r="E38" s="151"/>
      <c r="F38" s="152"/>
      <c r="G38" s="152"/>
      <c r="H38" s="152"/>
      <c r="I38" s="152"/>
      <c r="J38" s="153"/>
      <c r="K38" s="37"/>
      <c r="L38" s="38"/>
      <c r="M38" s="182" t="str">
        <f>LookupData!Y9</f>
        <v>04/01/20 - 06/30/20</v>
      </c>
      <c r="N38" s="183"/>
      <c r="O38"/>
      <c r="P38"/>
    </row>
    <row r="39" spans="1:16" ht="20.25" customHeight="1" thickTop="1" thickBot="1" x14ac:dyDescent="0.25">
      <c r="A39" s="120"/>
      <c r="B39" s="121"/>
      <c r="C39" s="146" t="s">
        <v>152</v>
      </c>
      <c r="D39" s="147"/>
      <c r="E39" s="154"/>
      <c r="F39" s="155"/>
      <c r="G39" s="155"/>
      <c r="H39" s="155"/>
      <c r="I39" s="155"/>
      <c r="J39" s="156"/>
      <c r="K39" s="73">
        <f t="shared" ref="K39:L39" si="10">IFERROR(IF(K38=0,1,ROUND(K37/K38,4)),0)</f>
        <v>1</v>
      </c>
      <c r="L39" s="74">
        <f t="shared" si="10"/>
        <v>1</v>
      </c>
      <c r="M39" s="188"/>
      <c r="N39" s="189"/>
      <c r="O39"/>
      <c r="P39"/>
    </row>
    <row r="40" spans="1:16" ht="20.25" customHeight="1" thickBot="1" x14ac:dyDescent="0.25">
      <c r="A40" s="140" t="str">
        <f>LookupData!W10</f>
        <v>CGE CQ4-21</v>
      </c>
      <c r="B40" s="141"/>
      <c r="C40" s="122" t="str">
        <f>LookupData!X10</f>
        <v>RPE 09/30/20</v>
      </c>
      <c r="D40" s="123"/>
      <c r="E40" s="148"/>
      <c r="F40" s="149"/>
      <c r="G40" s="149"/>
      <c r="H40" s="149"/>
      <c r="I40" s="149"/>
      <c r="J40" s="149"/>
      <c r="K40" s="150"/>
      <c r="L40" s="39" t="s">
        <v>145</v>
      </c>
      <c r="M40" s="190"/>
      <c r="N40" s="191"/>
      <c r="O40"/>
      <c r="P40"/>
    </row>
    <row r="41" spans="1:16" ht="20.25" customHeight="1" x14ac:dyDescent="0.2">
      <c r="A41" s="142"/>
      <c r="B41" s="143"/>
      <c r="C41" s="134" t="s">
        <v>150</v>
      </c>
      <c r="D41" s="135"/>
      <c r="E41" s="151"/>
      <c r="F41" s="152"/>
      <c r="G41" s="152"/>
      <c r="H41" s="152"/>
      <c r="I41" s="152"/>
      <c r="J41" s="152"/>
      <c r="K41" s="153"/>
      <c r="L41" s="59"/>
      <c r="M41" s="182" t="str">
        <f>LookupData!Y10</f>
        <v>07/01/20 - 09/30/20</v>
      </c>
      <c r="N41" s="183"/>
      <c r="O41"/>
      <c r="P41"/>
    </row>
    <row r="42" spans="1:16" ht="20.25" customHeight="1" thickBot="1" x14ac:dyDescent="0.25">
      <c r="A42" s="142"/>
      <c r="B42" s="143"/>
      <c r="C42" s="134" t="s">
        <v>151</v>
      </c>
      <c r="D42" s="135"/>
      <c r="E42" s="151"/>
      <c r="F42" s="152"/>
      <c r="G42" s="152"/>
      <c r="H42" s="152"/>
      <c r="I42" s="152"/>
      <c r="J42" s="152"/>
      <c r="K42" s="153"/>
      <c r="L42" s="60"/>
      <c r="M42" s="188"/>
      <c r="N42" s="189"/>
      <c r="O42"/>
      <c r="P42"/>
    </row>
    <row r="43" spans="1:16" ht="20.25" customHeight="1" thickTop="1" thickBot="1" x14ac:dyDescent="0.25">
      <c r="A43" s="144"/>
      <c r="B43" s="145"/>
      <c r="C43" s="146" t="s">
        <v>152</v>
      </c>
      <c r="D43" s="147"/>
      <c r="E43" s="154"/>
      <c r="F43" s="155"/>
      <c r="G43" s="155"/>
      <c r="H43" s="155"/>
      <c r="I43" s="155"/>
      <c r="J43" s="155"/>
      <c r="K43" s="156"/>
      <c r="L43" s="72">
        <f>IFERROR(IF(L42=0,1,ROUND(L41/L42,4)),0)</f>
        <v>1</v>
      </c>
      <c r="M43" s="190"/>
      <c r="N43" s="191"/>
      <c r="O43"/>
      <c r="P43"/>
    </row>
    <row r="44" spans="1:16" ht="20.25" customHeight="1" x14ac:dyDescent="0.25">
      <c r="D44" s="11"/>
      <c r="E44" s="11"/>
      <c r="F44" s="11"/>
      <c r="G44" s="11"/>
      <c r="H44" s="11"/>
      <c r="I44" s="11"/>
      <c r="J44" s="11"/>
      <c r="K44" s="11"/>
      <c r="L44" s="11"/>
      <c r="M44" s="11"/>
      <c r="N44" s="12"/>
    </row>
    <row r="45" spans="1:16" ht="61.5" customHeight="1" x14ac:dyDescent="0.3">
      <c r="C45" s="67" t="s">
        <v>162</v>
      </c>
      <c r="D45" s="179" t="s">
        <v>169</v>
      </c>
      <c r="E45" s="179"/>
      <c r="F45" s="179"/>
      <c r="G45" s="179"/>
      <c r="H45" s="179" t="s">
        <v>166</v>
      </c>
      <c r="I45" s="179"/>
      <c r="J45" s="179"/>
      <c r="K45" s="179"/>
      <c r="L45" s="68"/>
      <c r="M45" s="58"/>
      <c r="N45" s="12"/>
    </row>
    <row r="46" spans="1:16" ht="20.25" customHeight="1" x14ac:dyDescent="0.3">
      <c r="C46" s="57" t="s">
        <v>163</v>
      </c>
      <c r="D46" s="58" t="s">
        <v>164</v>
      </c>
      <c r="E46" s="58"/>
      <c r="F46" s="58"/>
      <c r="G46" s="58"/>
      <c r="H46" s="58"/>
      <c r="I46" s="58"/>
      <c r="J46" s="58"/>
      <c r="K46" s="58"/>
      <c r="L46" s="58"/>
      <c r="M46" s="58"/>
      <c r="N46" s="12"/>
    </row>
    <row r="47" spans="1:16" ht="20.25" customHeight="1" x14ac:dyDescent="0.3">
      <c r="C47" s="58"/>
      <c r="D47" s="58" t="s">
        <v>207</v>
      </c>
      <c r="E47" s="58"/>
      <c r="F47" s="58"/>
      <c r="G47" s="58"/>
      <c r="H47" s="58"/>
      <c r="I47" s="58"/>
      <c r="J47" s="58"/>
      <c r="K47" s="58"/>
      <c r="L47" s="58"/>
      <c r="M47" s="58"/>
      <c r="N47" s="12"/>
    </row>
    <row r="48" spans="1:16" ht="20.25" customHeight="1" x14ac:dyDescent="0.3">
      <c r="C48" s="58"/>
      <c r="D48" s="58" t="s">
        <v>208</v>
      </c>
      <c r="E48" s="58"/>
      <c r="F48" s="58"/>
      <c r="G48" s="58"/>
      <c r="H48" s="58"/>
      <c r="I48" s="58"/>
      <c r="J48" s="58"/>
      <c r="K48" s="58"/>
      <c r="L48" s="58"/>
      <c r="M48" s="58"/>
      <c r="N48" s="12"/>
    </row>
    <row r="49" spans="3:14" ht="20.25" customHeight="1" x14ac:dyDescent="0.3">
      <c r="C49" s="58"/>
      <c r="D49" s="58"/>
      <c r="E49" s="58" t="s">
        <v>167</v>
      </c>
      <c r="F49" s="58"/>
      <c r="G49" s="58"/>
      <c r="H49" s="58"/>
      <c r="I49" s="58"/>
      <c r="J49" s="58"/>
      <c r="K49" s="58"/>
      <c r="L49" s="58"/>
      <c r="M49" s="58"/>
      <c r="N49" s="12"/>
    </row>
    <row r="50" spans="3:14" ht="20.25" customHeight="1" x14ac:dyDescent="0.3">
      <c r="C50" s="58"/>
      <c r="D50" s="58"/>
      <c r="E50" s="58" t="s">
        <v>168</v>
      </c>
      <c r="F50" s="58"/>
      <c r="G50" s="58"/>
      <c r="H50" s="58"/>
      <c r="I50" s="58"/>
      <c r="J50" s="58"/>
      <c r="K50" s="58"/>
      <c r="L50" s="58"/>
      <c r="M50" s="58"/>
      <c r="N50" s="12"/>
    </row>
    <row r="51" spans="3:14" ht="20.25" customHeight="1" x14ac:dyDescent="0.3">
      <c r="C51" s="69"/>
      <c r="D51" s="58" t="s">
        <v>165</v>
      </c>
      <c r="E51" s="69"/>
      <c r="F51" s="69"/>
      <c r="G51" s="69"/>
      <c r="H51" s="70"/>
      <c r="I51" s="58"/>
      <c r="J51" s="58"/>
      <c r="K51" s="58"/>
      <c r="L51" s="58"/>
      <c r="M51" s="58"/>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wrzhpyMmZNVUgX7EgrEqxcTYojuBhf8LzKmxubg+lQWQAjGDuy3JeOMXvLrLiOhankiMQlj+N0M2c1DOpKPagQ==" saltValue="0Nkh1pnyYaH60tHYyuvkrw==" spinCount="100000" sheet="1" formatColumns="0" formatRows="0" selectLockedCells="1"/>
  <mergeCells count="80">
    <mergeCell ref="D45:G45"/>
    <mergeCell ref="H45:K45"/>
    <mergeCell ref="C40:D40"/>
    <mergeCell ref="E40:K43"/>
    <mergeCell ref="C41:D41"/>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A32:B35"/>
    <mergeCell ref="C32:D32"/>
    <mergeCell ref="E32:I35"/>
    <mergeCell ref="M32:N32"/>
    <mergeCell ref="C33:D33"/>
    <mergeCell ref="M33:N34"/>
    <mergeCell ref="C34:D34"/>
    <mergeCell ref="C35:D35"/>
    <mergeCell ref="M35:N35"/>
    <mergeCell ref="N24:N27"/>
    <mergeCell ref="C25:D25"/>
    <mergeCell ref="C26:D26"/>
    <mergeCell ref="C27:D27"/>
    <mergeCell ref="A28:B31"/>
    <mergeCell ref="C28:D28"/>
    <mergeCell ref="E28:H31"/>
    <mergeCell ref="M28:N30"/>
    <mergeCell ref="C29:D29"/>
    <mergeCell ref="C30:D30"/>
    <mergeCell ref="C31:D31"/>
    <mergeCell ref="M31:N31"/>
    <mergeCell ref="C20:D20"/>
    <mergeCell ref="E20:F23"/>
    <mergeCell ref="L20:L23"/>
    <mergeCell ref="M20:M23"/>
    <mergeCell ref="A24:B27"/>
    <mergeCell ref="C24:D24"/>
    <mergeCell ref="E24:G27"/>
    <mergeCell ref="M24:M27"/>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K7:N7"/>
    <mergeCell ref="C14:D14"/>
    <mergeCell ref="C15:D15"/>
    <mergeCell ref="D4:E4"/>
    <mergeCell ref="D5:E5"/>
    <mergeCell ref="D6:E6"/>
    <mergeCell ref="J6:N6"/>
    <mergeCell ref="A8:C8"/>
    <mergeCell ref="F8:G8"/>
    <mergeCell ref="K8:N8"/>
    <mergeCell ref="M10:N10"/>
    <mergeCell ref="C13:D13"/>
    <mergeCell ref="J12:L15"/>
    <mergeCell ref="M12:M15"/>
    <mergeCell ref="N12:N15"/>
    <mergeCell ref="N4:N5"/>
  </mergeCells>
  <conditionalFormatting sqref="F14:I14">
    <cfRule type="expression" dxfId="37" priority="25">
      <formula>F14&gt;(MIN($E14:E14))</formula>
    </cfRule>
  </conditionalFormatting>
  <conditionalFormatting sqref="F13:I13">
    <cfRule type="expression" dxfId="36" priority="24">
      <formula>F13&lt;(MAX($E13:E13))</formula>
    </cfRule>
  </conditionalFormatting>
  <conditionalFormatting sqref="G17:J17">
    <cfRule type="expression" dxfId="35" priority="23">
      <formula>G17&lt;(MAX($F17:F17))</formula>
    </cfRule>
  </conditionalFormatting>
  <conditionalFormatting sqref="G18:J18">
    <cfRule type="expression" dxfId="34" priority="22">
      <formula>G18&gt;(MIN($F18:F18))</formula>
    </cfRule>
  </conditionalFormatting>
  <conditionalFormatting sqref="H22:K22">
    <cfRule type="expression" dxfId="33" priority="21">
      <formula>H22&gt;(MIN($G22:G22))</formula>
    </cfRule>
  </conditionalFormatting>
  <conditionalFormatting sqref="H21:K21">
    <cfRule type="expression" dxfId="32" priority="20">
      <formula>H21&lt;(MAX($G21:G21))</formula>
    </cfRule>
  </conditionalFormatting>
  <conditionalFormatting sqref="I26:L26">
    <cfRule type="expression" dxfId="31" priority="19">
      <formula>I26&gt;(MIN($H26:H26))</formula>
    </cfRule>
  </conditionalFormatting>
  <conditionalFormatting sqref="I25:L25">
    <cfRule type="expression" dxfId="30" priority="18">
      <formula>I25&lt;(MAX($H25:H25))</formula>
    </cfRule>
  </conditionalFormatting>
  <conditionalFormatting sqref="J30:L30">
    <cfRule type="expression" dxfId="29" priority="17">
      <formula>J30&gt;(MIN($I30:I30))</formula>
    </cfRule>
  </conditionalFormatting>
  <conditionalFormatting sqref="J29:L29">
    <cfRule type="expression" dxfId="28" priority="16">
      <formula>J29&lt;(MAX($I29:I29))</formula>
    </cfRule>
  </conditionalFormatting>
  <conditionalFormatting sqref="K34:L34">
    <cfRule type="expression" dxfId="27" priority="15">
      <formula>K34&gt;(MIN($J34:J34))</formula>
    </cfRule>
  </conditionalFormatting>
  <conditionalFormatting sqref="K33:L33">
    <cfRule type="expression" dxfId="26" priority="14">
      <formula>K33&lt;(MAX($J33:J33))</formula>
    </cfRule>
  </conditionalFormatting>
  <conditionalFormatting sqref="L38">
    <cfRule type="expression" dxfId="25" priority="13">
      <formula>L38&gt;(MIN($G38:K38))</formula>
    </cfRule>
  </conditionalFormatting>
  <conditionalFormatting sqref="L37">
    <cfRule type="expression" dxfId="24" priority="12">
      <formula>L37&lt;(MAX($K37:K37))</formula>
    </cfRule>
  </conditionalFormatting>
  <conditionalFormatting sqref="I15 J19 K23 L27">
    <cfRule type="expression" dxfId="23" priority="11">
      <formula>I15&lt;$H$8</formula>
    </cfRule>
  </conditionalFormatting>
  <conditionalFormatting sqref="M12:N15">
    <cfRule type="expression" dxfId="22" priority="1">
      <formula>$I$15&lt;$H$8</formula>
    </cfRule>
  </conditionalFormatting>
  <conditionalFormatting sqref="M16:N19">
    <cfRule type="expression" dxfId="21" priority="4">
      <formula>$J$19&lt;$H$8</formula>
    </cfRule>
  </conditionalFormatting>
  <conditionalFormatting sqref="M20:N23">
    <cfRule type="expression" dxfId="20" priority="3">
      <formula>$K$23&lt;$H$8</formula>
    </cfRule>
  </conditionalFormatting>
  <conditionalFormatting sqref="M24:N27">
    <cfRule type="expression" dxfId="19" priority="2">
      <formula>$L$27&lt;$H$8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2020-05-04T16:28:02Z</cp:lastPrinted>
  <dcterms:created xsi:type="dcterms:W3CDTF">1996-10-14T23:33:28Z</dcterms:created>
  <dcterms:modified xsi:type="dcterms:W3CDTF">2020-05-04T16:31:43Z</dcterms:modified>
</cp:coreProperties>
</file>