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REPORTS\Reports\2020-2021 Reports\Collection Report\"/>
    </mc:Choice>
  </mc:AlternateContent>
  <workbookProtection workbookAlgorithmName="SHA-512" workbookHashValue="lmvL/1tM35y2AslwqbqpMlI6ki0qkNciSBjvJ08K28xPseBM4HCwUUNY/4HenBH7YK3D35OpKnJ8eb1HvZnSPg==" workbookSaltValue="H+M5dUbgdUbmJRatqEYP7g==" workbookSpinCount="100000" lockStructure="1"/>
  <bookViews>
    <workbookView xWindow="-120" yWindow="-120" windowWidth="29040" windowHeight="15840" tabRatio="857"/>
  </bookViews>
  <sheets>
    <sheet name="Circuit Criminal" sheetId="44" r:id="rId1"/>
    <sheet name="Drug Trafficking" sheetId="48" r:id="rId2"/>
    <sheet name="County Criminal" sheetId="49" r:id="rId3"/>
    <sheet name="Juvenile Delinquency" sheetId="50" r:id="rId4"/>
    <sheet name="Criminal Traffic" sheetId="51" r:id="rId5"/>
    <sheet name="Circuit Civil" sheetId="52" r:id="rId6"/>
    <sheet name="County Civil" sheetId="53" r:id="rId7"/>
    <sheet name="Probate" sheetId="55" r:id="rId8"/>
    <sheet name="Family" sheetId="56" r:id="rId9"/>
    <sheet name="Civil Traffic" sheetId="54" r:id="rId10"/>
    <sheet name="LookupData" sheetId="46" state="hidden" r:id="rId11"/>
    <sheet name="ReportInfo" sheetId="47" state="hidden" r:id="rId12"/>
  </sheets>
  <definedNames>
    <definedName name="_xlnm._FilterDatabase" localSheetId="10" hidden="1">LookupData!$A$2:$M$2682</definedName>
    <definedName name="_xlnm.Print_Area" localSheetId="5">'Circuit Civil'!$A$1:$N$53</definedName>
    <definedName name="_xlnm.Print_Area" localSheetId="0">'Circuit Criminal'!$A$1:$N$51</definedName>
    <definedName name="_xlnm.Print_Area" localSheetId="9">'Civil Traffic'!$A$1:$N$53</definedName>
    <definedName name="_xlnm.Print_Area" localSheetId="6">'County Civil'!$A$1:$N$53</definedName>
    <definedName name="_xlnm.Print_Area" localSheetId="2">'County Criminal'!$A$1:$N$51</definedName>
    <definedName name="_xlnm.Print_Area" localSheetId="4">'Criminal Traffic'!$A$1:$N$53</definedName>
    <definedName name="_xlnm.Print_Area" localSheetId="1">'Drug Trafficking'!$A$1:$N$51</definedName>
    <definedName name="_xlnm.Print_Area" localSheetId="8">Family!$A$1:$N$53</definedName>
    <definedName name="_xlnm.Print_Area" localSheetId="3">'Juvenile Delinquency'!$A$1:$N$53</definedName>
    <definedName name="_xlnm.Print_Area" localSheetId="7">Probate!$A$1:$N$53</definedName>
    <definedName name="_xlnm.Print_Titles" localSheetId="5">'Circuit Civil'!$1:$4</definedName>
    <definedName name="_xlnm.Print_Titles" localSheetId="0">'Circuit Criminal'!$1:$4</definedName>
    <definedName name="_xlnm.Print_Titles" localSheetId="9">'Civil Traffic'!$1:$4</definedName>
    <definedName name="_xlnm.Print_Titles" localSheetId="6">'County Civil'!$1:$4</definedName>
    <definedName name="_xlnm.Print_Titles" localSheetId="2">'County Criminal'!$1:$4</definedName>
    <definedName name="_xlnm.Print_Titles" localSheetId="4">'Criminal Traffic'!$1:$4</definedName>
    <definedName name="_xlnm.Print_Titles" localSheetId="1">'Drug Trafficking'!$1:$4</definedName>
    <definedName name="_xlnm.Print_Titles" localSheetId="8">Family!$1:$4</definedName>
    <definedName name="_xlnm.Print_Titles" localSheetId="3">'Juvenile Delinquency'!$1:$4</definedName>
    <definedName name="_xlnm.Print_Titles" localSheetId="7">Probate!$1:$4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1" i="48" l="1"/>
  <c r="I27" i="48"/>
  <c r="I23" i="48"/>
  <c r="I19" i="48"/>
  <c r="I15" i="48"/>
  <c r="L43" i="48"/>
  <c r="L39" i="48"/>
  <c r="K39" i="48"/>
  <c r="L35" i="48"/>
  <c r="K35" i="48"/>
  <c r="J35" i="48"/>
  <c r="L31" i="48"/>
  <c r="K31" i="48"/>
  <c r="J31" i="48"/>
  <c r="L27" i="48"/>
  <c r="K27" i="48"/>
  <c r="J27" i="48"/>
  <c r="K23" i="48"/>
  <c r="J23" i="48"/>
  <c r="J19" i="48"/>
  <c r="H4" i="54" l="1"/>
  <c r="N26" i="48" l="1"/>
  <c r="N25" i="48"/>
  <c r="N22" i="48"/>
  <c r="N21" i="48"/>
  <c r="N18" i="48"/>
  <c r="N17" i="48"/>
  <c r="N4" i="54"/>
  <c r="N4" i="56"/>
  <c r="N4" i="55"/>
  <c r="N4" i="53"/>
  <c r="N4" i="52"/>
  <c r="N4" i="49"/>
  <c r="N4" i="51"/>
  <c r="N4" i="50"/>
  <c r="M4" i="48"/>
  <c r="A2" i="54"/>
  <c r="A2" i="56"/>
  <c r="A2" i="55"/>
  <c r="A2" i="53"/>
  <c r="A2" i="52"/>
  <c r="A2" i="51"/>
  <c r="A2" i="50"/>
  <c r="A2" i="49"/>
  <c r="A2" i="48"/>
  <c r="D4" i="54" l="1"/>
  <c r="B9" i="47" l="1"/>
  <c r="B7" i="47"/>
  <c r="N14" i="48" l="1"/>
  <c r="N13" i="48"/>
  <c r="D4" i="50"/>
  <c r="D6" i="49"/>
  <c r="D6" i="50"/>
  <c r="D6" i="51"/>
  <c r="D6" i="52"/>
  <c r="D6" i="53"/>
  <c r="D6" i="54"/>
  <c r="D6" i="55"/>
  <c r="D6" i="56"/>
  <c r="D6" i="48"/>
  <c r="D5" i="49"/>
  <c r="D5" i="50"/>
  <c r="D5" i="51"/>
  <c r="D5" i="52"/>
  <c r="D5" i="53"/>
  <c r="D5" i="54"/>
  <c r="D5" i="55"/>
  <c r="D5" i="56"/>
  <c r="D5" i="48"/>
  <c r="L4" i="49"/>
  <c r="L4" i="50"/>
  <c r="L4" i="51"/>
  <c r="L4" i="52"/>
  <c r="L4" i="53"/>
  <c r="L4" i="54"/>
  <c r="L4" i="55"/>
  <c r="L4" i="56"/>
  <c r="H6" i="48"/>
  <c r="H4" i="49"/>
  <c r="H4" i="50"/>
  <c r="H4" i="51"/>
  <c r="H4" i="52"/>
  <c r="H4" i="53"/>
  <c r="H4" i="55"/>
  <c r="H4" i="56"/>
  <c r="H4" i="48"/>
  <c r="D4" i="49"/>
  <c r="D4" i="51"/>
  <c r="D4" i="52"/>
  <c r="D4" i="53"/>
  <c r="D4" i="55"/>
  <c r="D4" i="56"/>
  <c r="D4" i="48"/>
  <c r="N70" i="47"/>
  <c r="G148" i="47"/>
  <c r="E219" i="47"/>
  <c r="G152" i="47"/>
  <c r="N93" i="47"/>
  <c r="G170" i="47"/>
  <c r="G155" i="47"/>
  <c r="N61" i="47"/>
  <c r="N79" i="47"/>
  <c r="N88" i="47"/>
  <c r="G130" i="47"/>
  <c r="G104" i="47"/>
  <c r="E238" i="47"/>
  <c r="G106" i="47"/>
  <c r="G141" i="47"/>
  <c r="E232" i="47"/>
  <c r="N78" i="47"/>
  <c r="E230" i="47"/>
  <c r="G164" i="47"/>
  <c r="G161" i="47"/>
  <c r="E225" i="47"/>
  <c r="G108" i="47"/>
  <c r="G159" i="47"/>
  <c r="G163" i="47"/>
  <c r="E221" i="47"/>
  <c r="G157" i="47"/>
  <c r="E212" i="47"/>
  <c r="G145" i="47"/>
  <c r="G129" i="47"/>
  <c r="G131" i="47"/>
  <c r="G144" i="47"/>
  <c r="G136" i="47"/>
  <c r="G110" i="47"/>
  <c r="G143" i="47"/>
  <c r="E243" i="47"/>
  <c r="E217" i="47"/>
  <c r="E218" i="47"/>
  <c r="E235" i="47"/>
  <c r="N48" i="47"/>
  <c r="G137" i="47"/>
  <c r="N64" i="47"/>
  <c r="G105" i="47"/>
  <c r="G102" i="47"/>
  <c r="G111" i="47"/>
  <c r="N72" i="47"/>
  <c r="N63" i="47"/>
  <c r="N24" i="47"/>
  <c r="G132" i="47"/>
  <c r="E216" i="47"/>
  <c r="G153" i="47"/>
  <c r="G119" i="47"/>
  <c r="N69" i="47"/>
  <c r="E231" i="47"/>
  <c r="N46" i="47"/>
  <c r="N62" i="47"/>
  <c r="N37" i="47"/>
  <c r="E220" i="47"/>
  <c r="G139" i="47"/>
  <c r="E211" i="47"/>
  <c r="G158" i="47"/>
  <c r="E236" i="47"/>
  <c r="G140" i="47"/>
  <c r="G117" i="47"/>
  <c r="G142" i="47"/>
  <c r="G162" i="47"/>
  <c r="G134" i="47"/>
  <c r="G169" i="47"/>
  <c r="E229" i="47"/>
  <c r="G172" i="47"/>
  <c r="E237" i="47"/>
  <c r="G113" i="47"/>
  <c r="N96" i="47"/>
  <c r="G147" i="47"/>
  <c r="N95" i="47"/>
  <c r="N85" i="47"/>
  <c r="N40" i="47"/>
  <c r="G120" i="47"/>
  <c r="G166" i="47"/>
  <c r="G133" i="47"/>
  <c r="E245" i="47"/>
  <c r="N23" i="47"/>
  <c r="E213" i="47"/>
  <c r="G149" i="47"/>
  <c r="E244" i="47"/>
  <c r="N94" i="47"/>
  <c r="G138" i="47"/>
  <c r="E234" i="47"/>
  <c r="G112" i="47"/>
  <c r="N32" i="47"/>
  <c r="G160" i="47"/>
  <c r="E222" i="47"/>
  <c r="N39" i="47"/>
  <c r="G146" i="47"/>
  <c r="G156" i="47"/>
  <c r="N77" i="47"/>
  <c r="G165" i="47"/>
  <c r="E233" i="47"/>
  <c r="G115" i="47"/>
  <c r="E223" i="47"/>
  <c r="E214" i="47"/>
  <c r="G123" i="47"/>
  <c r="N71" i="47"/>
  <c r="G114" i="47"/>
  <c r="N55" i="47"/>
  <c r="E215" i="47"/>
  <c r="G154" i="47"/>
  <c r="N53" i="47"/>
  <c r="G128" i="47"/>
  <c r="G171" i="47"/>
  <c r="N56" i="47"/>
  <c r="E239" i="47"/>
  <c r="G109" i="47"/>
  <c r="E227" i="47"/>
  <c r="G173" i="47"/>
  <c r="G168" i="47"/>
  <c r="G126" i="47"/>
  <c r="G135" i="47"/>
  <c r="G125" i="47"/>
  <c r="G116" i="47"/>
  <c r="E241" i="47"/>
  <c r="E228" i="47"/>
  <c r="G167" i="47"/>
  <c r="N80" i="47"/>
  <c r="N87" i="47"/>
  <c r="G127" i="47"/>
  <c r="E246" i="47"/>
  <c r="N54" i="47"/>
  <c r="E226" i="47"/>
  <c r="N29" i="47"/>
  <c r="G150" i="47"/>
  <c r="N86" i="47"/>
  <c r="G118" i="47"/>
  <c r="G122" i="47"/>
  <c r="E224" i="47"/>
  <c r="G121" i="47"/>
  <c r="N47" i="47"/>
  <c r="N22" i="47"/>
  <c r="E240" i="47"/>
  <c r="E242" i="47"/>
  <c r="N38" i="47"/>
  <c r="N30" i="47"/>
  <c r="N31" i="47"/>
  <c r="G151" i="47"/>
  <c r="G103" i="47"/>
  <c r="G107" i="47"/>
  <c r="N21" i="47"/>
  <c r="G124" i="47"/>
  <c r="N45" i="47"/>
  <c r="G188" i="47" l="1"/>
  <c r="G185" i="47"/>
  <c r="G187" i="47"/>
  <c r="G190" i="47"/>
  <c r="G178" i="47"/>
  <c r="G174" i="47"/>
  <c r="G197" i="47"/>
  <c r="G180" i="47"/>
  <c r="G207" i="47"/>
  <c r="G208" i="47"/>
  <c r="G200" i="47"/>
  <c r="G204" i="47"/>
  <c r="G183" i="47"/>
  <c r="G175" i="47"/>
  <c r="G176" i="47"/>
  <c r="G199" i="47"/>
  <c r="G205" i="47"/>
  <c r="G198" i="47"/>
  <c r="G203" i="47"/>
  <c r="G177" i="47"/>
  <c r="G181" i="47"/>
  <c r="G184" i="47"/>
  <c r="G193" i="47"/>
  <c r="G179" i="47"/>
  <c r="G195" i="47"/>
  <c r="G196" i="47"/>
  <c r="G189" i="47"/>
  <c r="G192" i="47"/>
  <c r="G201" i="47"/>
  <c r="G186" i="47"/>
  <c r="G194" i="47"/>
  <c r="G206" i="47"/>
  <c r="G202" i="47"/>
  <c r="G182" i="47"/>
  <c r="G191" i="47"/>
  <c r="G209" i="47"/>
  <c r="N23" i="48"/>
  <c r="N15" i="48"/>
  <c r="N19" i="48"/>
  <c r="N27" i="48"/>
  <c r="L43" i="56"/>
  <c r="L39" i="56"/>
  <c r="K39" i="56"/>
  <c r="L35" i="56"/>
  <c r="K35" i="56"/>
  <c r="J35" i="56"/>
  <c r="L31" i="56"/>
  <c r="K31" i="56"/>
  <c r="J31" i="56"/>
  <c r="I31" i="56"/>
  <c r="L27" i="56"/>
  <c r="K27" i="56"/>
  <c r="J27" i="56"/>
  <c r="I27" i="56"/>
  <c r="K23" i="56"/>
  <c r="J23" i="56"/>
  <c r="I23" i="56"/>
  <c r="J19" i="56"/>
  <c r="I19" i="56"/>
  <c r="I15" i="56"/>
  <c r="D8" i="56"/>
  <c r="L43" i="55"/>
  <c r="L39" i="55"/>
  <c r="K39" i="55"/>
  <c r="L35" i="55"/>
  <c r="K35" i="55"/>
  <c r="J35" i="55"/>
  <c r="L31" i="55"/>
  <c r="K31" i="55"/>
  <c r="J31" i="55"/>
  <c r="I31" i="55"/>
  <c r="L27" i="55"/>
  <c r="K27" i="55"/>
  <c r="J27" i="55"/>
  <c r="I27" i="55"/>
  <c r="K23" i="55"/>
  <c r="J23" i="55"/>
  <c r="I23" i="55"/>
  <c r="J19" i="55"/>
  <c r="I19" i="55"/>
  <c r="I15" i="55"/>
  <c r="D8" i="55"/>
  <c r="L43" i="54"/>
  <c r="L39" i="54"/>
  <c r="K39" i="54"/>
  <c r="L35" i="54"/>
  <c r="K35" i="54"/>
  <c r="J35" i="54"/>
  <c r="L31" i="54"/>
  <c r="K31" i="54"/>
  <c r="J31" i="54"/>
  <c r="I31" i="54"/>
  <c r="L27" i="54"/>
  <c r="K27" i="54"/>
  <c r="J27" i="54"/>
  <c r="I27" i="54"/>
  <c r="K23" i="54"/>
  <c r="J23" i="54"/>
  <c r="I23" i="54"/>
  <c r="J19" i="54"/>
  <c r="I19" i="54"/>
  <c r="I15" i="54"/>
  <c r="D8" i="54"/>
  <c r="L43" i="53"/>
  <c r="L39" i="53"/>
  <c r="K39" i="53"/>
  <c r="L35" i="53"/>
  <c r="K35" i="53"/>
  <c r="J35" i="53"/>
  <c r="L31" i="53"/>
  <c r="K31" i="53"/>
  <c r="J31" i="53"/>
  <c r="I31" i="53"/>
  <c r="L27" i="53"/>
  <c r="K27" i="53"/>
  <c r="J27" i="53"/>
  <c r="I27" i="53"/>
  <c r="K23" i="53"/>
  <c r="J23" i="53"/>
  <c r="I23" i="53"/>
  <c r="J19" i="53"/>
  <c r="I19" i="53"/>
  <c r="I15" i="53"/>
  <c r="D8" i="53"/>
  <c r="L43" i="52"/>
  <c r="L39" i="52"/>
  <c r="K39" i="52"/>
  <c r="L35" i="52"/>
  <c r="K35" i="52"/>
  <c r="J35" i="52"/>
  <c r="L31" i="52"/>
  <c r="K31" i="52"/>
  <c r="J31" i="52"/>
  <c r="I31" i="52"/>
  <c r="L27" i="52"/>
  <c r="K27" i="52"/>
  <c r="J27" i="52"/>
  <c r="I27" i="52"/>
  <c r="K23" i="52"/>
  <c r="J23" i="52"/>
  <c r="I23" i="52"/>
  <c r="J19" i="52"/>
  <c r="I19" i="52"/>
  <c r="I15" i="52"/>
  <c r="D8" i="52"/>
  <c r="L43" i="51"/>
  <c r="L39" i="51"/>
  <c r="K39" i="51"/>
  <c r="L35" i="51"/>
  <c r="K35" i="51"/>
  <c r="J35" i="51"/>
  <c r="L31" i="51"/>
  <c r="K31" i="51"/>
  <c r="J31" i="51"/>
  <c r="I31" i="51"/>
  <c r="L27" i="51"/>
  <c r="K27" i="51"/>
  <c r="J27" i="51"/>
  <c r="I27" i="51"/>
  <c r="K23" i="51"/>
  <c r="J23" i="51"/>
  <c r="I23" i="51"/>
  <c r="J19" i="51"/>
  <c r="I19" i="51"/>
  <c r="I15" i="51"/>
  <c r="D8" i="51"/>
  <c r="L43" i="50"/>
  <c r="L39" i="50"/>
  <c r="K39" i="50"/>
  <c r="L35" i="50"/>
  <c r="K35" i="50"/>
  <c r="J35" i="50"/>
  <c r="L31" i="50"/>
  <c r="K31" i="50"/>
  <c r="J31" i="50"/>
  <c r="I31" i="50"/>
  <c r="L27" i="50"/>
  <c r="K27" i="50"/>
  <c r="J27" i="50"/>
  <c r="I27" i="50"/>
  <c r="K23" i="50"/>
  <c r="J23" i="50"/>
  <c r="I23" i="50"/>
  <c r="J19" i="50"/>
  <c r="I19" i="50"/>
  <c r="I15" i="50"/>
  <c r="D8" i="50"/>
  <c r="L43" i="49"/>
  <c r="L39" i="49"/>
  <c r="K39" i="49"/>
  <c r="L35" i="49"/>
  <c r="K35" i="49"/>
  <c r="J35" i="49"/>
  <c r="L31" i="49"/>
  <c r="K31" i="49"/>
  <c r="J31" i="49"/>
  <c r="I31" i="49"/>
  <c r="L27" i="49"/>
  <c r="K27" i="49"/>
  <c r="J27" i="49"/>
  <c r="I27" i="49"/>
  <c r="K23" i="49"/>
  <c r="J23" i="49"/>
  <c r="I23" i="49"/>
  <c r="J19" i="49"/>
  <c r="I19" i="49"/>
  <c r="I15" i="49"/>
  <c r="D8" i="49"/>
  <c r="D8" i="48"/>
  <c r="H8" i="51" l="1"/>
  <c r="H8" i="52"/>
  <c r="H8" i="53"/>
  <c r="H8" i="54"/>
  <c r="H8" i="55"/>
  <c r="H8" i="56"/>
  <c r="H8" i="50"/>
  <c r="H8" i="49"/>
  <c r="H8" i="48"/>
  <c r="L43" i="44"/>
  <c r="L39" i="44"/>
  <c r="K39" i="44"/>
  <c r="L35" i="44"/>
  <c r="K35" i="44"/>
  <c r="J35" i="44"/>
  <c r="L31" i="44"/>
  <c r="K31" i="44"/>
  <c r="J31" i="44"/>
  <c r="I31" i="44"/>
  <c r="L27" i="44"/>
  <c r="K27" i="44"/>
  <c r="J27" i="44"/>
  <c r="K23" i="44"/>
  <c r="J23" i="44"/>
  <c r="I23" i="44"/>
  <c r="J19" i="44"/>
  <c r="I19" i="44"/>
  <c r="I15" i="44"/>
  <c r="D8" i="44" l="1"/>
  <c r="Y10" i="46"/>
  <c r="Y9" i="46"/>
  <c r="Y8" i="46"/>
  <c r="Y7" i="46"/>
  <c r="Y6" i="46"/>
  <c r="Y5" i="46"/>
  <c r="Y4" i="46"/>
  <c r="Y3" i="46"/>
  <c r="X10" i="46"/>
  <c r="X9" i="46"/>
  <c r="X8" i="46"/>
  <c r="X7" i="46"/>
  <c r="X6" i="46"/>
  <c r="X5" i="46"/>
  <c r="X4" i="46"/>
  <c r="X3" i="46"/>
  <c r="W10" i="46"/>
  <c r="W9" i="46"/>
  <c r="W8" i="46"/>
  <c r="W7" i="46"/>
  <c r="W6" i="46"/>
  <c r="W5" i="46"/>
  <c r="W4" i="46"/>
  <c r="W3" i="46"/>
  <c r="L48" i="47"/>
  <c r="J82" i="47"/>
  <c r="H24" i="47"/>
  <c r="G40" i="47"/>
  <c r="H48" i="47"/>
  <c r="G25" i="47"/>
  <c r="D50" i="47"/>
  <c r="I26" i="47"/>
  <c r="F81" i="47"/>
  <c r="H70" i="47"/>
  <c r="G23" i="47"/>
  <c r="K48" i="47"/>
  <c r="K41" i="47"/>
  <c r="E51" i="47"/>
  <c r="L80" i="47"/>
  <c r="J48" i="47"/>
  <c r="J49" i="47"/>
  <c r="J34" i="47"/>
  <c r="J35" i="47"/>
  <c r="H78" i="47"/>
  <c r="J57" i="47"/>
  <c r="G96" i="47"/>
  <c r="G80" i="47"/>
  <c r="F40" i="47"/>
  <c r="G41" i="47"/>
  <c r="F90" i="47"/>
  <c r="E48" i="47"/>
  <c r="E72" i="47"/>
  <c r="F26" i="47"/>
  <c r="L79" i="47"/>
  <c r="L78" i="47"/>
  <c r="D83" i="47"/>
  <c r="G87" i="47"/>
  <c r="M54" i="47"/>
  <c r="H86" i="47"/>
  <c r="D27" i="47"/>
  <c r="G94" i="47"/>
  <c r="L23" i="47"/>
  <c r="M96" i="47"/>
  <c r="H72" i="47"/>
  <c r="M47" i="47"/>
  <c r="M23" i="47"/>
  <c r="J51" i="47"/>
  <c r="G46" i="47"/>
  <c r="H77" i="47"/>
  <c r="E57" i="47"/>
  <c r="I73" i="47"/>
  <c r="D76" i="47"/>
  <c r="F89" i="47"/>
  <c r="K98" i="47"/>
  <c r="L71" i="47"/>
  <c r="E96" i="47"/>
  <c r="H62" i="47"/>
  <c r="J25" i="47"/>
  <c r="D68" i="47"/>
  <c r="J97" i="47"/>
  <c r="J91" i="47"/>
  <c r="F80" i="47"/>
  <c r="H53" i="47"/>
  <c r="E59" i="47"/>
  <c r="E43" i="47"/>
  <c r="I58" i="47"/>
  <c r="M29" i="47"/>
  <c r="H80" i="47"/>
  <c r="K50" i="47"/>
  <c r="M79" i="47"/>
  <c r="I51" i="47"/>
  <c r="M37" i="47"/>
  <c r="D97" i="47"/>
  <c r="H30" i="47"/>
  <c r="L54" i="47"/>
  <c r="K55" i="47"/>
  <c r="I57" i="47"/>
  <c r="J58" i="47"/>
  <c r="E73" i="47"/>
  <c r="J64" i="47"/>
  <c r="H94" i="47"/>
  <c r="F56" i="47"/>
  <c r="H87" i="47"/>
  <c r="J90" i="47"/>
  <c r="K97" i="47"/>
  <c r="I68" i="47"/>
  <c r="E49" i="47"/>
  <c r="K87" i="47"/>
  <c r="L39" i="47"/>
  <c r="E91" i="47"/>
  <c r="G39" i="47"/>
  <c r="K58" i="47"/>
  <c r="J41" i="47"/>
  <c r="H46" i="47"/>
  <c r="M48" i="47"/>
  <c r="M95" i="47"/>
  <c r="E80" i="47"/>
  <c r="M38" i="47"/>
  <c r="E35" i="47"/>
  <c r="F82" i="47"/>
  <c r="D34" i="47"/>
  <c r="L64" i="47"/>
  <c r="E66" i="47"/>
  <c r="J33" i="47"/>
  <c r="F63" i="47"/>
  <c r="J32" i="47"/>
  <c r="F42" i="47"/>
  <c r="H38" i="47"/>
  <c r="E32" i="47"/>
  <c r="D92" i="47"/>
  <c r="K23" i="47"/>
  <c r="M31" i="47"/>
  <c r="H93" i="47"/>
  <c r="G64" i="47"/>
  <c r="J27" i="47"/>
  <c r="G62" i="47"/>
  <c r="E27" i="47"/>
  <c r="G65" i="47"/>
  <c r="E25" i="47"/>
  <c r="D44" i="47"/>
  <c r="F48" i="47"/>
  <c r="J66" i="47"/>
  <c r="H64" i="47"/>
  <c r="E42" i="47"/>
  <c r="G73" i="47"/>
  <c r="G72" i="47"/>
  <c r="L25" i="47"/>
  <c r="G47" i="47"/>
  <c r="F97" i="47"/>
  <c r="F39" i="47"/>
  <c r="H39" i="47"/>
  <c r="K42" i="47"/>
  <c r="K73" i="47"/>
  <c r="K82" i="47"/>
  <c r="I28" i="47"/>
  <c r="J42" i="47"/>
  <c r="G56" i="47"/>
  <c r="G48" i="47"/>
  <c r="F96" i="47"/>
  <c r="H40" i="47"/>
  <c r="J73" i="47"/>
  <c r="L88" i="47"/>
  <c r="I98" i="47"/>
  <c r="J99" i="47"/>
  <c r="I67" i="47"/>
  <c r="L72" i="47"/>
  <c r="F31" i="47"/>
  <c r="H45" i="47"/>
  <c r="I42" i="47"/>
  <c r="J24" i="47"/>
  <c r="G31" i="47"/>
  <c r="L32" i="47"/>
  <c r="G54" i="47"/>
  <c r="H95" i="47"/>
  <c r="D67" i="47"/>
  <c r="H37" i="47"/>
  <c r="M39" i="47"/>
  <c r="D42" i="47"/>
  <c r="F33" i="47"/>
  <c r="E56" i="47"/>
  <c r="I49" i="47"/>
  <c r="G81" i="47"/>
  <c r="I59" i="47"/>
  <c r="K79" i="47"/>
  <c r="H31" i="47"/>
  <c r="K89" i="47"/>
  <c r="J72" i="47"/>
  <c r="J83" i="47"/>
  <c r="F57" i="47"/>
  <c r="M69" i="47"/>
  <c r="K39" i="47"/>
  <c r="I92" i="47"/>
  <c r="M61" i="47"/>
  <c r="H55" i="47"/>
  <c r="K26" i="47"/>
  <c r="G70" i="47"/>
  <c r="L30" i="47"/>
  <c r="E40" i="47"/>
  <c r="E81" i="47"/>
  <c r="K88" i="47"/>
  <c r="K72" i="47"/>
  <c r="K66" i="47"/>
  <c r="E98" i="47"/>
  <c r="D99" i="47"/>
  <c r="J96" i="47"/>
  <c r="E65" i="47"/>
  <c r="K95" i="47"/>
  <c r="M77" i="47"/>
  <c r="L63" i="47"/>
  <c r="D98" i="47"/>
  <c r="E64" i="47"/>
  <c r="H22" i="47"/>
  <c r="H85" i="47"/>
  <c r="D90" i="47"/>
  <c r="K90" i="47"/>
  <c r="D28" i="47"/>
  <c r="D82" i="47"/>
  <c r="D89" i="47"/>
  <c r="H21" i="47"/>
  <c r="F55" i="47"/>
  <c r="M80" i="47"/>
  <c r="J74" i="47"/>
  <c r="L22" i="47"/>
  <c r="F88" i="47"/>
  <c r="F41" i="47"/>
  <c r="M85" i="47"/>
  <c r="I81" i="47"/>
  <c r="G24" i="47"/>
  <c r="G71" i="47"/>
  <c r="I43" i="47"/>
  <c r="E58" i="47"/>
  <c r="K56" i="47"/>
  <c r="J75" i="47"/>
  <c r="F34" i="47"/>
  <c r="G33" i="47"/>
  <c r="L41" i="47"/>
  <c r="M53" i="47"/>
  <c r="D81" i="47"/>
  <c r="J88" i="47"/>
  <c r="L31" i="47"/>
  <c r="K57" i="47"/>
  <c r="G57" i="47"/>
  <c r="K71" i="47"/>
  <c r="F74" i="47"/>
  <c r="I75" i="47"/>
  <c r="G49" i="47"/>
  <c r="D52" i="47"/>
  <c r="D26" i="47"/>
  <c r="F32" i="47"/>
  <c r="L46" i="47"/>
  <c r="D57" i="47"/>
  <c r="M87" i="47"/>
  <c r="J50" i="47"/>
  <c r="I89" i="47"/>
  <c r="L86" i="47"/>
  <c r="F50" i="47"/>
  <c r="L40" i="47"/>
  <c r="D65" i="47"/>
  <c r="M72" i="47"/>
  <c r="F71" i="47"/>
  <c r="F79" i="47"/>
  <c r="I66" i="47"/>
  <c r="K80" i="47"/>
  <c r="F87" i="47"/>
  <c r="H29" i="47"/>
  <c r="I50" i="47"/>
  <c r="I83" i="47"/>
  <c r="I25" i="47"/>
  <c r="M45" i="47"/>
  <c r="J65" i="47"/>
  <c r="D43" i="47"/>
  <c r="E75" i="47"/>
  <c r="F23" i="47"/>
  <c r="F24" i="47"/>
  <c r="G55" i="47"/>
  <c r="M63" i="47"/>
  <c r="G22" i="47"/>
  <c r="K40" i="47"/>
  <c r="I84" i="47"/>
  <c r="M24" i="47"/>
  <c r="J40" i="47"/>
  <c r="F65" i="47"/>
  <c r="G89" i="47"/>
  <c r="L65" i="47"/>
  <c r="L47" i="47"/>
  <c r="D58" i="47"/>
  <c r="K65" i="47"/>
  <c r="G86" i="47"/>
  <c r="J89" i="47"/>
  <c r="L95" i="47"/>
  <c r="G38" i="47"/>
  <c r="J80" i="47"/>
  <c r="L62" i="47"/>
  <c r="F47" i="47"/>
  <c r="E50" i="47"/>
  <c r="D25" i="47"/>
  <c r="M71" i="47"/>
  <c r="E82" i="47"/>
  <c r="K31" i="47"/>
  <c r="J81" i="47"/>
  <c r="L89" i="47"/>
  <c r="J43" i="47"/>
  <c r="I34" i="47"/>
  <c r="L33" i="47"/>
  <c r="K24" i="47"/>
  <c r="M32" i="47"/>
  <c r="M46" i="47"/>
  <c r="H61" i="47"/>
  <c r="L97" i="47"/>
  <c r="M40" i="47"/>
  <c r="E83" i="47"/>
  <c r="L94" i="47"/>
  <c r="D75" i="47"/>
  <c r="I76" i="47"/>
  <c r="L96" i="47"/>
  <c r="L81" i="47"/>
  <c r="M94" i="47"/>
  <c r="K64" i="47"/>
  <c r="H96" i="47"/>
  <c r="H88" i="47"/>
  <c r="E67" i="47"/>
  <c r="M22" i="47"/>
  <c r="E34" i="47"/>
  <c r="E97" i="47"/>
  <c r="H54" i="47"/>
  <c r="D59" i="47"/>
  <c r="D35" i="47"/>
  <c r="I44" i="47"/>
  <c r="L57" i="47"/>
  <c r="D41" i="47"/>
  <c r="D73" i="47"/>
  <c r="M55" i="47"/>
  <c r="D49" i="47"/>
  <c r="L87" i="47"/>
  <c r="K25" i="47"/>
  <c r="I91" i="47"/>
  <c r="D36" i="47"/>
  <c r="G97" i="47"/>
  <c r="F25" i="47"/>
  <c r="I35" i="47"/>
  <c r="H23" i="47"/>
  <c r="D60" i="47"/>
  <c r="E88" i="47"/>
  <c r="I41" i="47"/>
  <c r="G79" i="47"/>
  <c r="I52" i="47"/>
  <c r="E99" i="47"/>
  <c r="F73" i="47"/>
  <c r="E33" i="47"/>
  <c r="E26" i="47"/>
  <c r="K32" i="47"/>
  <c r="K81" i="47"/>
  <c r="D84" i="47"/>
  <c r="J26" i="47"/>
  <c r="H79" i="47"/>
  <c r="I82" i="47"/>
  <c r="F58" i="47"/>
  <c r="K34" i="47"/>
  <c r="L73" i="47"/>
  <c r="J98" i="47"/>
  <c r="M30" i="47"/>
  <c r="M88" i="47"/>
  <c r="E24" i="47"/>
  <c r="I97" i="47"/>
  <c r="L49" i="47"/>
  <c r="H56" i="47"/>
  <c r="I90" i="47"/>
  <c r="L56" i="47"/>
  <c r="I74" i="47"/>
  <c r="M93" i="47"/>
  <c r="K47" i="47"/>
  <c r="K49" i="47"/>
  <c r="L70" i="47"/>
  <c r="H71" i="47"/>
  <c r="H63" i="47"/>
  <c r="E89" i="47"/>
  <c r="F72" i="47"/>
  <c r="G30" i="47"/>
  <c r="D91" i="47"/>
  <c r="F66" i="47"/>
  <c r="F49" i="47"/>
  <c r="J56" i="47"/>
  <c r="G88" i="47"/>
  <c r="M70" i="47"/>
  <c r="H47" i="47"/>
  <c r="D33" i="47"/>
  <c r="J59" i="47"/>
  <c r="E74" i="47"/>
  <c r="I33" i="47"/>
  <c r="H69" i="47"/>
  <c r="F64" i="47"/>
  <c r="I99" i="47"/>
  <c r="J67" i="47"/>
  <c r="K33" i="47"/>
  <c r="L24" i="47"/>
  <c r="D66" i="47"/>
  <c r="M62" i="47"/>
  <c r="D74" i="47"/>
  <c r="I60" i="47"/>
  <c r="I36" i="47"/>
  <c r="M21" i="47"/>
  <c r="E41" i="47"/>
  <c r="K63" i="47"/>
  <c r="K74" i="47"/>
  <c r="K96" i="47"/>
  <c r="G32" i="47"/>
  <c r="M64" i="47"/>
  <c r="D100" i="47"/>
  <c r="L38" i="47"/>
  <c r="F95" i="47"/>
  <c r="L55" i="47"/>
  <c r="F98" i="47"/>
  <c r="D51" i="47"/>
  <c r="M86" i="47"/>
  <c r="G78" i="47"/>
  <c r="I65" i="47"/>
  <c r="G95" i="47"/>
  <c r="I27" i="47"/>
  <c r="G63" i="47"/>
  <c r="I100" i="47"/>
  <c r="M56" i="47"/>
  <c r="H32" i="47"/>
  <c r="M78" i="47"/>
  <c r="E90" i="47"/>
  <c r="M38" i="56" l="1"/>
  <c r="M38" i="53"/>
  <c r="M38" i="51"/>
  <c r="M38" i="49"/>
  <c r="M38" i="54"/>
  <c r="M38" i="55"/>
  <c r="M38" i="52"/>
  <c r="M38" i="50"/>
  <c r="M38" i="44"/>
  <c r="K11" i="44"/>
  <c r="M41" i="56"/>
  <c r="M41" i="53"/>
  <c r="M41" i="51"/>
  <c r="M41" i="49"/>
  <c r="M41" i="54"/>
  <c r="M41" i="44"/>
  <c r="M41" i="52"/>
  <c r="M41" i="50"/>
  <c r="M41" i="55"/>
  <c r="L11" i="44"/>
  <c r="M32" i="53"/>
  <c r="M32" i="52"/>
  <c r="M32" i="56"/>
  <c r="I11" i="44"/>
  <c r="M32" i="55"/>
  <c r="M32" i="44"/>
  <c r="M32" i="51"/>
  <c r="M32" i="49"/>
  <c r="M32" i="50"/>
  <c r="M32" i="54"/>
  <c r="M35" i="44"/>
  <c r="J11" i="44"/>
  <c r="M35" i="56"/>
  <c r="M35" i="53"/>
  <c r="M35" i="51"/>
  <c r="M35" i="49"/>
  <c r="M35" i="54"/>
  <c r="M35" i="55"/>
  <c r="M35" i="52"/>
  <c r="M35" i="50"/>
  <c r="A40" i="44"/>
  <c r="A40" i="53"/>
  <c r="A40" i="49"/>
  <c r="A40" i="56"/>
  <c r="A40" i="52"/>
  <c r="A40" i="48"/>
  <c r="A40" i="55"/>
  <c r="A40" i="51"/>
  <c r="A40" i="54"/>
  <c r="A40" i="50"/>
  <c r="H11" i="44"/>
  <c r="H11" i="55"/>
  <c r="H11" i="51"/>
  <c r="H11" i="48"/>
  <c r="H11" i="54"/>
  <c r="H11" i="50"/>
  <c r="H11" i="53"/>
  <c r="H11" i="49"/>
  <c r="H11" i="56"/>
  <c r="H11" i="52"/>
  <c r="A16" i="44"/>
  <c r="G17" i="44" s="1"/>
  <c r="A16" i="55"/>
  <c r="A16" i="51"/>
  <c r="A16" i="54"/>
  <c r="A16" i="50"/>
  <c r="A16" i="53"/>
  <c r="A16" i="49"/>
  <c r="A16" i="56"/>
  <c r="A16" i="52"/>
  <c r="A16" i="48"/>
  <c r="A32" i="44"/>
  <c r="A32" i="54"/>
  <c r="A32" i="50"/>
  <c r="A32" i="53"/>
  <c r="A32" i="49"/>
  <c r="A32" i="56"/>
  <c r="A32" i="52"/>
  <c r="A32" i="48"/>
  <c r="A32" i="55"/>
  <c r="A32" i="51"/>
  <c r="C16" i="44"/>
  <c r="C16" i="54"/>
  <c r="C16" i="50"/>
  <c r="C16" i="53"/>
  <c r="C16" i="49"/>
  <c r="C16" i="56"/>
  <c r="C16" i="52"/>
  <c r="C16" i="48"/>
  <c r="C16" i="55"/>
  <c r="C16" i="51"/>
  <c r="C32" i="44"/>
  <c r="C32" i="53"/>
  <c r="C32" i="49"/>
  <c r="C32" i="56"/>
  <c r="C32" i="52"/>
  <c r="C32" i="48"/>
  <c r="C32" i="55"/>
  <c r="C32" i="51"/>
  <c r="C32" i="54"/>
  <c r="C32" i="50"/>
  <c r="F11" i="44"/>
  <c r="F11" i="53"/>
  <c r="F11" i="49"/>
  <c r="F11" i="56"/>
  <c r="F11" i="52"/>
  <c r="F11" i="48"/>
  <c r="F11" i="55"/>
  <c r="F11" i="51"/>
  <c r="F11" i="54"/>
  <c r="F11" i="50"/>
  <c r="J11" i="53"/>
  <c r="J11" i="49"/>
  <c r="J11" i="56"/>
  <c r="J11" i="52"/>
  <c r="J11" i="48"/>
  <c r="J11" i="55"/>
  <c r="J11" i="51"/>
  <c r="J11" i="54"/>
  <c r="J11" i="50"/>
  <c r="C40" i="44"/>
  <c r="C40" i="56"/>
  <c r="C40" i="52"/>
  <c r="C40" i="48"/>
  <c r="C40" i="55"/>
  <c r="C40" i="51"/>
  <c r="C40" i="54"/>
  <c r="C40" i="50"/>
  <c r="C40" i="53"/>
  <c r="C40" i="49"/>
  <c r="A20" i="44"/>
  <c r="H21" i="44" s="1"/>
  <c r="A20" i="55"/>
  <c r="A20" i="51"/>
  <c r="A20" i="48"/>
  <c r="A20" i="54"/>
  <c r="A20" i="50"/>
  <c r="A20" i="53"/>
  <c r="A20" i="49"/>
  <c r="A20" i="56"/>
  <c r="A20" i="52"/>
  <c r="A36" i="44"/>
  <c r="A36" i="53"/>
  <c r="A36" i="49"/>
  <c r="A36" i="56"/>
  <c r="A36" i="52"/>
  <c r="A36" i="48"/>
  <c r="A36" i="55"/>
  <c r="A36" i="51"/>
  <c r="A36" i="54"/>
  <c r="A36" i="50"/>
  <c r="C20" i="44"/>
  <c r="C20" i="54"/>
  <c r="C20" i="50"/>
  <c r="C20" i="48"/>
  <c r="C20" i="53"/>
  <c r="C20" i="49"/>
  <c r="C20" i="56"/>
  <c r="C20" i="52"/>
  <c r="C20" i="55"/>
  <c r="C20" i="51"/>
  <c r="C36" i="44"/>
  <c r="C36" i="56"/>
  <c r="C36" i="52"/>
  <c r="C36" i="48"/>
  <c r="C36" i="55"/>
  <c r="C36" i="51"/>
  <c r="C36" i="54"/>
  <c r="C36" i="50"/>
  <c r="C36" i="53"/>
  <c r="C36" i="49"/>
  <c r="G11" i="44"/>
  <c r="G11" i="56"/>
  <c r="G11" i="52"/>
  <c r="G11" i="48"/>
  <c r="G11" i="55"/>
  <c r="G11" i="51"/>
  <c r="G11" i="54"/>
  <c r="G11" i="50"/>
  <c r="G11" i="53"/>
  <c r="G11" i="49"/>
  <c r="K11" i="56"/>
  <c r="K11" i="52"/>
  <c r="K11" i="48"/>
  <c r="K11" i="55"/>
  <c r="K11" i="51"/>
  <c r="K11" i="54"/>
  <c r="K11" i="50"/>
  <c r="K11" i="53"/>
  <c r="K11" i="49"/>
  <c r="A24" i="44"/>
  <c r="H25" i="44" s="1"/>
  <c r="A24" i="54"/>
  <c r="A24" i="50"/>
  <c r="A24" i="48"/>
  <c r="A24" i="53"/>
  <c r="A24" i="49"/>
  <c r="A24" i="56"/>
  <c r="A24" i="52"/>
  <c r="A24" i="55"/>
  <c r="A24" i="51"/>
  <c r="C24" i="44"/>
  <c r="C24" i="53"/>
  <c r="C24" i="49"/>
  <c r="C24" i="56"/>
  <c r="C24" i="52"/>
  <c r="C24" i="48"/>
  <c r="C24" i="55"/>
  <c r="C24" i="51"/>
  <c r="C24" i="54"/>
  <c r="C24" i="50"/>
  <c r="L11" i="55"/>
  <c r="L11" i="51"/>
  <c r="L11" i="54"/>
  <c r="L11" i="50"/>
  <c r="L11" i="48"/>
  <c r="L11" i="53"/>
  <c r="L11" i="49"/>
  <c r="L11" i="56"/>
  <c r="L11" i="52"/>
  <c r="A12" i="44"/>
  <c r="G13" i="44" s="1"/>
  <c r="A12" i="54"/>
  <c r="A12" i="50"/>
  <c r="A12" i="48"/>
  <c r="A12" i="53"/>
  <c r="A12" i="49"/>
  <c r="A12" i="56"/>
  <c r="A12" i="52"/>
  <c r="A12" i="55"/>
  <c r="A12" i="51"/>
  <c r="A28" i="44"/>
  <c r="A28" i="56"/>
  <c r="A28" i="52"/>
  <c r="A28" i="48"/>
  <c r="A28" i="55"/>
  <c r="A28" i="51"/>
  <c r="A28" i="54"/>
  <c r="A28" i="50"/>
  <c r="A28" i="53"/>
  <c r="A28" i="49"/>
  <c r="C12" i="44"/>
  <c r="C12" i="53"/>
  <c r="C12" i="49"/>
  <c r="C12" i="56"/>
  <c r="C12" i="52"/>
  <c r="C12" i="48"/>
  <c r="C12" i="55"/>
  <c r="C12" i="51"/>
  <c r="C12" i="54"/>
  <c r="C12" i="50"/>
  <c r="C28" i="44"/>
  <c r="C28" i="55"/>
  <c r="C28" i="51"/>
  <c r="C28" i="54"/>
  <c r="C28" i="50"/>
  <c r="C28" i="53"/>
  <c r="C28" i="49"/>
  <c r="C28" i="56"/>
  <c r="C28" i="52"/>
  <c r="C28" i="48"/>
  <c r="E11" i="44"/>
  <c r="E11" i="54"/>
  <c r="E11" i="50"/>
  <c r="E11" i="48"/>
  <c r="E11" i="53"/>
  <c r="E11" i="49"/>
  <c r="E11" i="56"/>
  <c r="E11" i="52"/>
  <c r="E11" i="55"/>
  <c r="E11" i="51"/>
  <c r="I11" i="54"/>
  <c r="I11" i="50"/>
  <c r="I11" i="53"/>
  <c r="I11" i="49"/>
  <c r="I11" i="48"/>
  <c r="I11" i="56"/>
  <c r="I11" i="52"/>
  <c r="I11" i="55"/>
  <c r="I11" i="51"/>
  <c r="I27" i="44"/>
  <c r="H8" i="44"/>
  <c r="J22" i="47"/>
  <c r="J23" i="47"/>
  <c r="K21" i="47"/>
  <c r="G14" i="44" l="1"/>
  <c r="F13" i="44"/>
  <c r="H13" i="44"/>
  <c r="H17" i="44"/>
  <c r="H18" i="44"/>
  <c r="F14" i="55"/>
  <c r="E13" i="55"/>
  <c r="H14" i="55"/>
  <c r="H13" i="55"/>
  <c r="G14" i="55"/>
  <c r="G13" i="55"/>
  <c r="E14" i="55"/>
  <c r="F13" i="55"/>
  <c r="H25" i="49"/>
  <c r="H26" i="49"/>
  <c r="G22" i="56"/>
  <c r="H22" i="56"/>
  <c r="H21" i="56"/>
  <c r="G21" i="56"/>
  <c r="G18" i="53"/>
  <c r="G17" i="53"/>
  <c r="H18" i="53"/>
  <c r="F17" i="53"/>
  <c r="F18" i="53"/>
  <c r="H17" i="53"/>
  <c r="G22" i="44"/>
  <c r="H21" i="51"/>
  <c r="G21" i="51"/>
  <c r="H22" i="51"/>
  <c r="G22" i="51"/>
  <c r="H14" i="54"/>
  <c r="F13" i="54"/>
  <c r="G14" i="54"/>
  <c r="F14" i="54"/>
  <c r="E14" i="54"/>
  <c r="H13" i="54"/>
  <c r="G13" i="54"/>
  <c r="E13" i="54"/>
  <c r="G22" i="52"/>
  <c r="H22" i="52"/>
  <c r="H21" i="52"/>
  <c r="G21" i="52"/>
  <c r="G22" i="49"/>
  <c r="H22" i="49"/>
  <c r="H21" i="49"/>
  <c r="G21" i="49"/>
  <c r="F18" i="50"/>
  <c r="G17" i="50"/>
  <c r="H17" i="50"/>
  <c r="F17" i="50"/>
  <c r="H18" i="50"/>
  <c r="G18" i="50"/>
  <c r="F17" i="44"/>
  <c r="G21" i="44"/>
  <c r="E14" i="52"/>
  <c r="H13" i="52"/>
  <c r="G13" i="52"/>
  <c r="H14" i="52"/>
  <c r="F13" i="52"/>
  <c r="F14" i="52"/>
  <c r="E13" i="52"/>
  <c r="G14" i="52"/>
  <c r="H26" i="53"/>
  <c r="H25" i="53"/>
  <c r="F13" i="56"/>
  <c r="G14" i="56"/>
  <c r="H14" i="56"/>
  <c r="H13" i="56"/>
  <c r="F14" i="56"/>
  <c r="E13" i="56"/>
  <c r="E14" i="56"/>
  <c r="G13" i="56"/>
  <c r="H26" i="48"/>
  <c r="H25" i="48"/>
  <c r="G22" i="53"/>
  <c r="H22" i="53"/>
  <c r="H21" i="53"/>
  <c r="G21" i="53"/>
  <c r="G17" i="54"/>
  <c r="F18" i="54"/>
  <c r="F17" i="54"/>
  <c r="H17" i="54"/>
  <c r="H18" i="54"/>
  <c r="G18" i="54"/>
  <c r="E13" i="44"/>
  <c r="H14" i="44"/>
  <c r="H15" i="44" s="1"/>
  <c r="H22" i="44"/>
  <c r="H23" i="44" s="1"/>
  <c r="H26" i="56"/>
  <c r="H25" i="56"/>
  <c r="E13" i="49"/>
  <c r="E14" i="49"/>
  <c r="F13" i="49"/>
  <c r="H13" i="49"/>
  <c r="H14" i="49"/>
  <c r="G13" i="49"/>
  <c r="G14" i="49"/>
  <c r="F14" i="49"/>
  <c r="H25" i="50"/>
  <c r="H26" i="50"/>
  <c r="G21" i="50"/>
  <c r="G22" i="50"/>
  <c r="H22" i="50"/>
  <c r="H21" i="50"/>
  <c r="F18" i="51"/>
  <c r="G17" i="51"/>
  <c r="H17" i="51"/>
  <c r="H18" i="51"/>
  <c r="F17" i="51"/>
  <c r="G18" i="51"/>
  <c r="F14" i="44"/>
  <c r="F18" i="44"/>
  <c r="E13" i="51"/>
  <c r="F14" i="51"/>
  <c r="H14" i="51"/>
  <c r="H13" i="51"/>
  <c r="G14" i="51"/>
  <c r="G13" i="51"/>
  <c r="E14" i="51"/>
  <c r="F13" i="51"/>
  <c r="G21" i="55"/>
  <c r="G22" i="55"/>
  <c r="H22" i="55"/>
  <c r="H21" i="55"/>
  <c r="G13" i="53"/>
  <c r="E13" i="53"/>
  <c r="H14" i="53"/>
  <c r="E14" i="53"/>
  <c r="G14" i="53"/>
  <c r="F13" i="53"/>
  <c r="H13" i="53"/>
  <c r="F14" i="53"/>
  <c r="H26" i="51"/>
  <c r="H25" i="51"/>
  <c r="H26" i="54"/>
  <c r="H25" i="54"/>
  <c r="G21" i="54"/>
  <c r="H21" i="54"/>
  <c r="H22" i="54"/>
  <c r="G22" i="54"/>
  <c r="G17" i="48"/>
  <c r="F18" i="48"/>
  <c r="H18" i="48"/>
  <c r="H17" i="48"/>
  <c r="F17" i="48"/>
  <c r="G18" i="48"/>
  <c r="H18" i="55"/>
  <c r="G17" i="55"/>
  <c r="G18" i="55"/>
  <c r="H17" i="55"/>
  <c r="F18" i="55"/>
  <c r="F17" i="55"/>
  <c r="E14" i="44"/>
  <c r="G18" i="44"/>
  <c r="G19" i="44" s="1"/>
  <c r="H26" i="44"/>
  <c r="H27" i="44" s="1"/>
  <c r="F13" i="50"/>
  <c r="E13" i="50"/>
  <c r="F14" i="50"/>
  <c r="E14" i="50"/>
  <c r="H13" i="50"/>
  <c r="G13" i="50"/>
  <c r="H14" i="50"/>
  <c r="G14" i="50"/>
  <c r="H25" i="52"/>
  <c r="H26" i="52"/>
  <c r="G17" i="56"/>
  <c r="H18" i="56"/>
  <c r="F17" i="56"/>
  <c r="H17" i="56"/>
  <c r="G18" i="56"/>
  <c r="F18" i="56"/>
  <c r="F17" i="49"/>
  <c r="G17" i="49"/>
  <c r="H18" i="49"/>
  <c r="F18" i="49"/>
  <c r="G18" i="49"/>
  <c r="H17" i="49"/>
  <c r="F13" i="48"/>
  <c r="H14" i="48"/>
  <c r="E14" i="48"/>
  <c r="F14" i="48"/>
  <c r="E13" i="48"/>
  <c r="G14" i="48"/>
  <c r="H13" i="48"/>
  <c r="G13" i="48"/>
  <c r="H26" i="55"/>
  <c r="H25" i="55"/>
  <c r="G21" i="48"/>
  <c r="H21" i="48"/>
  <c r="H22" i="48"/>
  <c r="G22" i="48"/>
  <c r="F17" i="52"/>
  <c r="H17" i="52"/>
  <c r="H18" i="52"/>
  <c r="G17" i="52"/>
  <c r="G18" i="52"/>
  <c r="F18" i="52"/>
  <c r="G15" i="44"/>
  <c r="H19" i="44" l="1"/>
  <c r="F19" i="44"/>
  <c r="E15" i="51"/>
  <c r="G15" i="52"/>
  <c r="G19" i="50"/>
  <c r="H27" i="55"/>
  <c r="H27" i="48"/>
  <c r="H15" i="53"/>
  <c r="H23" i="50"/>
  <c r="H27" i="49"/>
  <c r="G19" i="52"/>
  <c r="F15" i="53"/>
  <c r="H19" i="51"/>
  <c r="H27" i="50"/>
  <c r="E15" i="49"/>
  <c r="H19" i="54"/>
  <c r="H19" i="50"/>
  <c r="H15" i="55"/>
  <c r="G19" i="51"/>
  <c r="F15" i="56"/>
  <c r="H23" i="51"/>
  <c r="E15" i="48"/>
  <c r="G23" i="54"/>
  <c r="G23" i="53"/>
  <c r="H15" i="56"/>
  <c r="G19" i="53"/>
  <c r="G15" i="50"/>
  <c r="H15" i="52"/>
  <c r="F15" i="54"/>
  <c r="H19" i="52"/>
  <c r="G19" i="48"/>
  <c r="G23" i="55"/>
  <c r="F15" i="49"/>
  <c r="G15" i="53"/>
  <c r="F19" i="51"/>
  <c r="G19" i="49"/>
  <c r="H27" i="53"/>
  <c r="H15" i="54"/>
  <c r="G15" i="48"/>
  <c r="H19" i="56"/>
  <c r="E15" i="50"/>
  <c r="G23" i="51"/>
  <c r="H23" i="48"/>
  <c r="H19" i="49"/>
  <c r="F19" i="48"/>
  <c r="G23" i="50"/>
  <c r="H19" i="53"/>
  <c r="F15" i="55"/>
  <c r="F19" i="52"/>
  <c r="F15" i="48"/>
  <c r="H27" i="52"/>
  <c r="G19" i="55"/>
  <c r="H27" i="51"/>
  <c r="G15" i="51"/>
  <c r="G19" i="54"/>
  <c r="H23" i="53"/>
  <c r="F15" i="52"/>
  <c r="H23" i="49"/>
  <c r="G23" i="49"/>
  <c r="E15" i="54"/>
  <c r="E15" i="55"/>
  <c r="H15" i="48"/>
  <c r="F19" i="56"/>
  <c r="H19" i="55"/>
  <c r="H23" i="54"/>
  <c r="H23" i="55"/>
  <c r="H15" i="51"/>
  <c r="G15" i="56"/>
  <c r="G19" i="56"/>
  <c r="H15" i="50"/>
  <c r="F15" i="51"/>
  <c r="G15" i="54"/>
  <c r="G15" i="55"/>
  <c r="G15" i="49"/>
  <c r="H27" i="56"/>
  <c r="F19" i="54"/>
  <c r="H23" i="52"/>
  <c r="H23" i="56"/>
  <c r="E15" i="53"/>
  <c r="E15" i="56"/>
  <c r="E15" i="52"/>
  <c r="F19" i="50"/>
  <c r="G23" i="52"/>
  <c r="F19" i="53"/>
  <c r="G23" i="56"/>
  <c r="G23" i="48"/>
  <c r="F19" i="49"/>
  <c r="F19" i="55"/>
  <c r="H19" i="48"/>
  <c r="H27" i="54"/>
  <c r="H15" i="49"/>
  <c r="F15" i="50"/>
  <c r="E15" i="44"/>
  <c r="F15" i="44"/>
  <c r="G23" i="44"/>
  <c r="B8" i="47"/>
  <c r="E1" i="47"/>
  <c r="A21" i="47" s="1"/>
  <c r="D21" i="47"/>
  <c r="E38" i="47"/>
  <c r="D64" i="47"/>
  <c r="E45" i="47"/>
  <c r="F70" i="47"/>
  <c r="D85" i="47"/>
  <c r="I94" i="47"/>
  <c r="I85" i="47"/>
  <c r="I32" i="47"/>
  <c r="E94" i="47"/>
  <c r="I23" i="47"/>
  <c r="E62" i="47"/>
  <c r="I72" i="47"/>
  <c r="F22" i="47"/>
  <c r="F37" i="47"/>
  <c r="I47" i="47"/>
  <c r="I93" i="47"/>
  <c r="D63" i="47"/>
  <c r="E69" i="47"/>
  <c r="I56" i="47"/>
  <c r="K45" i="47"/>
  <c r="K54" i="47"/>
  <c r="I70" i="47"/>
  <c r="F93" i="47"/>
  <c r="D78" i="47"/>
  <c r="I37" i="47"/>
  <c r="G69" i="47"/>
  <c r="E79" i="47"/>
  <c r="E70" i="47"/>
  <c r="J79" i="47"/>
  <c r="K22" i="47"/>
  <c r="J21" i="47"/>
  <c r="G37" i="47"/>
  <c r="L37" i="47"/>
  <c r="J78" i="47"/>
  <c r="I31" i="47"/>
  <c r="D88" i="47"/>
  <c r="F61" i="47"/>
  <c r="E93" i="47"/>
  <c r="K61" i="47"/>
  <c r="E61" i="47"/>
  <c r="J71" i="47"/>
  <c r="D39" i="47"/>
  <c r="K86" i="47"/>
  <c r="J53" i="47"/>
  <c r="E30" i="47"/>
  <c r="F85" i="47"/>
  <c r="K30" i="47"/>
  <c r="G53" i="47"/>
  <c r="F30" i="47"/>
  <c r="D32" i="47"/>
  <c r="G93" i="47"/>
  <c r="E23" i="47"/>
  <c r="E47" i="47"/>
  <c r="D80" i="47"/>
  <c r="K94" i="47"/>
  <c r="D46" i="47"/>
  <c r="E21" i="47"/>
  <c r="I54" i="47"/>
  <c r="D22" i="47"/>
  <c r="D70" i="47"/>
  <c r="E53" i="47"/>
  <c r="D62" i="47"/>
  <c r="E29" i="47"/>
  <c r="F69" i="47"/>
  <c r="F54" i="47"/>
  <c r="G45" i="47"/>
  <c r="E31" i="47"/>
  <c r="E37" i="47"/>
  <c r="D61" i="47"/>
  <c r="I95" i="47"/>
  <c r="F45" i="47"/>
  <c r="F77" i="47"/>
  <c r="I48" i="47"/>
  <c r="K46" i="47"/>
  <c r="E86" i="47"/>
  <c r="J38" i="47"/>
  <c r="K70" i="47"/>
  <c r="J93" i="47"/>
  <c r="K37" i="47"/>
  <c r="I61" i="47"/>
  <c r="F53" i="47"/>
  <c r="G85" i="47"/>
  <c r="J54" i="47"/>
  <c r="I77" i="47"/>
  <c r="I29" i="47"/>
  <c r="F86" i="47"/>
  <c r="J55" i="47"/>
  <c r="F38" i="47"/>
  <c r="J37" i="47"/>
  <c r="D29" i="47"/>
  <c r="D30" i="47"/>
  <c r="L45" i="47"/>
  <c r="D31" i="47"/>
  <c r="J70" i="47"/>
  <c r="J94" i="47"/>
  <c r="I24" i="47"/>
  <c r="I30" i="47"/>
  <c r="E87" i="47"/>
  <c r="D40" i="47"/>
  <c r="J87" i="47"/>
  <c r="I62" i="47"/>
  <c r="D71" i="47"/>
  <c r="E54" i="47"/>
  <c r="I21" i="47"/>
  <c r="E78" i="47"/>
  <c r="I53" i="47"/>
  <c r="K69" i="47"/>
  <c r="F94" i="47"/>
  <c r="D23" i="47"/>
  <c r="I45" i="47"/>
  <c r="D96" i="47"/>
  <c r="I55" i="47"/>
  <c r="F29" i="47"/>
  <c r="J69" i="47"/>
  <c r="D55" i="47"/>
  <c r="D48" i="47"/>
  <c r="G21" i="47"/>
  <c r="I79" i="47"/>
  <c r="D77" i="47"/>
  <c r="I38" i="47"/>
  <c r="I86" i="47"/>
  <c r="K78" i="47"/>
  <c r="I69" i="47"/>
  <c r="J45" i="47"/>
  <c r="D47" i="47"/>
  <c r="D24" i="47"/>
  <c r="K62" i="47"/>
  <c r="I96" i="47"/>
  <c r="I87" i="47"/>
  <c r="J77" i="47"/>
  <c r="E77" i="47"/>
  <c r="J62" i="47"/>
  <c r="E46" i="47"/>
  <c r="J30" i="47"/>
  <c r="E55" i="47"/>
  <c r="F46" i="47"/>
  <c r="K29" i="47"/>
  <c r="L21" i="47"/>
  <c r="D93" i="47"/>
  <c r="J31" i="47"/>
  <c r="G61" i="47"/>
  <c r="I78" i="47"/>
  <c r="D53" i="47"/>
  <c r="J47" i="47"/>
  <c r="J63" i="47"/>
  <c r="D79" i="47"/>
  <c r="D45" i="47"/>
  <c r="E22" i="47"/>
  <c r="J86" i="47"/>
  <c r="K38" i="47"/>
  <c r="J85" i="47"/>
  <c r="E95" i="47"/>
  <c r="I46" i="47"/>
  <c r="G77" i="47"/>
  <c r="D86" i="47"/>
  <c r="J46" i="47"/>
  <c r="L93" i="47"/>
  <c r="J29" i="47"/>
  <c r="D69" i="47"/>
  <c r="L61" i="47"/>
  <c r="L77" i="47"/>
  <c r="K53" i="47"/>
  <c r="E71" i="47"/>
  <c r="I40" i="47"/>
  <c r="I39" i="47"/>
  <c r="D56" i="47"/>
  <c r="D54" i="47"/>
  <c r="F78" i="47"/>
  <c r="I63" i="47"/>
  <c r="J39" i="47"/>
  <c r="D38" i="47"/>
  <c r="L85" i="47"/>
  <c r="G29" i="47"/>
  <c r="D95" i="47"/>
  <c r="D37" i="47"/>
  <c r="J61" i="47"/>
  <c r="I22" i="47"/>
  <c r="K93" i="47"/>
  <c r="K77" i="47"/>
  <c r="L69" i="47"/>
  <c r="E85" i="47"/>
  <c r="I71" i="47"/>
  <c r="I64" i="47"/>
  <c r="D94" i="47"/>
  <c r="I80" i="47"/>
  <c r="E39" i="47"/>
  <c r="L29" i="47"/>
  <c r="J95" i="47"/>
  <c r="D72" i="47"/>
  <c r="K85" i="47"/>
  <c r="E63" i="47"/>
  <c r="F62" i="47"/>
  <c r="L53" i="47"/>
  <c r="I88" i="47"/>
  <c r="D87" i="47"/>
  <c r="F21" i="47"/>
  <c r="A102" i="47" l="1"/>
  <c r="A103" i="47" s="1"/>
  <c r="A104" i="47" s="1"/>
  <c r="A105" i="47" s="1"/>
  <c r="A106" i="47" s="1"/>
  <c r="A107" i="47" s="1"/>
  <c r="A108" i="47" s="1"/>
  <c r="A109" i="47" s="1"/>
  <c r="A110" i="47" s="1"/>
  <c r="A111" i="47" s="1"/>
  <c r="A112" i="47" s="1"/>
  <c r="A113" i="47" s="1"/>
  <c r="A114" i="47" s="1"/>
  <c r="A115" i="47" s="1"/>
  <c r="A116" i="47" s="1"/>
  <c r="A117" i="47" s="1"/>
  <c r="A118" i="47" s="1"/>
  <c r="A119" i="47" s="1"/>
  <c r="A120" i="47" s="1"/>
  <c r="A121" i="47" s="1"/>
  <c r="A122" i="47" s="1"/>
  <c r="A123" i="47" s="1"/>
  <c r="A124" i="47" s="1"/>
  <c r="A125" i="47" s="1"/>
  <c r="A126" i="47" s="1"/>
  <c r="A127" i="47" s="1"/>
  <c r="A128" i="47" s="1"/>
  <c r="A129" i="47" s="1"/>
  <c r="A130" i="47" s="1"/>
  <c r="A131" i="47" s="1"/>
  <c r="A132" i="47" s="1"/>
  <c r="A133" i="47" s="1"/>
  <c r="A134" i="47" s="1"/>
  <c r="A135" i="47" s="1"/>
  <c r="A136" i="47" s="1"/>
  <c r="A137" i="47" s="1"/>
  <c r="A138" i="47" s="1"/>
  <c r="A139" i="47" s="1"/>
  <c r="A140" i="47" s="1"/>
  <c r="A141" i="47" s="1"/>
  <c r="A142" i="47" s="1"/>
  <c r="A143" i="47" s="1"/>
  <c r="A144" i="47" s="1"/>
  <c r="A145" i="47" s="1"/>
  <c r="A146" i="47" s="1"/>
  <c r="A147" i="47" s="1"/>
  <c r="A148" i="47" s="1"/>
  <c r="A149" i="47" s="1"/>
  <c r="A150" i="47" s="1"/>
  <c r="A151" i="47" s="1"/>
  <c r="A152" i="47" s="1"/>
  <c r="A153" i="47" s="1"/>
  <c r="A154" i="47" s="1"/>
  <c r="A155" i="47" s="1"/>
  <c r="A156" i="47" s="1"/>
  <c r="A157" i="47" s="1"/>
  <c r="A158" i="47" s="1"/>
  <c r="A159" i="47" s="1"/>
  <c r="A160" i="47" s="1"/>
  <c r="A161" i="47" s="1"/>
  <c r="A162" i="47" s="1"/>
  <c r="A163" i="47" s="1"/>
  <c r="A164" i="47" s="1"/>
  <c r="A165" i="47" s="1"/>
  <c r="A166" i="47" s="1"/>
  <c r="A167" i="47" s="1"/>
  <c r="A168" i="47" s="1"/>
  <c r="A169" i="47" s="1"/>
  <c r="A170" i="47" s="1"/>
  <c r="A171" i="47" s="1"/>
  <c r="A172" i="47" s="1"/>
  <c r="A173" i="47" s="1"/>
  <c r="A174" i="47" s="1"/>
  <c r="A175" i="47" s="1"/>
  <c r="A176" i="47" s="1"/>
  <c r="A177" i="47" s="1"/>
  <c r="A178" i="47" s="1"/>
  <c r="A179" i="47" s="1"/>
  <c r="A180" i="47" s="1"/>
  <c r="A181" i="47" s="1"/>
  <c r="A182" i="47" s="1"/>
  <c r="A183" i="47" s="1"/>
  <c r="A184" i="47" s="1"/>
  <c r="A185" i="47" s="1"/>
  <c r="A186" i="47" s="1"/>
  <c r="A187" i="47" s="1"/>
  <c r="A188" i="47" s="1"/>
  <c r="A189" i="47" s="1"/>
  <c r="A190" i="47" s="1"/>
  <c r="A191" i="47" s="1"/>
  <c r="A192" i="47" s="1"/>
  <c r="A193" i="47" s="1"/>
  <c r="A194" i="47" s="1"/>
  <c r="A195" i="47" s="1"/>
  <c r="A196" i="47" s="1"/>
  <c r="A197" i="47" s="1"/>
  <c r="A198" i="47" s="1"/>
  <c r="A199" i="47" s="1"/>
  <c r="A200" i="47" s="1"/>
  <c r="A201" i="47" s="1"/>
  <c r="A202" i="47" s="1"/>
  <c r="A203" i="47" s="1"/>
  <c r="A204" i="47" s="1"/>
  <c r="A205" i="47" s="1"/>
  <c r="A206" i="47" s="1"/>
  <c r="A207" i="47" s="1"/>
  <c r="A208" i="47" s="1"/>
  <c r="A209" i="47" s="1"/>
  <c r="A220" i="47"/>
  <c r="A216" i="47"/>
  <c r="A212" i="47"/>
  <c r="A219" i="47"/>
  <c r="A215" i="47"/>
  <c r="A211" i="47"/>
  <c r="A218" i="47"/>
  <c r="A214" i="47"/>
  <c r="A217" i="47"/>
  <c r="A213" i="47"/>
  <c r="A24" i="47"/>
  <c r="A28" i="47"/>
  <c r="A32" i="47"/>
  <c r="A36" i="47"/>
  <c r="A40" i="47"/>
  <c r="A44" i="47"/>
  <c r="A48" i="47"/>
  <c r="A52" i="47"/>
  <c r="A56" i="47"/>
  <c r="A60" i="47"/>
  <c r="A64" i="47"/>
  <c r="A68" i="47"/>
  <c r="A72" i="47"/>
  <c r="A76" i="47"/>
  <c r="A80" i="47"/>
  <c r="A84" i="47"/>
  <c r="A88" i="47"/>
  <c r="A92" i="47"/>
  <c r="A96" i="47"/>
  <c r="A100" i="47"/>
  <c r="A25" i="47"/>
  <c r="A29" i="47"/>
  <c r="A33" i="47"/>
  <c r="A37" i="47"/>
  <c r="A41" i="47"/>
  <c r="A45" i="47"/>
  <c r="A49" i="47"/>
  <c r="A53" i="47"/>
  <c r="A57" i="47"/>
  <c r="A61" i="47"/>
  <c r="A65" i="47"/>
  <c r="A69" i="47"/>
  <c r="A73" i="47"/>
  <c r="A77" i="47"/>
  <c r="A81" i="47"/>
  <c r="A85" i="47"/>
  <c r="A89" i="47"/>
  <c r="A93" i="47"/>
  <c r="A97" i="47"/>
  <c r="A26" i="47"/>
  <c r="A30" i="47"/>
  <c r="A34" i="47"/>
  <c r="A38" i="47"/>
  <c r="A42" i="47"/>
  <c r="A46" i="47"/>
  <c r="A50" i="47"/>
  <c r="A54" i="47"/>
  <c r="A58" i="47"/>
  <c r="A62" i="47"/>
  <c r="A66" i="47"/>
  <c r="A70" i="47"/>
  <c r="A74" i="47"/>
  <c r="A78" i="47"/>
  <c r="A35" i="47"/>
  <c r="A51" i="47"/>
  <c r="A67" i="47"/>
  <c r="A82" i="47"/>
  <c r="A90" i="47"/>
  <c r="A98" i="47"/>
  <c r="A23" i="47"/>
  <c r="A39" i="47"/>
  <c r="A55" i="47"/>
  <c r="A71" i="47"/>
  <c r="A83" i="47"/>
  <c r="A91" i="47"/>
  <c r="A99" i="47"/>
  <c r="A27" i="47"/>
  <c r="A43" i="47"/>
  <c r="A59" i="47"/>
  <c r="A75" i="47"/>
  <c r="A86" i="47"/>
  <c r="A94" i="47"/>
  <c r="A31" i="47"/>
  <c r="A47" i="47"/>
  <c r="A63" i="47"/>
  <c r="A79" i="47"/>
  <c r="A87" i="47"/>
  <c r="A95" i="47"/>
  <c r="B10" i="47"/>
  <c r="A22" i="47" l="1"/>
</calcChain>
</file>

<file path=xl/sharedStrings.xml><?xml version="1.0" encoding="utf-8"?>
<sst xmlns="http://schemas.openxmlformats.org/spreadsheetml/2006/main" count="9840" uniqueCount="235">
  <si>
    <t xml:space="preserve">County: </t>
  </si>
  <si>
    <t xml:space="preserve">Version #: </t>
  </si>
  <si>
    <t>Alachua</t>
  </si>
  <si>
    <t>Baker</t>
  </si>
  <si>
    <t>Bay</t>
  </si>
  <si>
    <t>Bradford</t>
  </si>
  <si>
    <t>Brevard</t>
  </si>
  <si>
    <t>Broward</t>
  </si>
  <si>
    <t>Calhoun</t>
  </si>
  <si>
    <t>Charlotte</t>
  </si>
  <si>
    <t>Citrus</t>
  </si>
  <si>
    <t>Clay</t>
  </si>
  <si>
    <t>Collier</t>
  </si>
  <si>
    <t>Columbia</t>
  </si>
  <si>
    <t>Dade</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</si>
  <si>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</si>
  <si>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</si>
  <si>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</si>
  <si>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</si>
  <si>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</si>
  <si>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</si>
  <si>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</si>
  <si>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</si>
  <si>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</si>
  <si>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</si>
  <si>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</si>
  <si>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</si>
  <si>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</si>
  <si>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</si>
  <si>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</si>
  <si>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</si>
  <si>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</si>
  <si>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</si>
  <si>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</si>
  <si>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</si>
  <si>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</si>
  <si>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</si>
  <si>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</si>
  <si>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</si>
  <si>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</si>
  <si>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</si>
  <si>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</si>
  <si>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</si>
  <si>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</si>
  <si>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</si>
  <si>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</si>
  <si>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</si>
  <si>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</si>
  <si>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</si>
  <si>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</si>
  <si>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</si>
  <si>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</si>
  <si>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</si>
  <si>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</si>
  <si>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</si>
  <si>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</si>
  <si>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</si>
  <si>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</si>
  <si>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</si>
  <si>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</si>
  <si>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</si>
  <si>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</si>
  <si>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</si>
  <si>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</si>
  <si>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</si>
  <si>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</si>
  <si>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</si>
  <si>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</si>
  <si>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</si>
  <si>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E-Mail Address:</t>
  </si>
  <si>
    <t>Family</t>
  </si>
  <si>
    <t>OrganizationID</t>
  </si>
  <si>
    <t>OrganizationTypeID</t>
  </si>
  <si>
    <t>OrgName1</t>
  </si>
  <si>
    <t>OrgName2</t>
  </si>
  <si>
    <t>OrgName3</t>
  </si>
  <si>
    <t>Miami-Dade</t>
  </si>
  <si>
    <t>Saint Johns</t>
  </si>
  <si>
    <t>Saint Lucie</t>
  </si>
  <si>
    <t>Version Number</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</si>
  <si>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</si>
  <si>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</si>
  <si>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</si>
  <si>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</si>
  <si>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</si>
  <si>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</si>
  <si>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</si>
  <si>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</si>
  <si>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</si>
  <si>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</si>
  <si>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</si>
  <si>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</si>
  <si>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</si>
  <si>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</si>
  <si>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</si>
  <si>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</si>
  <si>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</si>
  <si>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</si>
  <si>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</si>
  <si>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</si>
  <si>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</si>
  <si>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</si>
  <si>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</si>
  <si>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</si>
  <si>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</si>
  <si>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</si>
  <si>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</si>
  <si>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</si>
  <si>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</si>
  <si>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</si>
  <si>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</si>
  <si>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Delinquency</t>
  </si>
  <si>
    <t>NumDataTables:</t>
  </si>
  <si>
    <t>DataTable</t>
  </si>
  <si>
    <t>StartCol</t>
  </si>
  <si>
    <t>EndCol</t>
  </si>
  <si>
    <t>StartRow</t>
  </si>
  <si>
    <t>EndRow</t>
  </si>
  <si>
    <t>A</t>
  </si>
  <si>
    <t>DataTableNum</t>
  </si>
  <si>
    <t>D_A_ReportNotes</t>
  </si>
  <si>
    <t>G</t>
  </si>
  <si>
    <t>RptNotesType</t>
  </si>
  <si>
    <t>RptNotesSubType</t>
  </si>
  <si>
    <t>ReportNote</t>
  </si>
  <si>
    <t>CCOCStaffNotes</t>
  </si>
  <si>
    <t>Clerk of Court Quarterly Collections Performance Measure Report</t>
  </si>
  <si>
    <t>Fiscal Year Base</t>
  </si>
  <si>
    <t>CGE List</t>
  </si>
  <si>
    <t>RPE Date</t>
  </si>
  <si>
    <t>Report Qtr</t>
  </si>
  <si>
    <t>Qtr 1: Oct - Dec</t>
  </si>
  <si>
    <t>Qtr 2: Jan - Mar</t>
  </si>
  <si>
    <t>Qtr 3: Apr - Jun</t>
  </si>
  <si>
    <t>Qtr 4: Jul - Sep</t>
  </si>
  <si>
    <t xml:space="preserve">Report for the Quarter of: </t>
  </si>
  <si>
    <t>Court/Case Type:</t>
  </si>
  <si>
    <t>Performance Measure Standard:</t>
  </si>
  <si>
    <t>Court Types</t>
  </si>
  <si>
    <t>Standard</t>
  </si>
  <si>
    <t>Drug Trafficking</t>
  </si>
  <si>
    <t>Action Plan</t>
  </si>
  <si>
    <t>Reason Code</t>
  </si>
  <si>
    <t>Actions to Improve</t>
  </si>
  <si>
    <t>Quarterly ReportingDates</t>
  </si>
  <si>
    <t>Qtr 1</t>
  </si>
  <si>
    <t>Qtr 2</t>
  </si>
  <si>
    <t>Qtr 3</t>
  </si>
  <si>
    <t>Qtr 4</t>
  </si>
  <si>
    <t>Qtr 5</t>
  </si>
  <si>
    <t>C = Cumulative Collections</t>
  </si>
  <si>
    <t>A = Amount Assessed</t>
  </si>
  <si>
    <t>CR = Collection Rate</t>
  </si>
  <si>
    <t>Additional Notes Related to Collection Issues</t>
  </si>
  <si>
    <t>Reason Codes</t>
  </si>
  <si>
    <t>Internal</t>
  </si>
  <si>
    <t>External</t>
  </si>
  <si>
    <t>Internal:</t>
  </si>
  <si>
    <t>External:</t>
  </si>
  <si>
    <r>
      <t xml:space="preserve"> Must </t>
    </r>
    <r>
      <rPr>
        <sz val="11"/>
        <color rgb="FFFF0000"/>
        <rFont val="Franklin Gothic Book"/>
        <family val="2"/>
        <scheme val="minor"/>
      </rPr>
      <t>clarify reason</t>
    </r>
    <r>
      <rPr>
        <sz val="11"/>
        <rFont val="Franklin Gothic Book"/>
        <family val="2"/>
        <scheme val="minor"/>
      </rPr>
      <t xml:space="preserve"> AND give an </t>
    </r>
    <r>
      <rPr>
        <sz val="11"/>
        <color rgb="FFFF0000"/>
        <rFont val="Franklin Gothic Book"/>
        <family val="2"/>
        <scheme val="minor"/>
      </rPr>
      <t>expected time the</t>
    </r>
    <r>
      <rPr>
        <sz val="11"/>
        <rFont val="Franklin Gothic Book"/>
        <family val="2"/>
        <scheme val="minor"/>
      </rPr>
      <t xml:space="preserve"> internal reason will be resolved</t>
    </r>
  </si>
  <si>
    <r>
      <t xml:space="preserve"> Give a </t>
    </r>
    <r>
      <rPr>
        <sz val="11"/>
        <color rgb="FFFF0000"/>
        <rFont val="Franklin Gothic Book"/>
        <family val="2"/>
        <scheme val="minor"/>
      </rPr>
      <t>detailed explanation of the External reason causing</t>
    </r>
    <r>
      <rPr>
        <sz val="11"/>
        <rFont val="Franklin Gothic Book"/>
        <family val="2"/>
        <scheme val="minor"/>
      </rPr>
      <t xml:space="preserve"> the measure not to be met </t>
    </r>
  </si>
  <si>
    <r>
      <t xml:space="preserve"> Reason Code / </t>
    </r>
    <r>
      <rPr>
        <sz val="11"/>
        <color rgb="FFFF0000"/>
        <rFont val="Franklin Gothic Demi"/>
        <family val="2"/>
        <scheme val="major"/>
      </rPr>
      <t>Selection</t>
    </r>
    <r>
      <rPr>
        <sz val="11"/>
        <rFont val="Franklin Gothic Demi"/>
        <family val="2"/>
        <scheme val="major"/>
      </rPr>
      <t xml:space="preserve"> AND Action to Improve / </t>
    </r>
    <r>
      <rPr>
        <sz val="11"/>
        <color rgb="FFFF0000"/>
        <rFont val="Franklin Gothic Demi"/>
        <family val="2"/>
        <scheme val="major"/>
      </rPr>
      <t>Description</t>
    </r>
    <r>
      <rPr>
        <sz val="11"/>
        <rFont val="Franklin Gothic Demi"/>
        <family val="2"/>
        <scheme val="major"/>
      </rPr>
      <t xml:space="preserve"> is REQUIRED if Measure(s) Not Met</t>
    </r>
  </si>
  <si>
    <t>Business Rules</t>
  </si>
  <si>
    <t>NOTES:</t>
  </si>
  <si>
    <t>The following conditions will alert when performance standards are not met and/or established business rules within the control group are not followed.</t>
  </si>
  <si>
    <t>3.) To see Circuit Criminal Collection Rate LESS Drug Trafficking assessment and collection dollars, please see Drug Trafficking tab/page.</t>
  </si>
  <si>
    <r>
      <rPr>
        <b/>
        <u/>
        <sz val="11"/>
        <rFont val="Franklin Gothic Book"/>
        <family val="2"/>
        <scheme val="minor"/>
      </rPr>
      <t>Adjustments to Assessments</t>
    </r>
    <r>
      <rPr>
        <b/>
        <sz val="11"/>
        <rFont val="Franklin Gothic Book"/>
        <family val="2"/>
        <scheme val="minor"/>
      </rPr>
      <t>:</t>
    </r>
    <r>
      <rPr>
        <sz val="11"/>
        <rFont val="Franklin Gothic Book"/>
        <family val="2"/>
        <scheme val="minor"/>
      </rPr>
      <t xml:space="preserve"> The amount assessed in a given assessment control group should be adjusted in the reporting period when assessments are later adjusted by the Court or other provisions of law.  </t>
    </r>
  </si>
  <si>
    <r>
      <t>a.) Cumulative Collection amount has</t>
    </r>
    <r>
      <rPr>
        <b/>
        <sz val="11"/>
        <rFont val="Franklin Gothic Book"/>
        <family val="2"/>
        <scheme val="minor"/>
      </rPr>
      <t xml:space="preserve"> Decreased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</si>
  <si>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has </t>
    </r>
    <r>
      <rPr>
        <b/>
        <sz val="11"/>
        <rFont val="Franklin Gothic Book"/>
        <family val="2"/>
        <scheme val="minor"/>
      </rPr>
      <t>Increased</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</si>
  <si>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rPr>
        <b/>
        <sz val="11"/>
        <rFont val="Franklin Gothic Book"/>
        <family val="2"/>
        <scheme val="minor"/>
      </rPr>
      <t>Purpose of Report:</t>
    </r>
    <r>
      <rPr>
        <sz val="11"/>
        <rFont val="Franklin Gothic Book"/>
        <family val="2"/>
        <scheme val="minor"/>
      </rPr>
      <t xml:space="preserve">  The CCOC Collection Rate Performance Measure report tracks dollars in the quarter they are assessed and then how well those
assessed dollars have been collected over the next five quarters.</t>
    </r>
    <r>
      <rPr>
        <b/>
        <sz val="11"/>
        <rFont val="Franklin Gothic Book"/>
        <family val="2"/>
        <scheme val="minor"/>
      </rPr>
      <t xml:space="preserve">  </t>
    </r>
  </si>
  <si>
    <t>CountyName</t>
  </si>
  <si>
    <t>CourtType</t>
  </si>
  <si>
    <t>ControlGrpInfo</t>
  </si>
  <si>
    <t>Assessment1stQ</t>
  </si>
  <si>
    <t>Assessment2ndQ</t>
  </si>
  <si>
    <t>Assessment3rdQ</t>
  </si>
  <si>
    <t>Assessment4thQ</t>
  </si>
  <si>
    <t>5 Quarter Assessment</t>
  </si>
  <si>
    <t>Collection1stQ</t>
  </si>
  <si>
    <t>Collection2ndQ</t>
  </si>
  <si>
    <t>Collection3rdQ</t>
  </si>
  <si>
    <t>Collection4thQ</t>
  </si>
  <si>
    <t>5 Quarter Collection</t>
  </si>
  <si>
    <t>Adjusted Circuit Criminal Rate</t>
  </si>
  <si>
    <t>This is the percent of collections that would have been done for Circuit Criminal if Drug Cases had not been included: Circuit Criminal - Drug Trafficking</t>
  </si>
  <si>
    <t>Collection</t>
  </si>
  <si>
    <t>Assessment</t>
  </si>
  <si>
    <t>Adj. Circuit Criminal Rate</t>
  </si>
  <si>
    <t>CP1.18.1.0</t>
  </si>
  <si>
    <t>Collections</t>
  </si>
  <si>
    <t>D_A_Collections</t>
  </si>
  <si>
    <t>APType</t>
  </si>
  <si>
    <t>APSubType</t>
  </si>
  <si>
    <t>PMCourtType</t>
  </si>
  <si>
    <t>APCourtSubType</t>
  </si>
  <si>
    <t>Action To Improve</t>
  </si>
  <si>
    <t>Required</t>
  </si>
  <si>
    <t>Assessment5thQ</t>
  </si>
  <si>
    <t>Collection5thQ</t>
  </si>
  <si>
    <t>PerformanceCollection5thQ</t>
  </si>
  <si>
    <t>Collections Q1</t>
  </si>
  <si>
    <t>Collections Q2</t>
  </si>
  <si>
    <t>Collections Q3</t>
  </si>
  <si>
    <t>Collections Q4</t>
  </si>
  <si>
    <t>O</t>
  </si>
  <si>
    <t>S</t>
  </si>
  <si>
    <t>D_A_ActionPlan</t>
  </si>
  <si>
    <r>
      <t xml:space="preserve">1.) </t>
    </r>
    <r>
      <rPr>
        <b/>
        <sz val="11"/>
        <rFont val="Franklin Gothic Book"/>
        <family val="2"/>
        <scheme val="minor"/>
      </rPr>
      <t>Action Plan:</t>
    </r>
    <r>
      <rPr>
        <sz val="11"/>
        <rFont val="Franklin Gothic Book"/>
        <family val="2"/>
        <scheme val="minor"/>
      </rPr>
      <t xml:space="preserve"> If the Collection Rate in quarter five </t>
    </r>
    <r>
      <rPr>
        <b/>
        <sz val="11"/>
        <rFont val="Franklin Gothic Book"/>
        <family val="2"/>
        <scheme val="minor"/>
      </rPr>
      <t>(Qtr 5)</t>
    </r>
    <r>
      <rPr>
        <sz val="11"/>
        <rFont val="Franklin Gothic Book"/>
        <family val="2"/>
        <scheme val="minor"/>
      </rPr>
      <t xml:space="preserve"> is below Standard (</t>
    </r>
    <r>
      <rPr>
        <sz val="11"/>
        <color rgb="FFFF0000"/>
        <rFont val="Franklin Gothic Book"/>
        <family val="2"/>
        <scheme val="minor"/>
      </rPr>
      <t>red numbers</t>
    </r>
    <r>
      <rPr>
        <sz val="11"/>
        <rFont val="Franklin Gothic Book"/>
        <family val="2"/>
        <scheme val="minor"/>
      </rPr>
      <t xml:space="preserve"> on rose background), select a "Reason Code" and write a brief statement in "Actions to Improve" in the green area ONLY. </t>
    </r>
  </si>
  <si>
    <r>
      <t xml:space="preserve">2.) </t>
    </r>
    <r>
      <rPr>
        <b/>
        <sz val="11"/>
        <rFont val="Franklin Gothic Book"/>
        <family val="2"/>
        <scheme val="minor"/>
      </rPr>
      <t>Additional Notes Related to Collection Issues:</t>
    </r>
    <r>
      <rPr>
        <sz val="11"/>
        <rFont val="Franklin Gothic Book"/>
        <family val="2"/>
        <scheme val="minor"/>
      </rPr>
      <t xml:space="preserve"> Include a brief explaination when either of the following conditions occur that are not consistant with the Collection Report Business Rules. </t>
    </r>
  </si>
  <si>
    <r>
      <t>a.) Cumulative Collection amount should</t>
    </r>
    <r>
      <rPr>
        <b/>
        <sz val="11"/>
        <rFont val="Franklin Gothic Book"/>
        <family val="2"/>
        <scheme val="minor"/>
      </rPr>
      <t xml:space="preserve"> NOT Decrease</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</si>
  <si>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b.) The Amount Assessed - Adjusted should </t>
    </r>
    <r>
      <rPr>
        <b/>
        <sz val="11"/>
        <rFont val="Franklin Gothic Book"/>
        <family val="2"/>
        <scheme val="minor"/>
      </rPr>
      <t>NOT Increase</t>
    </r>
    <r>
      <rPr>
        <sz val="11"/>
        <rFont val="Franklin Gothic Book"/>
        <family val="2"/>
        <scheme val="minor"/>
      </rPr>
      <t xml:space="preserve"> from the previous quarter in the same Control Group (</t>
    </r>
    <r>
      <rPr>
        <sz val="11"/>
        <color rgb="FFFF0000"/>
        <rFont val="Franklin Gothic Book"/>
        <family val="2"/>
        <scheme val="minor"/>
      </rPr>
      <t>font</t>
    </r>
    <r>
      <rPr>
        <sz val="11"/>
        <rFont val="Franklin Gothic Book"/>
        <family val="2"/>
        <scheme val="minor"/>
      </rPr>
      <t xml:space="preserve"> </t>
    </r>
    <r>
      <rPr>
        <sz val="11"/>
        <color rgb="FFFF0000"/>
        <rFont val="Franklin Gothic Book"/>
        <family val="2"/>
        <scheme val="minor"/>
      </rPr>
      <t>color for amount</t>
    </r>
    <r>
      <rPr>
        <sz val="11"/>
        <rFont val="Franklin Gothic Book"/>
        <family val="2"/>
        <scheme val="minor"/>
      </rPr>
      <t xml:space="preserve"> will change to </t>
    </r>
    <r>
      <rPr>
        <b/>
        <sz val="11"/>
        <color rgb="FFFF0000"/>
        <rFont val="Franklin Gothic Book"/>
        <family val="2"/>
        <scheme val="minor"/>
      </rPr>
      <t>RED</t>
    </r>
    <r>
      <rPr>
        <sz val="11"/>
        <rFont val="Franklin Gothic Book"/>
        <family val="2"/>
        <scheme val="minor"/>
      </rPr>
      <t>)</t>
    </r>
  </si>
  <si>
    <r>
      <t xml:space="preserve">1.) </t>
    </r>
    <r>
      <rPr>
        <b/>
        <sz val="11"/>
        <rFont val="Franklin Gothic Book"/>
        <family val="2"/>
        <scheme val="minor"/>
      </rPr>
      <t>Action Plan:</t>
    </r>
    <r>
      <rPr>
        <sz val="11"/>
        <rFont val="Franklin Gothic Book"/>
        <family val="2"/>
        <scheme val="minor"/>
      </rPr>
      <t xml:space="preserve"> </t>
    </r>
  </si>
  <si>
    <t>No Corrective Action Plan reporting is needed as this is a subset of the Circuit Criminal performance measure.</t>
  </si>
  <si>
    <r>
      <t xml:space="preserve">2.) </t>
    </r>
    <r>
      <rPr>
        <b/>
        <sz val="11"/>
        <rFont val="Franklin Gothic Book"/>
        <family val="2"/>
        <scheme val="minor"/>
      </rPr>
      <t>Additional Notes Related to Collection Issues:</t>
    </r>
    <r>
      <rPr>
        <sz val="11"/>
        <rFont val="Franklin Gothic Book"/>
        <family val="2"/>
        <scheme val="minor"/>
      </rPr>
      <t xml:space="preserve"> No additional information is needed as this is a subset of the Circuit Criminal performance measure.  However, reported data should  </t>
    </r>
  </si>
  <si>
    <t xml:space="preserve"> still be consistant with the Collection Report Business Rules as follows for the Cumulative Collection and Amount Assessed-Adjusted.</t>
  </si>
  <si>
    <t xml:space="preserve">Quarter: </t>
  </si>
  <si>
    <t>DeSoto</t>
  </si>
  <si>
    <t>Desoto</t>
  </si>
  <si>
    <t>CGE CQ1-20</t>
  </si>
  <si>
    <t>CGE CQ2-20</t>
  </si>
  <si>
    <t>CGE CQ3-20</t>
  </si>
  <si>
    <t>CGE CQ4-20</t>
  </si>
  <si>
    <t>CGE CQ1-21</t>
  </si>
  <si>
    <t>CGE CQ2-21</t>
  </si>
  <si>
    <t>CGE CQ3-21</t>
  </si>
  <si>
    <t>CGE CQ4-21</t>
  </si>
  <si>
    <t>County Fiscal Year 2020-2021</t>
  </si>
  <si>
    <t>CCOC Form Version 1
Created 10/01/2020</t>
  </si>
  <si>
    <t>NOTE: The drug trafficking Collection and Amount Assessed values are subsets of the entire dollars posted in the Circuit Criminal Court Division tab. This breakout is in response to the CCOC Executive Council direction to isolate criminal drug trafficking case collection rates and mirrors the efforts within the FCCC Collections and Assessment report.</t>
  </si>
  <si>
    <t>CGE CQ1-22</t>
  </si>
  <si>
    <t>CGE CQ2-22</t>
  </si>
  <si>
    <t>CGE CQ3-22</t>
  </si>
  <si>
    <t>CGE CQ4-22</t>
  </si>
  <si>
    <t>Andrea Butler</t>
  </si>
  <si>
    <t>andrea.butler@brevardclerk.us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</si>
</sst>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409]* #,##0.00_);_([$$-409]* \(#,##0.00\);_([$$-409]* &quot;-&quot;??_);_(@_)"/>
    <numFmt numFmtId="165" formatCode="_([$$-409]* #,##0_);_([$$-409]* \(#,##0\);_([$$-409]* &quot;-&quot;??_);_(@_)"/>
  </numFmts>
  <fonts count="47"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b/>
      <sz val="12"/>
      <name val="Franklin Gothic Book"/>
      <family val="2"/>
      <scheme val="minor"/>
    </font>
    <font>
      <sz val="12"/>
      <name val="Franklin Gothic Book"/>
      <family val="2"/>
      <scheme val="minor"/>
    </font>
    <font>
      <sz val="11"/>
      <name val="Franklin Gothic Demi"/>
      <family val="2"/>
      <scheme val="major"/>
    </font>
    <font>
      <sz val="10"/>
      <color theme="0"/>
      <name val="Franklin Gothic Demi"/>
      <family val="2"/>
      <scheme val="major"/>
    </font>
    <font>
      <sz val="12"/>
      <name val="Franklin Gothic Demi"/>
      <family val="2"/>
      <scheme val="major"/>
    </font>
    <font>
      <sz val="11"/>
      <color theme="1"/>
      <name val="Franklin Gothic Demi"/>
      <family val="2"/>
      <scheme val="major"/>
    </font>
    <font>
      <sz val="11"/>
      <color theme="0"/>
      <name val="Franklin Gothic Demi"/>
      <family val="2"/>
      <scheme val="major"/>
    </font>
    <font>
      <sz val="10"/>
      <name val="Arial"/>
      <family val="2"/>
    </font>
    <font>
      <sz val="11"/>
      <color rgb="FFFF0000"/>
      <name val="Franklin Gothic Book"/>
      <family val="2"/>
      <scheme val="minor"/>
    </font>
    <font>
      <b/>
      <sz val="11"/>
      <color rgb="FFFF0000"/>
      <name val="Franklin Gothic Book"/>
      <family val="2"/>
      <scheme val="minor"/>
    </font>
    <font>
      <sz val="11"/>
      <color rgb="FFFF0000"/>
      <name val="Franklin Gothic Demi"/>
      <family val="2"/>
      <scheme val="major"/>
    </font>
    <font>
      <b/>
      <sz val="14"/>
      <name val="Franklin Gothic Book"/>
      <family val="2"/>
      <scheme val="minor"/>
    </font>
    <font>
      <b/>
      <sz val="12"/>
      <color rgb="FFFF0000"/>
      <name val="Franklin Gothic Book"/>
      <family val="2"/>
      <scheme val="minor"/>
    </font>
    <font>
      <sz val="16"/>
      <color theme="4"/>
      <name val="Franklin Gothic Demi"/>
      <family val="2"/>
      <scheme val="major"/>
    </font>
    <font>
      <sz val="12"/>
      <color theme="0"/>
      <name val="Franklin Gothic Demi"/>
      <family val="2"/>
      <scheme val="major"/>
    </font>
    <font>
      <sz val="11"/>
      <color rgb="FF222222"/>
      <name val="Courier New"/>
      <family val="3"/>
    </font>
    <font>
      <sz val="10"/>
      <name val="Franklin Gothic Book"/>
      <family val="2"/>
    </font>
    <font>
      <sz val="11"/>
      <name val="Franklin Gothic Demi"/>
      <family val="2"/>
    </font>
    <font>
      <sz val="14"/>
      <color rgb="FFAC162C"/>
      <name val="Franklin Gothic Demi"/>
      <family val="2"/>
      <scheme val="major"/>
    </font>
    <font>
      <sz val="10"/>
      <color theme="4"/>
      <name val="Franklin Gothic Demi"/>
      <family val="2"/>
      <scheme val="major"/>
    </font>
    <font>
      <sz val="10"/>
      <name val="Arial"/>
      <family val="2"/>
    </font>
    <font>
      <b/>
      <sz val="10"/>
      <color theme="0"/>
      <name val="Arial"/>
      <family val="2"/>
    </font>
  </fonts>
  <fills count="1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rgb="FF6C9DCE"/>
        <bgColor indexed="64"/>
      </patternFill>
    </fill>
    <fill>
      <patternFill patternType="solid">
        <fgColor rgb="FFA3C2E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AC162C"/>
        <bgColor indexed="64"/>
      </patternFill>
    </fill>
    <fill>
      <patternFill patternType="solid">
        <fgColor theme="2" tint="-9.9948118533890809E-2"/>
        <bgColor indexed="64"/>
      </patternFill>
    </fill>
  </fills>
  <borders count="7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double">
        <color rgb="FF3F3F3F"/>
      </left>
      <right style="double">
        <color rgb="FF3F3F3F"/>
      </right>
      <top style="double">
        <color rgb="FF3F3F3F"/>
      </top>
      <bottom style="double">
        <color rgb="FF3F3F3F"/>
      </bottom>
      <diagonal/>
    </border>
    <border>
      <left/>
      <right/>
      <top/>
      <bottom style="thin">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right style="medium">
        <color theme="1" tint="0.499984740745262"/>
      </right>
      <top/>
      <bottom/>
      <diagonal/>
    </border>
    <border>
      <left style="medium">
        <color theme="1" tint="0.499984740745262"/>
      </left>
      <right style="thin">
        <color rgb="FF969696"/>
      </right>
      <top style="thin">
        <color rgb="FF969696"/>
      </top>
      <bottom style="double">
        <color theme="1" tint="0.499984740745262"/>
      </bottom>
      <diagonal/>
    </border>
    <border>
      <left style="thin">
        <color rgb="FF969696"/>
      </left>
      <right style="thin">
        <color rgb="FF969696"/>
      </right>
      <top style="thin">
        <color rgb="FF969696"/>
      </top>
      <bottom style="double">
        <color theme="1" tint="0.499984740745262"/>
      </bottom>
      <diagonal/>
    </border>
    <border>
      <left style="medium">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1" tint="0.499984740745262"/>
      </right>
      <top style="medium">
        <color theme="0" tint="-0.499984740745262"/>
      </top>
      <bottom style="thin">
        <color rgb="FF969696"/>
      </bottom>
      <diagonal/>
    </border>
    <border>
      <left style="thin">
        <color rgb="FF969696"/>
      </left>
      <right style="medium">
        <color theme="1" tint="0.499984740745262"/>
      </right>
      <top style="thin">
        <color rgb="FF969696"/>
      </top>
      <bottom style="double">
        <color theme="1" tint="0.499984740745262"/>
      </bottom>
      <diagonal/>
    </border>
    <border>
      <left style="medium">
        <color theme="1" tint="0.499984740745262"/>
      </left>
      <right style="thin">
        <color rgb="FF969696"/>
      </right>
      <top/>
      <bottom style="medium">
        <color theme="1" tint="0.499984740745262"/>
      </bottom>
      <diagonal/>
    </border>
    <border>
      <left style="thin">
        <color rgb="FF969696"/>
      </left>
      <right style="thin">
        <color rgb="FF969696"/>
      </right>
      <top/>
      <bottom style="medium">
        <color theme="1" tint="0.499984740745262"/>
      </bottom>
      <diagonal/>
    </border>
    <border>
      <left style="thin">
        <color rgb="FF969696"/>
      </left>
      <right style="medium">
        <color theme="1" tint="0.499984740745262"/>
      </right>
      <top/>
      <bottom style="medium">
        <color theme="1" tint="0.499984740745262"/>
      </bottom>
      <diagonal/>
    </border>
    <border>
      <left style="medium">
        <color theme="1" tint="0.499984740745262"/>
      </left>
      <right style="medium">
        <color theme="1" tint="0.499984740745262"/>
      </right>
      <top style="medium">
        <color theme="0" tint="-0.499984740745262"/>
      </top>
      <bottom style="thin">
        <color rgb="FF969696"/>
      </bottom>
      <diagonal/>
    </border>
    <border>
      <left style="medium">
        <color theme="1" tint="0.499984740745262"/>
      </left>
      <right style="medium">
        <color theme="1" tint="0.499984740745262"/>
      </right>
      <top style="thin">
        <color rgb="FF969696"/>
      </top>
      <bottom style="double">
        <color theme="1" tint="0.499984740745262"/>
      </bottom>
      <diagonal/>
    </border>
    <border>
      <left style="medium">
        <color theme="1" tint="0.499984740745262"/>
      </left>
      <right style="medium">
        <color theme="1" tint="0.499984740745262"/>
      </right>
      <top/>
      <bottom/>
      <diagonal/>
    </border>
    <border>
      <left style="thin">
        <color theme="1" tint="0.499984740745262"/>
      </left>
      <right/>
      <top style="medium">
        <color theme="0" tint="-0.499984740745262"/>
      </top>
      <bottom style="thin">
        <color rgb="FF969696"/>
      </bottom>
      <diagonal/>
    </border>
    <border>
      <left style="thin">
        <color rgb="FF969696"/>
      </left>
      <right/>
      <top style="thin">
        <color rgb="FF969696"/>
      </top>
      <bottom style="double">
        <color theme="1" tint="0.499984740745262"/>
      </bottom>
      <diagonal/>
    </border>
    <border>
      <left style="thin">
        <color rgb="FF969696"/>
      </left>
      <right/>
      <top/>
      <bottom style="medium">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medium">
        <color theme="1" tint="0.499984740745262"/>
      </left>
      <right style="thin">
        <color rgb="FF969696"/>
      </right>
      <top/>
      <bottom/>
      <diagonal/>
    </border>
    <border>
      <left style="thin">
        <color rgb="FF969696"/>
      </left>
      <right style="thin">
        <color rgb="FF969696"/>
      </right>
      <top/>
      <bottom/>
      <diagonal/>
    </border>
    <border>
      <left style="thin">
        <color rgb="FF969696"/>
      </left>
      <right style="medium">
        <color theme="1" tint="0.499984740745262"/>
      </right>
      <top/>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right style="thin">
        <color theme="1" tint="0.499984740745262"/>
      </right>
      <top style="medium">
        <color theme="1" tint="0.499984740745262"/>
      </top>
      <bottom/>
      <diagonal/>
    </border>
    <border>
      <left/>
      <right style="thin">
        <color theme="1" tint="0.499984740745262"/>
      </right>
      <top/>
      <bottom/>
      <diagonal/>
    </border>
    <border>
      <left/>
      <right style="thin">
        <color theme="1" tint="0.499984740745262"/>
      </right>
      <top/>
      <bottom style="medium">
        <color theme="1"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top style="medium">
        <color theme="0" tint="-0.499984740745262"/>
      </top>
      <bottom style="thin">
        <color rgb="FF969696"/>
      </bottom>
      <diagonal/>
    </border>
    <border>
      <left style="medium">
        <color theme="1" tint="0.499984740745262"/>
      </left>
      <right/>
      <top style="thin">
        <color rgb="FF969696"/>
      </top>
      <bottom style="double">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right/>
      <top/>
      <bottom style="double">
        <color theme="1" tint="0.499984740745262"/>
      </bottom>
      <diagonal/>
    </border>
    <border>
      <left/>
      <right style="medium">
        <color theme="1" tint="0.499984740745262"/>
      </right>
      <top style="thin">
        <color theme="1" tint="0.499984740745262"/>
      </top>
      <bottom/>
      <diagonal/>
    </border>
    <border>
      <left/>
      <right style="medium">
        <color theme="1" tint="0.499984740745262"/>
      </right>
      <top/>
      <bottom style="thin">
        <color theme="1" tint="0.499984740745262"/>
      </bottom>
      <diagonal/>
    </border>
    <border>
      <left/>
      <right style="medium">
        <color theme="1" tint="0.499984740745262"/>
      </right>
      <top/>
      <bottom style="double">
        <color theme="1" tint="0.499984740745262"/>
      </bottom>
      <diagonal/>
    </border>
    <border>
      <left/>
      <right/>
      <top style="thin">
        <color theme="1" tint="0.499984740745262"/>
      </top>
      <bottom/>
      <diagonal/>
    </border>
    <border>
      <left/>
      <right/>
      <top/>
      <bottom style="thin">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53">
    <xf numFmtId="0" fontId="0" fillId="0" borderId="0"/>
    <xf numFmtId="0" fontId="18" fillId="0" borderId="0"/>
    <xf numFmtId="0" fontId="16" fillId="0" borderId="0"/>
    <xf numFmtId="0" fontId="15" fillId="0" borderId="0"/>
    <xf numFmtId="0" fontId="14" fillId="0" borderId="0"/>
    <xf numFmtId="0" fontId="17" fillId="0" borderId="0"/>
    <xf numFmtId="44" fontId="14" fillId="0" borderId="0" applyFont="0" applyFill="0" applyBorder="0" applyAlignment="0" applyProtection="0"/>
    <xf numFmtId="0" fontId="13" fillId="0" borderId="0"/>
    <xf numFmtId="43"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3" fillId="0" borderId="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0" fontId="9" fillId="0" borderId="0"/>
    <xf numFmtId="0" fontId="8" fillId="0" borderId="0"/>
    <xf numFmtId="0" fontId="7" fillId="0" borderId="0"/>
    <xf numFmtId="44" fontId="7" fillId="0" borderId="0" applyFont="0" applyFill="0" applyBorder="0" applyAlignment="0" applyProtection="0"/>
    <xf numFmtId="44" fontId="19"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165" fontId="30" fillId="5" borderId="21">
      <alignment vertical="center"/>
    </xf>
    <xf numFmtId="0" fontId="20" fillId="6" borderId="22">
      <alignment horizontal="center" vertical="center"/>
      <protection locked="0"/>
    </xf>
    <xf numFmtId="0" fontId="20" fillId="7" borderId="22">
      <alignment horizontal="center" vertical="center"/>
      <protection locked="0"/>
    </xf>
    <xf numFmtId="44" fontId="26" fillId="8" borderId="23">
      <alignment vertical="center"/>
      <protection locked="0"/>
    </xf>
    <xf numFmtId="44" fontId="20" fillId="8" borderId="24" applyBorder="0">
      <alignment vertical="center"/>
      <protection locked="0"/>
    </xf>
    <xf numFmtId="44" fontId="20" fillId="7" borderId="26" applyBorder="0">
      <alignment vertical="center"/>
      <protection locked="0"/>
    </xf>
    <xf numFmtId="44" fontId="20" fillId="6" borderId="27" applyBorder="0">
      <alignment vertical="center"/>
      <protection locked="0"/>
    </xf>
    <xf numFmtId="44" fontId="20" fillId="6" borderId="28" applyBorder="0">
      <alignment vertical="center"/>
      <protection locked="0"/>
    </xf>
    <xf numFmtId="44" fontId="26" fillId="7" borderId="9" applyBorder="0">
      <alignment vertical="top"/>
      <protection locked="0"/>
    </xf>
    <xf numFmtId="9" fontId="32" fillId="0" borderId="0" applyFont="0" applyFill="0" applyBorder="0" applyAlignment="0" applyProtection="0"/>
    <xf numFmtId="0" fontId="17" fillId="0" borderId="0"/>
    <xf numFmtId="43" fontId="45" fillId="0" borderId="0" applyFont="0" applyFill="0" applyBorder="0" applyAlignment="0" applyProtection="0"/>
  </cellStyleXfs>
  <cellXfs count="239">
    <xf numFmtId="0" fontId="0" fillId="0" borderId="0" xfId="0"/>
    <xf numFmtId="0" fontId="0" fillId="0" borderId="0" xfId="0" applyProtection="1"/>
    <xf numFmtId="0" fontId="23" fillId="0" borderId="0" xfId="0" applyFont="1"/>
    <xf numFmtId="0" fontId="24" fillId="3" borderId="0" xfId="0" applyFont="1" applyFill="1"/>
    <xf numFmtId="0" fontId="24" fillId="3" borderId="0" xfId="0" applyFont="1" applyFill="1" applyAlignment="1">
      <alignment wrapText="1"/>
    </xf>
    <xf numFmtId="0" fontId="24" fillId="3"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164" fontId="25" fillId="0" borderId="0" xfId="0" applyNumberFormat="1" applyFont="1" applyFill="1" applyBorder="1" applyAlignment="1" applyProtection="1">
      <alignment vertical="top"/>
    </xf>
    <xf numFmtId="0" fontId="20" fillId="0" borderId="0" xfId="0" applyFont="1" applyBorder="1" applyAlignment="1" applyProtection="1">
      <alignment vertical="top"/>
    </xf>
    <xf numFmtId="0" fontId="23" fillId="0" borderId="0" xfId="0" applyFont="1" applyProtection="1"/>
    <xf numFmtId="14" fontId="23" fillId="0" borderId="0" xfId="0" applyNumberFormat="1" applyFont="1"/>
    <xf numFmtId="44" fontId="23" fillId="0" borderId="0" xfId="0" applyNumberFormat="1" applyFont="1"/>
    <xf numFmtId="44" fontId="23" fillId="0" borderId="0" xfId="28" applyFont="1"/>
    <xf numFmtId="0" fontId="23" fillId="0" borderId="3" xfId="0" applyFont="1" applyBorder="1"/>
    <xf numFmtId="0" fontId="23" fillId="0" borderId="0" xfId="0" applyFont="1" applyBorder="1"/>
    <xf numFmtId="0" fontId="23" fillId="0" borderId="4" xfId="0" applyFont="1" applyBorder="1"/>
    <xf numFmtId="0" fontId="23" fillId="0" borderId="5" xfId="0" applyFont="1" applyBorder="1"/>
    <xf numFmtId="0" fontId="23" fillId="0" borderId="6" xfId="0" applyFont="1" applyBorder="1"/>
    <xf numFmtId="0" fontId="23" fillId="0" borderId="8" xfId="0" applyFont="1" applyBorder="1"/>
    <xf numFmtId="0" fontId="24" fillId="3" borderId="1" xfId="0" applyFont="1" applyFill="1" applyBorder="1"/>
    <xf numFmtId="0" fontId="24" fillId="3" borderId="2" xfId="0" applyFont="1" applyFill="1" applyBorder="1"/>
    <xf numFmtId="0" fontId="24" fillId="3" borderId="7" xfId="0" applyFont="1" applyFill="1" applyBorder="1"/>
    <xf numFmtId="0" fontId="23" fillId="0" borderId="0" xfId="0" quotePrefix="1" applyFont="1"/>
    <xf numFmtId="14" fontId="23" fillId="4" borderId="0" xfId="0" applyNumberFormat="1" applyFont="1" applyFill="1" applyProtection="1">
      <protection locked="0"/>
    </xf>
    <xf numFmtId="0" fontId="23" fillId="4" borderId="0" xfId="0" applyFont="1" applyFill="1" applyProtection="1">
      <protection locked="0"/>
    </xf>
    <xf numFmtId="0" fontId="29" fillId="0" borderId="0" xfId="0" applyFont="1" applyAlignment="1" applyProtection="1">
      <alignment vertical="center"/>
    </xf>
    <xf numFmtId="165" fontId="30" fillId="10" borderId="21" xfId="41" applyFill="1" applyProtection="1">
      <alignment vertical="center"/>
    </xf>
    <xf numFmtId="44" fontId="20" fillId="8" borderId="25" xfId="44" applyFont="1" applyBorder="1" applyProtection="1">
      <alignment vertical="center"/>
      <protection locked="0"/>
    </xf>
    <xf numFmtId="0" fontId="20" fillId="6" borderId="22" xfId="42" applyProtection="1">
      <alignment horizontal="center" vertical="center"/>
      <protection locked="0"/>
    </xf>
    <xf numFmtId="0" fontId="27" fillId="0" borderId="0" xfId="0" applyFont="1" applyAlignment="1" applyProtection="1">
      <alignment horizontal="right" vertical="center"/>
    </xf>
    <xf numFmtId="9" fontId="23" fillId="0" borderId="0" xfId="50" applyFont="1" applyFill="1" applyBorder="1"/>
    <xf numFmtId="9" fontId="0" fillId="0" borderId="0" xfId="50" applyFont="1"/>
    <xf numFmtId="0" fontId="29" fillId="0" borderId="0" xfId="0" applyFont="1" applyBorder="1" applyAlignment="1" applyProtection="1">
      <alignment vertical="center"/>
    </xf>
    <xf numFmtId="42" fontId="27" fillId="0" borderId="0" xfId="0" applyNumberFormat="1" applyFont="1" applyFill="1" applyBorder="1" applyAlignment="1" applyProtection="1">
      <alignment horizontal="center" vertical="center"/>
    </xf>
    <xf numFmtId="44" fontId="20" fillId="7" borderId="30" xfId="46" applyBorder="1" applyProtection="1">
      <alignment vertical="center"/>
      <protection locked="0"/>
    </xf>
    <xf numFmtId="44" fontId="20" fillId="7" borderId="31" xfId="46" applyBorder="1" applyProtection="1">
      <alignment vertical="center"/>
      <protection locked="0"/>
    </xf>
    <xf numFmtId="42" fontId="27" fillId="0" borderId="10" xfId="0" applyNumberFormat="1" applyFont="1" applyFill="1" applyBorder="1" applyAlignment="1" applyProtection="1">
      <alignment horizontal="center" vertical="center"/>
    </xf>
    <xf numFmtId="42" fontId="27" fillId="0" borderId="11" xfId="0" applyNumberFormat="1" applyFont="1" applyFill="1" applyBorder="1" applyAlignment="1" applyProtection="1">
      <alignment horizontal="center" vertical="center"/>
    </xf>
    <xf numFmtId="42" fontId="27" fillId="0" borderId="12" xfId="0" applyNumberFormat="1" applyFont="1" applyFill="1" applyBorder="1" applyAlignment="1" applyProtection="1">
      <alignment horizontal="center" vertical="center"/>
    </xf>
    <xf numFmtId="44" fontId="20" fillId="8" borderId="32" xfId="44" applyFont="1" applyBorder="1" applyProtection="1">
      <alignment vertical="center"/>
      <protection locked="0"/>
    </xf>
    <xf numFmtId="44" fontId="20" fillId="8" borderId="33" xfId="44" applyFont="1" applyBorder="1" applyProtection="1">
      <alignment vertical="center"/>
      <protection locked="0"/>
    </xf>
    <xf numFmtId="44" fontId="20" fillId="7" borderId="34" xfId="46" applyBorder="1" applyProtection="1">
      <alignment vertical="center"/>
      <protection locked="0"/>
    </xf>
    <xf numFmtId="42" fontId="27" fillId="0" borderId="17" xfId="0" applyNumberFormat="1" applyFont="1" applyFill="1" applyBorder="1" applyAlignment="1" applyProtection="1">
      <alignment horizontal="center" vertical="center"/>
    </xf>
    <xf numFmtId="44" fontId="20" fillId="8" borderId="38" xfId="44" applyFont="1" applyBorder="1" applyProtection="1">
      <alignment vertical="center"/>
      <protection locked="0"/>
    </xf>
    <xf numFmtId="44" fontId="20" fillId="7" borderId="39" xfId="46" applyBorder="1" applyProtection="1">
      <alignment vertical="center"/>
      <protection locked="0"/>
    </xf>
    <xf numFmtId="44" fontId="20" fillId="8" borderId="41" xfId="44" applyFont="1" applyBorder="1" applyProtection="1">
      <alignment vertical="center"/>
      <protection locked="0"/>
    </xf>
    <xf numFmtId="44" fontId="20" fillId="7" borderId="42" xfId="46" applyBorder="1" applyProtection="1">
      <alignment vertical="center"/>
      <protection locked="0"/>
    </xf>
    <xf numFmtId="42" fontId="27" fillId="0" borderId="13" xfId="0" applyNumberFormat="1" applyFont="1" applyFill="1" applyBorder="1" applyAlignment="1" applyProtection="1">
      <alignment horizontal="center" vertical="center"/>
    </xf>
    <xf numFmtId="42" fontId="27" fillId="0" borderId="29" xfId="0" applyNumberFormat="1" applyFont="1" applyFill="1" applyBorder="1" applyAlignment="1" applyProtection="1">
      <alignment horizontal="center" vertical="center"/>
    </xf>
    <xf numFmtId="44" fontId="20" fillId="12" borderId="32" xfId="44" applyFont="1" applyFill="1" applyBorder="1" applyProtection="1">
      <alignment vertical="center"/>
      <protection locked="0"/>
    </xf>
    <xf numFmtId="44" fontId="20" fillId="12" borderId="25" xfId="44" applyFont="1" applyFill="1" applyBorder="1" applyProtection="1">
      <alignment vertical="center"/>
      <protection locked="0"/>
    </xf>
    <xf numFmtId="44" fontId="20" fillId="13" borderId="30" xfId="46" applyFill="1" applyBorder="1" applyProtection="1">
      <alignment vertical="center"/>
      <protection locked="0"/>
    </xf>
    <xf numFmtId="44" fontId="20" fillId="13" borderId="31" xfId="46" applyFill="1" applyBorder="1" applyProtection="1">
      <alignment vertical="center"/>
      <protection locked="0"/>
    </xf>
    <xf numFmtId="0" fontId="17" fillId="0" borderId="0" xfId="0" applyFont="1"/>
    <xf numFmtId="0" fontId="21" fillId="0" borderId="0" xfId="0" applyFont="1" applyAlignment="1" applyProtection="1">
      <alignment horizontal="right"/>
    </xf>
    <xf numFmtId="0" fontId="20" fillId="0" borderId="0" xfId="0" applyFont="1" applyProtection="1"/>
    <xf numFmtId="44" fontId="20" fillId="8" borderId="60" xfId="44" applyFont="1" applyBorder="1" applyProtection="1">
      <alignment vertical="center"/>
      <protection locked="0"/>
    </xf>
    <xf numFmtId="44" fontId="20" fillId="7" borderId="61" xfId="46" applyBorder="1" applyProtection="1">
      <alignment vertical="center"/>
      <protection locked="0"/>
    </xf>
    <xf numFmtId="0" fontId="27" fillId="0" borderId="53" xfId="0" applyFont="1" applyBorder="1" applyAlignment="1" applyProtection="1">
      <alignment horizontal="center" vertical="center" wrapText="1"/>
    </xf>
    <xf numFmtId="0" fontId="27" fillId="0" borderId="62" xfId="0" applyFont="1" applyBorder="1" applyAlignment="1" applyProtection="1">
      <alignment horizontal="center" vertical="center" wrapText="1"/>
    </xf>
    <xf numFmtId="0" fontId="27" fillId="14" borderId="14" xfId="0" applyFont="1" applyFill="1" applyBorder="1" applyAlignment="1" applyProtection="1">
      <alignment horizontal="right" vertical="center"/>
    </xf>
    <xf numFmtId="0" fontId="24" fillId="3" borderId="0" xfId="5" applyFont="1" applyFill="1"/>
    <xf numFmtId="0" fontId="23" fillId="0" borderId="0" xfId="5" applyFont="1"/>
    <xf numFmtId="0" fontId="27" fillId="14" borderId="13" xfId="0" applyFont="1" applyFill="1" applyBorder="1" applyAlignment="1" applyProtection="1">
      <alignment horizontal="right" vertical="center"/>
    </xf>
    <xf numFmtId="0" fontId="36" fillId="0" borderId="0" xfId="0" applyFont="1" applyBorder="1" applyAlignment="1" applyProtection="1">
      <alignment horizontal="center" vertical="center"/>
    </xf>
    <xf numFmtId="0" fontId="20" fillId="0" borderId="0" xfId="0" applyFont="1" applyBorder="1" applyProtection="1"/>
    <xf numFmtId="0" fontId="37" fillId="0" borderId="0" xfId="0" applyFont="1" applyProtection="1"/>
    <xf numFmtId="0" fontId="34" fillId="0" borderId="0" xfId="0" applyFont="1" applyProtection="1"/>
    <xf numFmtId="10" fontId="20" fillId="0" borderId="50" xfId="50" applyNumberFormat="1" applyFont="1" applyFill="1" applyBorder="1" applyAlignment="1" applyProtection="1">
      <alignment vertical="center"/>
    </xf>
    <xf numFmtId="10" fontId="20" fillId="0" borderId="14" xfId="50" applyNumberFormat="1" applyFont="1" applyFill="1" applyBorder="1" applyAlignment="1" applyProtection="1">
      <alignment vertical="center"/>
    </xf>
    <xf numFmtId="10" fontId="20" fillId="0" borderId="35" xfId="50" applyNumberFormat="1" applyFont="1" applyFill="1" applyBorder="1" applyAlignment="1" applyProtection="1">
      <alignment vertical="center"/>
    </xf>
    <xf numFmtId="10" fontId="20" fillId="0" borderId="43" xfId="50" applyNumberFormat="1" applyFont="1" applyFill="1" applyBorder="1" applyAlignment="1" applyProtection="1">
      <alignment vertical="center"/>
    </xf>
    <xf numFmtId="10" fontId="20" fillId="0" borderId="36" xfId="50" applyNumberFormat="1" applyFont="1" applyFill="1" applyBorder="1" applyAlignment="1" applyProtection="1">
      <alignment vertical="center"/>
    </xf>
    <xf numFmtId="10" fontId="20" fillId="0" borderId="37" xfId="50" applyNumberFormat="1" applyFont="1" applyFill="1" applyBorder="1" applyAlignment="1" applyProtection="1">
      <alignment vertical="center"/>
    </xf>
    <xf numFmtId="10" fontId="20" fillId="0" borderId="51" xfId="50" applyNumberFormat="1" applyFont="1" applyFill="1" applyBorder="1" applyAlignment="1" applyProtection="1">
      <alignment vertical="center"/>
    </xf>
    <xf numFmtId="10" fontId="20" fillId="0" borderId="52" xfId="50" applyNumberFormat="1" applyFont="1" applyFill="1" applyBorder="1" applyAlignment="1" applyProtection="1">
      <alignment vertical="center"/>
    </xf>
    <xf numFmtId="0" fontId="20" fillId="15" borderId="22" xfId="42" applyFill="1" applyProtection="1">
      <alignment horizontal="center" vertical="center"/>
    </xf>
    <xf numFmtId="9" fontId="31" fillId="2" borderId="0" xfId="50" applyFont="1" applyFill="1" applyBorder="1" applyAlignment="1" applyProtection="1">
      <alignment vertical="center"/>
    </xf>
    <xf numFmtId="44" fontId="0" fillId="0" borderId="64" xfId="0" applyNumberFormat="1" applyBorder="1"/>
    <xf numFmtId="44" fontId="0" fillId="0" borderId="66" xfId="0" applyNumberFormat="1" applyBorder="1"/>
    <xf numFmtId="0" fontId="0" fillId="11" borderId="29" xfId="0" applyFill="1" applyBorder="1"/>
    <xf numFmtId="0" fontId="0" fillId="11" borderId="0" xfId="0" applyFill="1" applyBorder="1"/>
    <xf numFmtId="10" fontId="20" fillId="0" borderId="18" xfId="50" applyNumberFormat="1" applyFont="1" applyFill="1" applyBorder="1" applyAlignment="1" applyProtection="1">
      <alignment vertical="center"/>
    </xf>
    <xf numFmtId="0" fontId="40" fillId="0" borderId="0" xfId="0" applyFont="1" applyAlignment="1">
      <alignment horizontal="left" vertical="center"/>
    </xf>
    <xf numFmtId="0" fontId="24" fillId="3" borderId="0" xfId="51" applyFont="1" applyFill="1" applyAlignment="1" applyProtection="1">
      <alignment wrapText="1"/>
    </xf>
    <xf numFmtId="0" fontId="23" fillId="0" borderId="0" xfId="51" applyFont="1" applyProtection="1"/>
    <xf numFmtId="0" fontId="23" fillId="0" borderId="0" xfId="51" applyNumberFormat="1" applyFont="1" applyProtection="1"/>
    <xf numFmtId="10" fontId="23" fillId="0" borderId="0" xfId="50" applyNumberFormat="1" applyFont="1"/>
    <xf numFmtId="0" fontId="23" fillId="0" borderId="0" xfId="51" applyFont="1" applyBorder="1" applyProtection="1"/>
    <xf numFmtId="0" fontId="17" fillId="0" borderId="67" xfId="0" applyFont="1" applyBorder="1" applyAlignment="1">
      <alignment horizontal="right"/>
    </xf>
    <xf numFmtId="0" fontId="17" fillId="0" borderId="63" xfId="0" applyFont="1" applyBorder="1" applyAlignment="1">
      <alignment horizontal="right"/>
    </xf>
    <xf numFmtId="0" fontId="20" fillId="6" borderId="22" xfId="42" applyProtection="1">
      <alignment horizontal="center" vertical="center"/>
      <protection locked="0"/>
    </xf>
    <xf numFmtId="0" fontId="38" fillId="0" borderId="0" xfId="0" applyFont="1" applyAlignment="1" applyProtection="1">
      <alignment horizontal="center" vertical="center"/>
    </xf>
    <xf numFmtId="0" fontId="38" fillId="0" borderId="0" xfId="0" applyFont="1" applyBorder="1" applyAlignment="1" applyProtection="1">
      <alignment horizontal="center" vertical="center"/>
    </xf>
    <xf numFmtId="0" fontId="20" fillId="15" borderId="22" xfId="42" applyFill="1" applyProtection="1">
      <alignment horizontal="center" vertical="center"/>
    </xf>
    <xf numFmtId="9" fontId="30" fillId="10" borderId="21" xfId="50" applyFont="1" applyFill="1" applyBorder="1" applyAlignment="1" applyProtection="1">
      <alignment horizontal="center" vertical="center"/>
    </xf>
    <xf numFmtId="0" fontId="0" fillId="0" borderId="0" xfId="0" applyAlignment="1">
      <alignment horizontal="center"/>
    </xf>
    <xf numFmtId="0" fontId="38" fillId="0" borderId="0" xfId="0" applyFont="1" applyAlignment="1" applyProtection="1">
      <alignment horizontal="left" vertical="center"/>
    </xf>
    <xf numFmtId="0" fontId="43" fillId="0" borderId="0" xfId="0" applyFont="1" applyAlignment="1" applyProtection="1">
      <alignment vertical="center"/>
    </xf>
    <xf numFmtId="43" fontId="0" fillId="0" borderId="0" xfId="52" applyFont="1"/>
    <xf numFmtId="17" fontId="28" fillId="9" borderId="53" xfId="0" applyNumberFormat="1" applyFont="1" applyFill="1" applyBorder="1" applyAlignment="1" applyProtection="1">
      <alignment horizontal="center" vertical="center"/>
    </xf>
    <xf numFmtId="17" fontId="28" fillId="9" borderId="69" xfId="0" applyNumberFormat="1" applyFont="1" applyFill="1" applyBorder="1" applyAlignment="1" applyProtection="1">
      <alignment horizontal="center" vertical="center"/>
    </xf>
    <xf numFmtId="17" fontId="28" fillId="9" borderId="62" xfId="0" applyNumberFormat="1" applyFont="1" applyFill="1" applyBorder="1" applyAlignment="1" applyProtection="1">
      <alignment horizontal="center" vertical="center"/>
    </xf>
    <xf numFmtId="0" fontId="17" fillId="4" borderId="68" xfId="0" applyFont="1" applyFill="1" applyBorder="1" applyAlignment="1">
      <alignment vertical="center"/>
    </xf>
    <xf numFmtId="10" fontId="0" fillId="4" borderId="65" xfId="50" applyNumberFormat="1" applyFont="1" applyFill="1" applyBorder="1" applyAlignment="1">
      <alignment vertical="center"/>
    </xf>
    <xf numFmtId="0" fontId="17" fillId="4" borderId="15" xfId="0" applyFont="1" applyFill="1" applyBorder="1" applyAlignment="1">
      <alignment vertical="center"/>
    </xf>
    <xf numFmtId="10" fontId="0" fillId="4" borderId="16" xfId="50" applyNumberFormat="1" applyFont="1" applyFill="1" applyBorder="1" applyAlignment="1">
      <alignment vertical="center"/>
    </xf>
    <xf numFmtId="7" fontId="0" fillId="0" borderId="3" xfId="0" applyNumberFormat="1" applyBorder="1"/>
    <xf numFmtId="7" fontId="0" fillId="0" borderId="0" xfId="0" applyNumberFormat="1"/>
    <xf numFmtId="7" fontId="0" fillId="0" borderId="4" xfId="0" applyNumberFormat="1" applyBorder="1"/>
    <xf numFmtId="0" fontId="0" fillId="18" borderId="0" xfId="0" applyFill="1"/>
    <xf numFmtId="7" fontId="0" fillId="18" borderId="3" xfId="0" applyNumberFormat="1" applyFill="1" applyBorder="1"/>
    <xf numFmtId="7" fontId="0" fillId="18" borderId="0" xfId="0" applyNumberFormat="1" applyFill="1"/>
    <xf numFmtId="7" fontId="0" fillId="18" borderId="4" xfId="0" applyNumberFormat="1" applyFill="1" applyBorder="1"/>
    <xf numFmtId="0" fontId="0" fillId="18" borderId="70" xfId="0" applyFill="1" applyBorder="1"/>
    <xf numFmtId="7" fontId="0" fillId="18" borderId="71" xfId="0" applyNumberFormat="1" applyFill="1" applyBorder="1"/>
    <xf numFmtId="7" fontId="0" fillId="18" borderId="70" xfId="0" applyNumberFormat="1" applyFill="1" applyBorder="1"/>
    <xf numFmtId="7" fontId="0" fillId="18" borderId="72" xfId="0" applyNumberFormat="1" applyFill="1" applyBorder="1"/>
    <xf numFmtId="0" fontId="46" fillId="3" borderId="0" xfId="0" quotePrefix="1" applyFont="1" applyFill="1"/>
    <xf numFmtId="0" fontId="46" fillId="3" borderId="3" xfId="0" quotePrefix="1" applyFont="1" applyFill="1" applyBorder="1"/>
    <xf numFmtId="0" fontId="46" fillId="3" borderId="4" xfId="0" quotePrefix="1" applyFont="1" applyFill="1" applyBorder="1"/>
    <xf numFmtId="0" fontId="0" fillId="0" borderId="73" xfId="0" applyBorder="1"/>
    <xf numFmtId="7" fontId="0" fillId="0" borderId="74" xfId="0" applyNumberFormat="1" applyBorder="1"/>
    <xf numFmtId="7" fontId="0" fillId="0" borderId="73" xfId="0" applyNumberFormat="1" applyBorder="1"/>
    <xf numFmtId="7" fontId="0" fillId="0" borderId="75" xfId="0" applyNumberFormat="1" applyBorder="1"/>
    <xf numFmtId="0" fontId="0" fillId="18" borderId="6" xfId="0" applyFill="1" applyBorder="1"/>
    <xf numFmtId="7" fontId="0" fillId="18" borderId="5" xfId="0" applyNumberFormat="1" applyFill="1" applyBorder="1"/>
    <xf numFmtId="7" fontId="0" fillId="18" borderId="6" xfId="0" applyNumberFormat="1" applyFill="1" applyBorder="1"/>
    <xf numFmtId="7" fontId="0" fillId="18" borderId="8" xfId="0" applyNumberFormat="1" applyFill="1" applyBorder="1"/>
    <xf numFmtId="0" fontId="0" fillId="0" borderId="2" xfId="0" applyBorder="1"/>
    <xf numFmtId="7" fontId="0" fillId="0" borderId="1" xfId="0" applyNumberFormat="1" applyBorder="1"/>
    <xf numFmtId="7" fontId="0" fillId="0" borderId="2" xfId="0" applyNumberFormat="1" applyBorder="1"/>
    <xf numFmtId="7" fontId="0" fillId="0" borderId="7" xfId="0" applyNumberFormat="1" applyBorder="1"/>
    <xf numFmtId="0" fontId="43" fillId="0" borderId="0" xfId="0" applyFont="1" applyAlignment="1" applyProtection="1">
      <alignment horizontal="left" vertical="center"/>
    </xf>
    <xf numFmtId="0" fontId="36" fillId="0" borderId="0" xfId="0" applyFont="1" applyBorder="1" applyAlignment="1" applyProtection="1">
      <alignment horizontal="right" vertical="center"/>
    </xf>
    <xf numFmtId="0" fontId="31" fillId="9" borderId="10" xfId="0" applyFont="1" applyFill="1" applyBorder="1" applyAlignment="1" applyProtection="1">
      <alignment horizontal="center" vertical="center"/>
    </xf>
    <xf numFmtId="0" fontId="31" fillId="9" borderId="12" xfId="0" applyFont="1" applyFill="1" applyBorder="1" applyAlignment="1" applyProtection="1">
      <alignment horizontal="center" vertical="center"/>
    </xf>
    <xf numFmtId="0" fontId="27" fillId="14" borderId="57" xfId="0" applyFont="1" applyFill="1" applyBorder="1" applyAlignment="1" applyProtection="1">
      <alignment horizontal="center" vertical="center"/>
    </xf>
    <xf numFmtId="0" fontId="27" fillId="14" borderId="58" xfId="0" applyFont="1" applyFill="1" applyBorder="1" applyAlignment="1" applyProtection="1">
      <alignment horizontal="center" vertical="center"/>
    </xf>
    <xf numFmtId="0" fontId="27" fillId="14" borderId="59" xfId="0" applyFont="1" applyFill="1" applyBorder="1" applyAlignment="1" applyProtection="1">
      <alignment horizontal="center" vertical="center"/>
    </xf>
    <xf numFmtId="0" fontId="20" fillId="14" borderId="0" xfId="0" applyFont="1" applyFill="1" applyBorder="1" applyAlignment="1" applyProtection="1">
      <alignment horizontal="left" vertical="center"/>
    </xf>
    <xf numFmtId="0" fontId="20" fillId="14" borderId="29" xfId="0" applyFont="1" applyFill="1" applyBorder="1" applyAlignment="1" applyProtection="1">
      <alignment horizontal="left" vertical="center"/>
    </xf>
    <xf numFmtId="0" fontId="20" fillId="14" borderId="15" xfId="0" applyFont="1" applyFill="1" applyBorder="1" applyAlignment="1" applyProtection="1">
      <alignment horizontal="left" vertical="center"/>
    </xf>
    <xf numFmtId="0" fontId="20" fillId="14" borderId="16" xfId="0" applyFont="1" applyFill="1" applyBorder="1" applyAlignment="1" applyProtection="1">
      <alignment horizontal="left" vertical="center"/>
    </xf>
    <xf numFmtId="0" fontId="20" fillId="16" borderId="0" xfId="0" applyFont="1" applyFill="1" applyBorder="1" applyAlignment="1" applyProtection="1">
      <alignment vertical="top" wrapText="1"/>
    </xf>
    <xf numFmtId="0" fontId="20" fillId="0" borderId="0" xfId="0" applyFont="1" applyBorder="1" applyAlignment="1" applyProtection="1">
      <alignment vertical="top" wrapText="1"/>
    </xf>
    <xf numFmtId="0" fontId="27" fillId="0" borderId="10" xfId="0" applyNumberFormat="1" applyFont="1" applyBorder="1" applyAlignment="1" applyProtection="1">
      <alignment horizontal="left" vertical="center" wrapText="1"/>
    </xf>
    <xf numFmtId="0" fontId="27" fillId="0" borderId="12" xfId="0" applyNumberFormat="1" applyFont="1" applyBorder="1" applyAlignment="1" applyProtection="1">
      <alignment horizontal="left" vertical="center" wrapText="1"/>
    </xf>
    <xf numFmtId="0" fontId="27" fillId="0" borderId="10" xfId="0" applyNumberFormat="1" applyFont="1" applyFill="1" applyBorder="1" applyAlignment="1" applyProtection="1">
      <alignment horizontal="left" vertical="center" wrapText="1"/>
    </xf>
    <xf numFmtId="0" fontId="27" fillId="0" borderId="12" xfId="0" applyNumberFormat="1" applyFont="1" applyFill="1" applyBorder="1" applyAlignment="1" applyProtection="1">
      <alignment horizontal="left" vertical="center" wrapText="1"/>
    </xf>
    <xf numFmtId="49" fontId="23" fillId="0" borderId="13" xfId="0" applyNumberFormat="1" applyFont="1" applyBorder="1" applyAlignment="1" applyProtection="1">
      <alignment horizontal="left" vertical="top" wrapText="1"/>
      <protection locked="0"/>
    </xf>
    <xf numFmtId="49" fontId="23" fillId="0" borderId="29" xfId="0" applyNumberFormat="1" applyFont="1" applyBorder="1" applyAlignment="1" applyProtection="1">
      <alignment horizontal="left" vertical="top" wrapText="1"/>
      <protection locked="0"/>
    </xf>
    <xf numFmtId="49" fontId="23" fillId="0" borderId="14" xfId="0" applyNumberFormat="1" applyFont="1" applyBorder="1" applyAlignment="1" applyProtection="1">
      <alignment horizontal="left" vertical="top" wrapText="1"/>
      <protection locked="0"/>
    </xf>
    <xf numFmtId="49" fontId="23" fillId="0" borderId="16" xfId="0" applyNumberFormat="1" applyFont="1" applyBorder="1" applyAlignment="1" applyProtection="1">
      <alignment horizontal="left" vertical="top" wrapText="1"/>
      <protection locked="0"/>
    </xf>
    <xf numFmtId="49" fontId="23" fillId="0" borderId="13" xfId="0" applyNumberFormat="1" applyFont="1" applyFill="1" applyBorder="1" applyAlignment="1" applyProtection="1">
      <alignment horizontal="left" vertical="top" wrapText="1"/>
      <protection locked="0"/>
    </xf>
    <xf numFmtId="49" fontId="23" fillId="0" borderId="29" xfId="0" applyNumberFormat="1" applyFont="1" applyFill="1" applyBorder="1" applyAlignment="1" applyProtection="1">
      <alignment horizontal="left" vertical="top" wrapText="1"/>
      <protection locked="0"/>
    </xf>
    <xf numFmtId="49" fontId="23" fillId="0" borderId="14" xfId="0" applyNumberFormat="1" applyFont="1" applyFill="1" applyBorder="1" applyAlignment="1" applyProtection="1">
      <alignment horizontal="left" vertical="top" wrapText="1"/>
      <protection locked="0"/>
    </xf>
    <xf numFmtId="49" fontId="23" fillId="0" borderId="16" xfId="0" applyNumberFormat="1" applyFont="1" applyFill="1" applyBorder="1" applyAlignment="1" applyProtection="1">
      <alignment horizontal="left" vertical="top" wrapText="1"/>
      <protection locked="0"/>
    </xf>
    <xf numFmtId="0" fontId="0" fillId="11" borderId="10" xfId="0" applyFill="1" applyBorder="1" applyAlignment="1" applyProtection="1">
      <alignment horizontal="center"/>
    </xf>
    <xf numFmtId="0" fontId="0" fillId="11" borderId="11" xfId="0" applyFill="1" applyBorder="1" applyAlignment="1" applyProtection="1">
      <alignment horizontal="center"/>
    </xf>
    <xf numFmtId="0" fontId="0" fillId="11" borderId="13" xfId="0" applyFill="1" applyBorder="1" applyAlignment="1" applyProtection="1">
      <alignment horizontal="center"/>
    </xf>
    <xf numFmtId="0" fontId="0" fillId="11" borderId="0" xfId="0" applyFill="1" applyAlignment="1" applyProtection="1">
      <alignment horizontal="center"/>
    </xf>
    <xf numFmtId="0" fontId="0" fillId="11" borderId="14" xfId="0" applyFill="1" applyBorder="1" applyAlignment="1" applyProtection="1">
      <alignment horizontal="center"/>
    </xf>
    <xf numFmtId="0" fontId="0" fillId="11" borderId="15" xfId="0" applyFill="1" applyBorder="1" applyAlignment="1" applyProtection="1">
      <alignment horizontal="center"/>
    </xf>
    <xf numFmtId="0" fontId="27" fillId="0" borderId="44" xfId="0" applyFont="1" applyBorder="1" applyAlignment="1" applyProtection="1">
      <alignment horizontal="center" vertical="center" wrapText="1"/>
      <protection locked="0"/>
    </xf>
    <xf numFmtId="0" fontId="23" fillId="0" borderId="45" xfId="0" applyFont="1" applyBorder="1" applyAlignment="1" applyProtection="1">
      <alignment horizontal="left" vertical="top" wrapText="1"/>
      <protection locked="0"/>
    </xf>
    <xf numFmtId="0" fontId="42" fillId="0" borderId="44" xfId="0" applyFont="1" applyBorder="1" applyAlignment="1" applyProtection="1">
      <alignment horizontal="center" vertical="center" wrapText="1"/>
      <protection locked="0"/>
    </xf>
    <xf numFmtId="0" fontId="42" fillId="0" borderId="46" xfId="0" applyFont="1" applyBorder="1" applyAlignment="1" applyProtection="1">
      <alignment horizontal="center" vertical="center" wrapText="1"/>
      <protection locked="0"/>
    </xf>
    <xf numFmtId="0" fontId="41" fillId="0" borderId="45" xfId="0" applyFont="1" applyBorder="1" applyAlignment="1" applyProtection="1">
      <alignment horizontal="left" vertical="top" wrapText="1"/>
      <protection locked="0"/>
    </xf>
    <xf numFmtId="0" fontId="41" fillId="0" borderId="47" xfId="0" applyFont="1" applyBorder="1" applyAlignment="1" applyProtection="1">
      <alignment horizontal="left" vertical="top" wrapText="1"/>
      <protection locked="0"/>
    </xf>
    <xf numFmtId="0" fontId="20" fillId="0" borderId="10" xfId="0" applyFont="1" applyBorder="1" applyAlignment="1" applyProtection="1">
      <alignment horizontal="center" vertical="center" wrapText="1"/>
    </xf>
    <xf numFmtId="0" fontId="20" fillId="0" borderId="54"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0" fontId="20" fillId="0" borderId="55" xfId="0" applyFont="1" applyBorder="1" applyAlignment="1" applyProtection="1">
      <alignment horizontal="center" vertical="center" wrapText="1"/>
    </xf>
    <xf numFmtId="0" fontId="20" fillId="0" borderId="14" xfId="0" applyFont="1" applyBorder="1" applyAlignment="1" applyProtection="1">
      <alignment horizontal="center" vertical="center" wrapText="1"/>
    </xf>
    <xf numFmtId="0" fontId="20" fillId="0" borderId="56" xfId="0" applyFont="1" applyBorder="1" applyAlignment="1" applyProtection="1">
      <alignment horizontal="center" vertical="center" wrapText="1"/>
    </xf>
    <xf numFmtId="0" fontId="27" fillId="0" borderId="11" xfId="0" applyFont="1" applyBorder="1" applyAlignment="1" applyProtection="1">
      <alignment horizontal="left" vertical="center"/>
    </xf>
    <xf numFmtId="0" fontId="27" fillId="0" borderId="12" xfId="0" applyFont="1" applyBorder="1" applyAlignment="1" applyProtection="1">
      <alignment horizontal="left" vertical="center"/>
    </xf>
    <xf numFmtId="0" fontId="20" fillId="0" borderId="0" xfId="0" applyFont="1" applyBorder="1" applyAlignment="1" applyProtection="1">
      <alignment horizontal="left" vertical="center"/>
    </xf>
    <xf numFmtId="0" fontId="20" fillId="0" borderId="29" xfId="0" applyFont="1" applyBorder="1" applyAlignment="1" applyProtection="1">
      <alignment horizontal="left" vertical="center"/>
    </xf>
    <xf numFmtId="0" fontId="20" fillId="0" borderId="15" xfId="0" applyFont="1" applyBorder="1" applyAlignment="1" applyProtection="1">
      <alignment horizontal="left" vertical="center"/>
    </xf>
    <xf numFmtId="0" fontId="20" fillId="0" borderId="16" xfId="0" applyFont="1" applyBorder="1" applyAlignment="1" applyProtection="1">
      <alignment horizontal="left" vertical="center"/>
    </xf>
    <xf numFmtId="0" fontId="20" fillId="11" borderId="17" xfId="0" applyFont="1" applyFill="1" applyBorder="1" applyAlignment="1" applyProtection="1">
      <alignment horizontal="center" vertical="top"/>
    </xf>
    <xf numFmtId="0" fontId="20" fillId="11" borderId="40" xfId="0" applyFont="1" applyFill="1" applyBorder="1" applyAlignment="1" applyProtection="1">
      <alignment horizontal="center" vertical="top"/>
    </xf>
    <xf numFmtId="0" fontId="20" fillId="11" borderId="18" xfId="0" applyFont="1" applyFill="1" applyBorder="1" applyAlignment="1" applyProtection="1">
      <alignment horizontal="center" vertical="top"/>
    </xf>
    <xf numFmtId="0" fontId="0" fillId="11" borderId="29" xfId="0" applyFill="1" applyBorder="1" applyAlignment="1" applyProtection="1">
      <alignment horizontal="center"/>
    </xf>
    <xf numFmtId="0" fontId="20" fillId="11" borderId="10" xfId="0" applyFont="1" applyFill="1" applyBorder="1" applyAlignment="1" applyProtection="1">
      <alignment horizontal="center" vertical="top"/>
    </xf>
    <xf numFmtId="0" fontId="20" fillId="11" borderId="11" xfId="0" applyFont="1" applyFill="1" applyBorder="1" applyAlignment="1" applyProtection="1">
      <alignment horizontal="center" vertical="top"/>
    </xf>
    <xf numFmtId="0" fontId="20" fillId="11" borderId="12" xfId="0" applyFont="1" applyFill="1" applyBorder="1" applyAlignment="1" applyProtection="1">
      <alignment horizontal="center" vertical="top"/>
    </xf>
    <xf numFmtId="0" fontId="20" fillId="11" borderId="13" xfId="0" applyFont="1" applyFill="1" applyBorder="1" applyAlignment="1" applyProtection="1">
      <alignment horizontal="center" vertical="top"/>
    </xf>
    <xf numFmtId="0" fontId="20" fillId="11" borderId="0" xfId="0" applyFont="1" applyFill="1" applyBorder="1" applyAlignment="1" applyProtection="1">
      <alignment horizontal="center" vertical="top"/>
    </xf>
    <xf numFmtId="0" fontId="20" fillId="11" borderId="29" xfId="0" applyFont="1" applyFill="1" applyBorder="1" applyAlignment="1" applyProtection="1">
      <alignment horizontal="center" vertical="top"/>
    </xf>
    <xf numFmtId="0" fontId="20" fillId="11" borderId="14" xfId="0" applyFont="1" applyFill="1" applyBorder="1" applyAlignment="1" applyProtection="1">
      <alignment horizontal="center" vertical="top"/>
    </xf>
    <xf numFmtId="0" fontId="20" fillId="11" borderId="15" xfId="0" applyFont="1" applyFill="1" applyBorder="1" applyAlignment="1" applyProtection="1">
      <alignment horizontal="center" vertical="top"/>
    </xf>
    <xf numFmtId="0" fontId="20" fillId="11" borderId="16" xfId="0" applyFont="1" applyFill="1" applyBorder="1" applyAlignment="1" applyProtection="1">
      <alignment horizontal="center" vertical="top"/>
    </xf>
    <xf numFmtId="0" fontId="20" fillId="14" borderId="10" xfId="0" applyFont="1" applyFill="1" applyBorder="1" applyAlignment="1" applyProtection="1">
      <alignment horizontal="center" vertical="center" wrapText="1"/>
    </xf>
    <xf numFmtId="0" fontId="20" fillId="14" borderId="54" xfId="0" applyFont="1" applyFill="1" applyBorder="1" applyAlignment="1" applyProtection="1">
      <alignment horizontal="center" vertical="center" wrapText="1"/>
    </xf>
    <xf numFmtId="0" fontId="20" fillId="14" borderId="13" xfId="0" applyFont="1" applyFill="1" applyBorder="1" applyAlignment="1" applyProtection="1">
      <alignment horizontal="center" vertical="center" wrapText="1"/>
    </xf>
    <xf numFmtId="0" fontId="20" fillId="14" borderId="55" xfId="0" applyFont="1" applyFill="1" applyBorder="1" applyAlignment="1" applyProtection="1">
      <alignment horizontal="center" vertical="center" wrapText="1"/>
    </xf>
    <xf numFmtId="0" fontId="20" fillId="14" borderId="14" xfId="0" applyFont="1" applyFill="1" applyBorder="1" applyAlignment="1" applyProtection="1">
      <alignment horizontal="center" vertical="center" wrapText="1"/>
    </xf>
    <xf numFmtId="0" fontId="20" fillId="14" borderId="56" xfId="0" applyFont="1" applyFill="1" applyBorder="1" applyAlignment="1" applyProtection="1">
      <alignment horizontal="center" vertical="center" wrapText="1"/>
    </xf>
    <xf numFmtId="0" fontId="27" fillId="0" borderId="0" xfId="0" applyFont="1" applyBorder="1" applyAlignment="1" applyProtection="1">
      <alignment horizontal="left" vertical="center"/>
    </xf>
    <xf numFmtId="0" fontId="27" fillId="0" borderId="29" xfId="0" applyFont="1" applyBorder="1" applyAlignment="1" applyProtection="1">
      <alignment horizontal="left" vertical="center"/>
    </xf>
    <xf numFmtId="0" fontId="20" fillId="6" borderId="22" xfId="42" applyAlignment="1" applyProtection="1">
      <alignment horizontal="left" vertical="center"/>
      <protection locked="0"/>
    </xf>
    <xf numFmtId="0" fontId="20" fillId="7" borderId="22" xfId="43" applyAlignment="1" applyProtection="1">
      <alignment horizontal="left" vertical="center"/>
      <protection locked="0"/>
    </xf>
    <xf numFmtId="0" fontId="28" fillId="17" borderId="0" xfId="0" applyFont="1" applyFill="1" applyBorder="1" applyAlignment="1" applyProtection="1">
      <alignment horizontal="center" vertical="center" wrapText="1"/>
    </xf>
    <xf numFmtId="0" fontId="28" fillId="17" borderId="15" xfId="0" applyFont="1" applyFill="1" applyBorder="1" applyAlignment="1" applyProtection="1">
      <alignment horizontal="center" vertical="center" wrapText="1"/>
    </xf>
    <xf numFmtId="0" fontId="27" fillId="0" borderId="48" xfId="0" applyNumberFormat="1" applyFont="1" applyBorder="1" applyAlignment="1" applyProtection="1">
      <alignment horizontal="center" vertical="center" wrapText="1"/>
      <protection locked="0"/>
    </xf>
    <xf numFmtId="0" fontId="27" fillId="0" borderId="44" xfId="0" applyNumberFormat="1" applyFont="1" applyBorder="1" applyAlignment="1" applyProtection="1">
      <alignment horizontal="center" vertical="center" wrapText="1"/>
      <protection locked="0"/>
    </xf>
    <xf numFmtId="0" fontId="23" fillId="0" borderId="49" xfId="0" applyNumberFormat="1" applyFont="1" applyFill="1" applyBorder="1" applyAlignment="1" applyProtection="1">
      <alignment horizontal="left" vertical="top" wrapText="1"/>
      <protection locked="0"/>
    </xf>
    <xf numFmtId="0" fontId="23" fillId="0" borderId="45" xfId="0" applyNumberFormat="1" applyFont="1" applyFill="1" applyBorder="1" applyAlignment="1" applyProtection="1">
      <alignment horizontal="left" vertical="top" wrapText="1"/>
      <protection locked="0"/>
    </xf>
    <xf numFmtId="0" fontId="27" fillId="0" borderId="0" xfId="0" applyFont="1" applyAlignment="1" applyProtection="1">
      <alignment horizontal="right" vertical="center"/>
    </xf>
    <xf numFmtId="0" fontId="27" fillId="0" borderId="0" xfId="0" applyFont="1" applyBorder="1" applyAlignment="1" applyProtection="1">
      <alignment horizontal="right" vertical="center"/>
    </xf>
    <xf numFmtId="0" fontId="31" fillId="9" borderId="19" xfId="0" applyFont="1" applyFill="1" applyBorder="1" applyAlignment="1" applyProtection="1">
      <alignment horizontal="center" vertical="center" wrapText="1"/>
    </xf>
    <xf numFmtId="0" fontId="31" fillId="9" borderId="20" xfId="0" applyFont="1" applyFill="1" applyBorder="1" applyAlignment="1" applyProtection="1">
      <alignment horizontal="center" vertical="center" wrapText="1"/>
    </xf>
    <xf numFmtId="42" fontId="20" fillId="11" borderId="11" xfId="0" applyNumberFormat="1" applyFont="1" applyFill="1" applyBorder="1" applyAlignment="1" applyProtection="1">
      <alignment horizontal="center" vertical="top"/>
    </xf>
    <xf numFmtId="42" fontId="20" fillId="11" borderId="0" xfId="0" applyNumberFormat="1" applyFont="1" applyFill="1" applyBorder="1" applyAlignment="1" applyProtection="1">
      <alignment horizontal="center" vertical="top"/>
    </xf>
    <xf numFmtId="0" fontId="23" fillId="0" borderId="67" xfId="0" applyFont="1" applyBorder="1" applyAlignment="1">
      <alignment horizontal="left" vertical="center" wrapText="1"/>
    </xf>
    <xf numFmtId="0" fontId="23" fillId="0" borderId="64" xfId="0" applyFont="1" applyBorder="1" applyAlignment="1">
      <alignment horizontal="left" vertical="center" wrapText="1"/>
    </xf>
    <xf numFmtId="0" fontId="23" fillId="0" borderId="68" xfId="0" applyFont="1" applyBorder="1" applyAlignment="1">
      <alignment horizontal="left" vertical="center" wrapText="1"/>
    </xf>
    <xf numFmtId="0" fontId="23" fillId="0" borderId="65" xfId="0" applyFont="1" applyBorder="1" applyAlignment="1">
      <alignment horizontal="left" vertical="center" wrapText="1"/>
    </xf>
    <xf numFmtId="0" fontId="31" fillId="2" borderId="0" xfId="0" applyFont="1" applyFill="1" applyAlignment="1" applyProtection="1">
      <alignment horizontal="right" vertical="center"/>
    </xf>
    <xf numFmtId="0" fontId="39" fillId="9" borderId="10" xfId="0" applyFont="1" applyFill="1" applyBorder="1" applyAlignment="1">
      <alignment horizontal="center" vertical="center"/>
    </xf>
    <xf numFmtId="0" fontId="39" fillId="9" borderId="12" xfId="0" applyFont="1" applyFill="1" applyBorder="1" applyAlignment="1">
      <alignment horizontal="center" vertical="center"/>
    </xf>
    <xf numFmtId="42" fontId="20" fillId="11" borderId="12" xfId="0" applyNumberFormat="1" applyFont="1" applyFill="1" applyBorder="1" applyAlignment="1" applyProtection="1">
      <alignment horizontal="center" vertical="top"/>
    </xf>
    <xf numFmtId="42" fontId="20" fillId="11" borderId="29" xfId="0" applyNumberFormat="1" applyFont="1" applyFill="1" applyBorder="1" applyAlignment="1" applyProtection="1">
      <alignment horizontal="center" vertical="top"/>
    </xf>
    <xf numFmtId="0" fontId="20" fillId="15" borderId="22" xfId="42" applyFill="1" applyAlignment="1" applyProtection="1">
      <alignment horizontal="left" vertical="center"/>
    </xf>
    <xf numFmtId="0" fontId="44" fillId="14" borderId="10" xfId="0" applyFont="1" applyFill="1" applyBorder="1" applyAlignment="1" applyProtection="1">
      <alignment horizontal="left" vertical="center" wrapText="1"/>
    </xf>
    <xf numFmtId="0" fontId="44" fillId="14" borderId="11" xfId="0" applyFont="1" applyFill="1" applyBorder="1" applyAlignment="1" applyProtection="1">
      <alignment horizontal="left" vertical="center" wrapText="1"/>
    </xf>
    <xf numFmtId="0" fontId="44" fillId="14" borderId="12" xfId="0" applyFont="1" applyFill="1" applyBorder="1" applyAlignment="1" applyProtection="1">
      <alignment horizontal="left" vertical="center" wrapText="1"/>
    </xf>
    <xf numFmtId="0" fontId="44" fillId="14" borderId="13" xfId="0" applyFont="1" applyFill="1" applyBorder="1" applyAlignment="1" applyProtection="1">
      <alignment horizontal="left" vertical="center" wrapText="1"/>
    </xf>
    <xf numFmtId="0" fontId="44" fillId="14" borderId="0" xfId="0" applyFont="1" applyFill="1" applyBorder="1" applyAlignment="1" applyProtection="1">
      <alignment horizontal="left" vertical="center" wrapText="1"/>
    </xf>
    <xf numFmtId="0" fontId="44" fillId="14" borderId="29" xfId="0" applyFont="1" applyFill="1" applyBorder="1" applyAlignment="1" applyProtection="1">
      <alignment horizontal="left" vertical="center" wrapText="1"/>
    </xf>
    <xf numFmtId="0" fontId="44" fillId="14" borderId="14" xfId="0" applyFont="1" applyFill="1" applyBorder="1" applyAlignment="1" applyProtection="1">
      <alignment horizontal="left" vertical="center" wrapText="1"/>
    </xf>
    <xf numFmtId="0" fontId="44" fillId="14" borderId="15" xfId="0" applyFont="1" applyFill="1" applyBorder="1" applyAlignment="1" applyProtection="1">
      <alignment horizontal="left" vertical="center" wrapText="1"/>
    </xf>
    <xf numFmtId="0" fontId="44" fillId="14" borderId="16" xfId="0" applyFont="1" applyFill="1" applyBorder="1" applyAlignment="1" applyProtection="1">
      <alignment horizontal="left" vertical="center" wrapText="1"/>
    </xf>
  </cellXfs>
  <cellStyles count="53">
    <cellStyle name="Budget Authority" xfId="41"/>
    <cellStyle name="Comma" xfId="52" builtinId="3"/>
    <cellStyle name="Comma 2" xfId="8"/>
    <cellStyle name="Comma 3" xfId="38"/>
    <cellStyle name="Currency" xfId="28" builtinId="4"/>
    <cellStyle name="Currency 10" xfId="40"/>
    <cellStyle name="Currency 2" xfId="6"/>
    <cellStyle name="Currency 3" xfId="9"/>
    <cellStyle name="Currency 4" xfId="20"/>
    <cellStyle name="Currency 5" xfId="23"/>
    <cellStyle name="Currency 6" xfId="27"/>
    <cellStyle name="Currency 7" xfId="31"/>
    <cellStyle name="Currency 8" xfId="33"/>
    <cellStyle name="Currency 9" xfId="35"/>
    <cellStyle name="Line 1 Report Info Fill in" xfId="42"/>
    <cellStyle name="Line 2 Report Information Fill In" xfId="43"/>
    <cellStyle name="Normal" xfId="0" builtinId="0"/>
    <cellStyle name="Normal 10" xfId="25"/>
    <cellStyle name="Normal 10 2" xfId="51"/>
    <cellStyle name="Normal 11" xfId="26"/>
    <cellStyle name="Normal 12" xfId="29"/>
    <cellStyle name="Normal 13" xfId="30"/>
    <cellStyle name="Normal 14" xfId="32"/>
    <cellStyle name="Normal 15" xfId="36"/>
    <cellStyle name="Normal 16" xfId="37"/>
    <cellStyle name="Normal 17" xfId="39"/>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5" xfId="4"/>
    <cellStyle name="Normal 6" xfId="7"/>
    <cellStyle name="Normal 7" xfId="19"/>
    <cellStyle name="Normal 8" xfId="21"/>
    <cellStyle name="Normal 9" xfId="22"/>
    <cellStyle name="Percent" xfId="50" builtinId="5"/>
    <cellStyle name="Percent 2" xfId="16"/>
    <cellStyle name="Percent 2 2" xfId="17"/>
    <cellStyle name="Percent 2 3" xfId="18"/>
    <cellStyle name="Percent 3" xfId="34"/>
    <cellStyle name="Required Data Entry Even Bottom" xfId="49"/>
    <cellStyle name="Required Data Entry Even Rows" xfId="46"/>
    <cellStyle name="Required Data Entry Odd Bottom" xfId="48"/>
    <cellStyle name="Required Data Entry Odd Rows" xfId="47"/>
    <cellStyle name="Required Data Entry Top Row" xfId="45"/>
    <cellStyle name="Row 1 Odd Data Entry Required" xfId="44"/>
  </cellStyles>
  <dxfs count="191">
    <dxf>
      <fill>
        <patternFill>
          <bgColor theme="7" tint="0.59996337778862885"/>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79998168889431442"/>
        </patternFill>
      </fill>
    </dxf>
    <dxf>
      <fill>
        <patternFill>
          <bgColor theme="7" tint="0.59996337778862885"/>
        </patternFill>
      </fill>
    </dxf>
    <dxf>
      <fill>
        <patternFill>
          <bgColor theme="7" tint="0.79998168889431442"/>
        </patternFill>
      </fill>
    </dxf>
    <dxf>
      <fill>
        <patternFill>
          <bgColor theme="7" tint="0.59996337778862885"/>
        </patternFill>
      </fill>
    </dxf>
    <dxf>
      <font>
        <b/>
        <i val="0"/>
        <color theme="9"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79998168889431442"/>
        </patternFill>
      </fill>
    </dxf>
    <dxf>
      <font>
        <b/>
        <i val="0"/>
        <color theme="4" tint="-0.499984740745262"/>
      </font>
      <fill>
        <patternFill>
          <bgColor theme="4" tint="0.79998168889431442"/>
        </patternFill>
      </fill>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strike val="0"/>
        <color theme="4"/>
      </font>
      <border>
        <left style="thin">
          <color theme="4"/>
        </left>
        <right style="thin">
          <color theme="4"/>
        </right>
        <top style="thin">
          <color theme="4"/>
        </top>
        <bottom style="thin">
          <color theme="4"/>
        </bottom>
        <vertical/>
        <horizontal/>
      </border>
    </dxf>
    <dxf>
      <font>
        <b/>
        <i val="0"/>
        <strike val="0"/>
        <color theme="4"/>
      </font>
      <border>
        <left style="thin">
          <color theme="4"/>
        </left>
        <right style="thin">
          <color theme="4"/>
        </right>
        <top style="thin">
          <color theme="4"/>
        </top>
        <bottom style="thin">
          <color theme="4"/>
        </bottom>
        <vertical/>
        <horizontal/>
      </border>
    </dxf>
    <dxf>
      <font>
        <b/>
        <i val="0"/>
        <color theme="4"/>
      </font>
    </dxf>
    <dxf>
      <font>
        <b/>
        <i val="0"/>
        <color theme="4"/>
      </font>
    </dxf>
    <dxf>
      <font>
        <b/>
        <i val="0"/>
        <strike val="0"/>
        <color theme="4"/>
      </font>
      <border>
        <left style="thin">
          <color theme="4"/>
        </left>
        <right style="thin">
          <color theme="4"/>
        </right>
        <top style="thin">
          <color theme="4"/>
        </top>
        <bottom style="thin">
          <color theme="4"/>
        </bottom>
        <vertical/>
        <horizontal/>
      </border>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190"/>
      <tableStyleElement type="totalRow" dxfId="189"/>
      <tableStyleElement type="firstColumn" dxfId="188"/>
      <tableStyleElement type="lastColumn" dxfId="187"/>
      <tableStyleElement type="firstRowStripe" dxfId="186"/>
      <tableStyleElement type="secondRowStripe" dxfId="185"/>
    </tableStyle>
  </tableStyles>
  <colors>
    <mruColors>
      <color rgb="FFAC162C"/>
      <color rgb="FF6C9DCE"/>
      <color rgb="FFA3C2E1"/>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192741</xdr:colOff>
      <xdr:row>0</xdr:row>
      <xdr:rowOff>78442</xdr:rowOff>
    </xdr:from>
    <xdr:to>
      <xdr:col>13</xdr:col>
      <xdr:colOff>2445716</xdr:colOff>
      <xdr:row>2</xdr:row>
      <xdr:rowOff>220003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51841" y="78442"/>
          <a:ext cx="2256150" cy="75433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E2BB3E45-2A15-4219-BC78-9434810177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243541</xdr:colOff>
      <xdr:row>0</xdr:row>
      <xdr:rowOff>65742</xdr:rowOff>
    </xdr:from>
    <xdr:to>
      <xdr:col>13</xdr:col>
      <xdr:colOff>967395</xdr:colOff>
      <xdr:row>2</xdr:row>
      <xdr:rowOff>207303</xdr:rowOff>
    </xdr:to>
    <xdr:pic>
      <xdr:nvPicPr>
        <xdr:cNvPr id="2" name="Picture 1">
          <a:extLst>
            <a:ext uri="{FF2B5EF4-FFF2-40B4-BE49-F238E27FC236}">
              <a16:creationId xmlns:a16="http://schemas.microsoft.com/office/drawing/2014/main" id="{57EFB908-6554-41C3-AE39-CF8F5BF2FF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00541" y="65742"/>
          <a:ext cx="2266904" cy="7511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190500</xdr:colOff>
      <xdr:row>0</xdr:row>
      <xdr:rowOff>88900</xdr:rowOff>
    </xdr:from>
    <xdr:to>
      <xdr:col>13</xdr:col>
      <xdr:colOff>2446650</xdr:colOff>
      <xdr:row>2</xdr:row>
      <xdr:rowOff>233636</xdr:rowOff>
    </xdr:to>
    <xdr:pic>
      <xdr:nvPicPr>
        <xdr:cNvPr id="3" name="Picture 2">
          <a:extLst>
            <a:ext uri="{FF2B5EF4-FFF2-40B4-BE49-F238E27FC236}">
              <a16:creationId xmlns:a16="http://schemas.microsoft.com/office/drawing/2014/main" id="{FBE98868-BFCE-4F33-A432-7C241407FD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49600" y="88900"/>
          <a:ext cx="2256150" cy="7543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668D81A8-96A4-4CC8-AA2B-F3228B82C0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51841" y="91142"/>
          <a:ext cx="2259325" cy="7511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C914B6E9-7B17-4CD4-B62F-770404E9C4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21F74B1A-3C51-42FE-93B8-E91434EACA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428DF3A5-D63C-4E36-868E-046C643F62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41C86811-9D2E-48C1-948B-2D36D9F415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192741</xdr:colOff>
      <xdr:row>0</xdr:row>
      <xdr:rowOff>91142</xdr:rowOff>
    </xdr:from>
    <xdr:to>
      <xdr:col>13</xdr:col>
      <xdr:colOff>2452066</xdr:colOff>
      <xdr:row>2</xdr:row>
      <xdr:rowOff>232703</xdr:rowOff>
    </xdr:to>
    <xdr:pic>
      <xdr:nvPicPr>
        <xdr:cNvPr id="2" name="Picture 1">
          <a:extLst>
            <a:ext uri="{FF2B5EF4-FFF2-40B4-BE49-F238E27FC236}">
              <a16:creationId xmlns:a16="http://schemas.microsoft.com/office/drawing/2014/main" id="{B52F9AF4-2934-4F13-90D8-FC1D4477E7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62941" y="91142"/>
          <a:ext cx="2259325" cy="7511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167"/>
  <sheetViews>
    <sheetView tabSelected="1" zoomScale="90" zoomScaleNormal="90" zoomScaleSheetLayoutView="100" zoomScalePageLayoutView="75" workbookViewId="0">
      <selection activeCell="H4" sqref="H4"/>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36" t="s">
        <v>126</v>
      </c>
      <c r="B1" s="136"/>
      <c r="C1" s="136"/>
      <c r="D1" s="136"/>
      <c r="E1" s="136"/>
      <c r="F1" s="136"/>
    </row>
    <row r="2" spans="1:14" ht="24" customHeight="1" x14ac:dyDescent="0.2">
      <c r="A2" s="136" t="s">
        <v>226</v>
      </c>
      <c r="B2" s="136"/>
      <c r="C2" s="136"/>
      <c r="D2" s="136"/>
    </row>
    <row r="3" spans="1:14" ht="24" customHeight="1" x14ac:dyDescent="0.2"/>
    <row r="4" spans="1:14" ht="24" customHeight="1" x14ac:dyDescent="0.2">
      <c r="A4" s="8"/>
      <c r="C4" s="32" t="s">
        <v>0</v>
      </c>
      <c r="D4" s="206" t="s">
        <v>6</v>
      </c>
      <c r="E4" s="206"/>
      <c r="F4" s="9"/>
      <c r="G4" s="32" t="s">
        <v>215</v>
      </c>
      <c r="H4" s="94" t="s">
        <v>132</v>
      </c>
      <c r="I4"/>
      <c r="K4" s="32" t="s">
        <v>1</v>
      </c>
      <c r="L4" s="31">
        <v>1</v>
      </c>
      <c r="N4" s="208" t="s">
        <v>227</v>
      </c>
    </row>
    <row r="5" spans="1:14" ht="24" customHeight="1" thickBot="1" x14ac:dyDescent="0.25">
      <c r="A5" s="8"/>
      <c r="C5" s="32" t="s">
        <v>68</v>
      </c>
      <c r="D5" s="207" t="s">
        <v>233</v>
      </c>
      <c r="E5" s="207"/>
      <c r="F5" s="9"/>
      <c r="N5" s="209"/>
    </row>
    <row r="6" spans="1:14" ht="24" customHeight="1" x14ac:dyDescent="0.2">
      <c r="A6" s="8"/>
      <c r="C6" s="32" t="s">
        <v>69</v>
      </c>
      <c r="D6" s="206" t="s">
        <v>234</v>
      </c>
      <c r="E6" s="206"/>
      <c r="F6" s="9"/>
      <c r="J6" s="140" t="s">
        <v>161</v>
      </c>
      <c r="K6" s="141"/>
      <c r="L6" s="141"/>
      <c r="M6" s="141"/>
      <c r="N6" s="142"/>
    </row>
    <row r="7" spans="1:14" ht="24" customHeight="1" thickBot="1" x14ac:dyDescent="0.25">
      <c r="A7" s="8"/>
      <c r="J7" s="66" t="s">
        <v>157</v>
      </c>
      <c r="K7" s="143" t="s">
        <v>159</v>
      </c>
      <c r="L7" s="143"/>
      <c r="M7" s="143"/>
      <c r="N7" s="144"/>
    </row>
    <row r="8" spans="1:14" ht="24" customHeight="1" thickTop="1" thickBot="1" x14ac:dyDescent="0.25">
      <c r="A8" s="214" t="s">
        <v>136</v>
      </c>
      <c r="B8" s="214"/>
      <c r="C8" s="215"/>
      <c r="D8" s="29" t="str">
        <f ca="1">MID(CELL("filename",A1),FIND("]",CELL("filename",A1))+1,255)</f>
        <v>Circuit Criminal</v>
      </c>
      <c r="E8" s="10"/>
      <c r="F8" s="214" t="s">
        <v>137</v>
      </c>
      <c r="G8" s="214"/>
      <c r="H8" s="98">
        <f ca="1">INDEX(LookupData!AA3:AA12,MATCH(D8,LookupData!Z3:Z12,0))</f>
        <v>0.09</v>
      </c>
      <c r="J8" s="63" t="s">
        <v>158</v>
      </c>
      <c r="K8" s="145" t="s">
        <v>160</v>
      </c>
      <c r="L8" s="145"/>
      <c r="M8" s="145"/>
      <c r="N8" s="146"/>
    </row>
    <row r="9" spans="1:14" ht="19.5" customHeight="1" thickTop="1" thickBot="1" x14ac:dyDescent="0.25">
      <c r="A9" s="8"/>
      <c r="D9" s="8"/>
      <c r="E9" s="8"/>
    </row>
    <row r="10" spans="1:14" ht="25.5" customHeight="1" thickBot="1" x14ac:dyDescent="0.25">
      <c r="D10" s="1"/>
      <c r="E10" s="1"/>
      <c r="F10" s="1"/>
      <c r="G10" s="1"/>
      <c r="H10" s="1"/>
      <c r="I10" s="1"/>
      <c r="J10" s="1"/>
      <c r="K10" s="1"/>
      <c r="L10" s="1"/>
      <c r="M10" s="216" t="s">
        <v>141</v>
      </c>
      <c r="N10" s="217"/>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61" t="s">
        <v>142</v>
      </c>
      <c r="N11" s="62" t="s">
        <v>143</v>
      </c>
    </row>
    <row r="12" spans="1:14" ht="19.5" customHeight="1" thickBot="1" x14ac:dyDescent="0.25">
      <c r="A12" s="198" t="str">
        <f>LookupData!W3</f>
        <v>CGE CQ1-21</v>
      </c>
      <c r="B12" s="199"/>
      <c r="C12" s="179" t="str">
        <f>LookupData!X3</f>
        <v>RPE 12/31/19</v>
      </c>
      <c r="D12" s="180"/>
      <c r="E12" s="39" t="s">
        <v>145</v>
      </c>
      <c r="F12" s="40" t="s">
        <v>146</v>
      </c>
      <c r="G12" s="40" t="s">
        <v>147</v>
      </c>
      <c r="H12" s="40" t="s">
        <v>148</v>
      </c>
      <c r="I12" s="41" t="s">
        <v>149</v>
      </c>
      <c r="J12" s="218"/>
      <c r="K12" s="218"/>
      <c r="L12" s="218"/>
      <c r="M12" s="210"/>
      <c r="N12" s="212"/>
    </row>
    <row r="13" spans="1:14" ht="19.5" customHeight="1" x14ac:dyDescent="0.2">
      <c r="A13" s="200"/>
      <c r="B13" s="201"/>
      <c r="C13" s="181" t="s">
        <v>150</v>
      </c>
      <c r="D13" s="182"/>
      <c r="E13" s="52">
        <f ca="1">SUMIFS(LookupData!I$3:I$2682,LookupData!$A$3:$A$2682,$D$4,LookupData!$B$3:$B$2682,$D$8,LookupData!$C$3:$C$2682,$A12)</f>
        <v>32986.14</v>
      </c>
      <c r="F13" s="53">
        <f ca="1">SUMIFS(LookupData!J$3:J$2682,LookupData!$A$3:$A$2682,$D$4,LookupData!$B$3:$B$2682,$D$8,LookupData!$C$3:$C$2682,$A12)</f>
        <v>50676.160000000003</v>
      </c>
      <c r="G13" s="53">
        <f ca="1">SUMIFS(LookupData!K$3:K$2682,LookupData!$A$3:$A$2682,$D$4,LookupData!$B$3:$B$2682,$D$8,LookupData!$C$3:$C$2682,$A12)</f>
        <v>71817.08</v>
      </c>
      <c r="H13" s="53">
        <f ca="1">SUMIFS(LookupData!L$3:L$2682,LookupData!$A$3:$A$2682,$D$4,LookupData!$B$3:$B$2682,$D$8,LookupData!$C$3:$C$2682,$A12)</f>
        <v>88652.01</v>
      </c>
      <c r="I13" s="43">
        <v>112308.84</v>
      </c>
      <c r="J13" s="219"/>
      <c r="K13" s="219"/>
      <c r="L13" s="219"/>
      <c r="M13" s="211"/>
      <c r="N13" s="213"/>
    </row>
    <row r="14" spans="1:14" ht="19.5" customHeight="1" thickBot="1" x14ac:dyDescent="0.25">
      <c r="A14" s="200"/>
      <c r="B14" s="201"/>
      <c r="C14" s="181" t="s">
        <v>151</v>
      </c>
      <c r="D14" s="182"/>
      <c r="E14" s="54">
        <f ca="1">SUMIFS(LookupData!D$3:D$2682,LookupData!$A$3:$A$2682,$D$4,LookupData!$B$3:$B$2682,$D$8,LookupData!$C$3:$C$2682,$A12)</f>
        <v>898984.65</v>
      </c>
      <c r="F14" s="55">
        <f ca="1">SUMIFS(LookupData!E$3:E$2682,LookupData!$A$3:$A$2682,$D$4,LookupData!$B$3:$B$2682,$D$8,LookupData!$C$3:$C$2682,$A12)</f>
        <v>844196.15</v>
      </c>
      <c r="G14" s="55">
        <f ca="1">SUMIFS(LookupData!F$3:F$2682,LookupData!$A$3:$A$2682,$D$4,LookupData!$B$3:$B$2682,$D$8,LookupData!$C$3:$C$2682,$A12)</f>
        <v>843271.15</v>
      </c>
      <c r="H14" s="55">
        <f ca="1">SUMIFS(LookupData!G$3:G$2682,LookupData!$A$3:$A$2682,$D$4,LookupData!$B$3:$B$2682,$D$8,LookupData!$C$3:$C$2682,$A12)</f>
        <v>842889.65</v>
      </c>
      <c r="I14" s="44">
        <v>842612.15</v>
      </c>
      <c r="J14" s="219"/>
      <c r="K14" s="219"/>
      <c r="L14" s="219"/>
      <c r="M14" s="211"/>
      <c r="N14" s="213"/>
    </row>
    <row r="15" spans="1:14" ht="19.5" customHeight="1" thickTop="1" thickBot="1" x14ac:dyDescent="0.25">
      <c r="A15" s="202"/>
      <c r="B15" s="203"/>
      <c r="C15" s="181" t="s">
        <v>152</v>
      </c>
      <c r="D15" s="182"/>
      <c r="E15" s="71">
        <f ca="1">IFERROR(IF(E14=0,1,ROUND(E13/E14,4)),0)</f>
        <v>3.6700000000000003E-2</v>
      </c>
      <c r="F15" s="77">
        <f t="shared" ref="F15:I15" ca="1" si="0">IFERROR(IF(F14=0,1,ROUND(F13/F14,4)),0)</f>
        <v>0.06</v>
      </c>
      <c r="G15" s="77">
        <f t="shared" ca="1" si="0"/>
        <v>8.5199999999999998E-2</v>
      </c>
      <c r="H15" s="77">
        <f t="shared" ca="1" si="0"/>
        <v>0.1052</v>
      </c>
      <c r="I15" s="78">
        <f t="shared" si="0"/>
        <v>0.1333</v>
      </c>
      <c r="J15" s="219"/>
      <c r="K15" s="219"/>
      <c r="L15" s="219"/>
      <c r="M15" s="211"/>
      <c r="N15" s="213"/>
    </row>
    <row r="16" spans="1:14" ht="20.25" customHeight="1" thickBot="1" x14ac:dyDescent="0.25">
      <c r="A16" s="173" t="str">
        <f>LookupData!W4</f>
        <v>CGE CQ2-21</v>
      </c>
      <c r="B16" s="174"/>
      <c r="C16" s="179" t="str">
        <f>LookupData!X4</f>
        <v>RPE 03/31/20</v>
      </c>
      <c r="D16" s="180"/>
      <c r="E16" s="185"/>
      <c r="F16" s="39" t="s">
        <v>145</v>
      </c>
      <c r="G16" s="40" t="s">
        <v>146</v>
      </c>
      <c r="H16" s="40" t="s">
        <v>147</v>
      </c>
      <c r="I16" s="40" t="s">
        <v>148</v>
      </c>
      <c r="J16" s="41" t="s">
        <v>149</v>
      </c>
      <c r="K16" s="189"/>
      <c r="L16" s="191"/>
      <c r="M16" s="167"/>
      <c r="N16" s="168"/>
    </row>
    <row r="17" spans="1:16" ht="20.25" customHeight="1" x14ac:dyDescent="0.2">
      <c r="A17" s="175"/>
      <c r="B17" s="176"/>
      <c r="C17" s="181" t="s">
        <v>150</v>
      </c>
      <c r="D17" s="182"/>
      <c r="E17" s="186"/>
      <c r="F17" s="52">
        <f ca="1">SUMIFS(LookupData!I$3:I$2682,LookupData!$A$3:$A$2682,$D$4,LookupData!$B$3:$B$2682,$D$8,LookupData!$C$3:$C$2682,$A16)</f>
        <v>45023.79</v>
      </c>
      <c r="G17" s="53">
        <f ca="1">SUMIFS(LookupData!J$3:J$2682,LookupData!$A$3:$A$2682,$D$4,LookupData!$B$3:$B$2682,$D$8,LookupData!$C$3:$C$2682,$A16)</f>
        <v>58591.57</v>
      </c>
      <c r="H17" s="53">
        <f ca="1">SUMIFS(LookupData!K$3:K$2682,LookupData!$A$3:$A$2682,$D$4,LookupData!$B$3:$B$2682,$D$8,LookupData!$C$3:$C$2682,$A16)</f>
        <v>67571.100000000006</v>
      </c>
      <c r="I17" s="30">
        <v>80028.800000000003</v>
      </c>
      <c r="J17" s="43">
        <v>103706.12</v>
      </c>
      <c r="K17" s="192"/>
      <c r="L17" s="194"/>
      <c r="M17" s="167"/>
      <c r="N17" s="168"/>
    </row>
    <row r="18" spans="1:16" ht="20.25" customHeight="1" thickBot="1" x14ac:dyDescent="0.25">
      <c r="A18" s="175"/>
      <c r="B18" s="176"/>
      <c r="C18" s="181" t="s">
        <v>151</v>
      </c>
      <c r="D18" s="182"/>
      <c r="E18" s="186"/>
      <c r="F18" s="54">
        <f ca="1">SUMIFS(LookupData!D$3:D$2682,LookupData!$A$3:$A$2682,$D$4,LookupData!$B$3:$B$2682,$D$8,LookupData!$C$3:$C$2682,$A16)</f>
        <v>1620671.45</v>
      </c>
      <c r="G18" s="55">
        <f ca="1">SUMIFS(LookupData!E$3:E$2682,LookupData!$A$3:$A$2682,$D$4,LookupData!$B$3:$B$2682,$D$8,LookupData!$C$3:$C$2682,$A16)</f>
        <v>1617622.45</v>
      </c>
      <c r="H18" s="55">
        <f ca="1">SUMIFS(LookupData!F$3:F$2682,LookupData!$A$3:$A$2682,$D$4,LookupData!$B$3:$B$2682,$D$8,LookupData!$C$3:$C$2682,$A16)</f>
        <v>1617063.95</v>
      </c>
      <c r="I18" s="38">
        <v>1616665.45</v>
      </c>
      <c r="J18" s="44">
        <v>1615933.45</v>
      </c>
      <c r="K18" s="192"/>
      <c r="L18" s="194"/>
      <c r="M18" s="167"/>
      <c r="N18" s="168"/>
    </row>
    <row r="19" spans="1:16" ht="20.25" customHeight="1" thickTop="1" thickBot="1" x14ac:dyDescent="0.25">
      <c r="A19" s="177"/>
      <c r="B19" s="178"/>
      <c r="C19" s="183" t="s">
        <v>152</v>
      </c>
      <c r="D19" s="184"/>
      <c r="E19" s="187"/>
      <c r="F19" s="73">
        <f ca="1">IFERROR(IF(F18=0,1,ROUND(F17/F18,4)),0)</f>
        <v>2.7799999999999998E-2</v>
      </c>
      <c r="G19" s="75">
        <f t="shared" ref="G19:J19" ca="1" si="1">IFERROR(IF(G18=0,1,ROUND(G17/G18,4)),0)</f>
        <v>3.6200000000000003E-2</v>
      </c>
      <c r="H19" s="75">
        <f t="shared" ca="1" si="1"/>
        <v>4.1799999999999997E-2</v>
      </c>
      <c r="I19" s="75">
        <f t="shared" si="1"/>
        <v>4.9500000000000002E-2</v>
      </c>
      <c r="J19" s="76">
        <f t="shared" si="1"/>
        <v>6.4199999999999993E-2</v>
      </c>
      <c r="K19" s="195"/>
      <c r="L19" s="197"/>
      <c r="M19" s="167"/>
      <c r="N19" s="168"/>
    </row>
    <row r="20" spans="1:16" ht="20.25" customHeight="1" thickBot="1" x14ac:dyDescent="0.25">
      <c r="A20" s="198" t="str">
        <f>LookupData!W5</f>
        <v>CGE CQ3-21</v>
      </c>
      <c r="B20" s="199"/>
      <c r="C20" s="204" t="str">
        <f>LookupData!X5</f>
        <v>RPE 06/30/20</v>
      </c>
      <c r="D20" s="205"/>
      <c r="E20" s="163"/>
      <c r="F20" s="188"/>
      <c r="G20" s="50" t="s">
        <v>145</v>
      </c>
      <c r="H20" s="36" t="s">
        <v>146</v>
      </c>
      <c r="I20" s="36" t="s">
        <v>147</v>
      </c>
      <c r="J20" s="36" t="s">
        <v>148</v>
      </c>
      <c r="K20" s="51" t="s">
        <v>149</v>
      </c>
      <c r="L20" s="192"/>
      <c r="M20" s="167"/>
      <c r="N20" s="168"/>
    </row>
    <row r="21" spans="1:16" ht="20.25" customHeight="1" x14ac:dyDescent="0.2">
      <c r="A21" s="200"/>
      <c r="B21" s="201"/>
      <c r="C21" s="181" t="s">
        <v>150</v>
      </c>
      <c r="D21" s="182"/>
      <c r="E21" s="163"/>
      <c r="F21" s="188"/>
      <c r="G21" s="52">
        <f ca="1">SUMIFS(LookupData!I$3:I$2682,LookupData!$A$3:$A$2682,$D$4,LookupData!$B$3:$B$2682,$D$8,LookupData!$C$3:$C$2682,$A20)</f>
        <v>26037.34</v>
      </c>
      <c r="H21" s="53">
        <f ca="1">SUMIFS(LookupData!J$3:J$2682,LookupData!$A$3:$A$2682,$D$4,LookupData!$B$3:$B$2682,$D$8,LookupData!$C$3:$C$2682,$A20)</f>
        <v>29841.11</v>
      </c>
      <c r="I21" s="30">
        <v>33610.1</v>
      </c>
      <c r="J21" s="30">
        <v>37575.74</v>
      </c>
      <c r="K21" s="43"/>
      <c r="L21" s="192"/>
      <c r="M21" s="167"/>
      <c r="N21" s="168"/>
    </row>
    <row r="22" spans="1:16" ht="20.25" customHeight="1" thickBot="1" x14ac:dyDescent="0.25">
      <c r="A22" s="200"/>
      <c r="B22" s="201"/>
      <c r="C22" s="181" t="s">
        <v>151</v>
      </c>
      <c r="D22" s="182"/>
      <c r="E22" s="163"/>
      <c r="F22" s="188"/>
      <c r="G22" s="54">
        <f ca="1">SUMIFS(LookupData!D$3:D$2682,LookupData!$A$3:$A$2682,$D$4,LookupData!$B$3:$B$2682,$D$8,LookupData!$C$3:$C$2682,$A20)</f>
        <v>464169.55</v>
      </c>
      <c r="H22" s="55">
        <f ca="1">SUMIFS(LookupData!E$3:E$2682,LookupData!$A$3:$A$2682,$D$4,LookupData!$B$3:$B$2682,$D$8,LookupData!$C$3:$C$2682,$A20)</f>
        <v>460410.05</v>
      </c>
      <c r="I22" s="38">
        <v>459746.55</v>
      </c>
      <c r="J22" s="38">
        <v>459214.55</v>
      </c>
      <c r="K22" s="44"/>
      <c r="L22" s="192"/>
      <c r="M22" s="167"/>
      <c r="N22" s="168"/>
    </row>
    <row r="23" spans="1:16" ht="20.25" customHeight="1" thickTop="1" thickBot="1" x14ac:dyDescent="0.25">
      <c r="A23" s="202"/>
      <c r="B23" s="203"/>
      <c r="C23" s="181" t="s">
        <v>152</v>
      </c>
      <c r="D23" s="182"/>
      <c r="E23" s="163"/>
      <c r="F23" s="188"/>
      <c r="G23" s="71">
        <f t="shared" ref="G23:K23" ca="1" si="2">IFERROR(IF(G22=0,1,ROUND(G21/G22,4)),0)</f>
        <v>5.6099999999999997E-2</v>
      </c>
      <c r="H23" s="77">
        <f t="shared" ca="1" si="2"/>
        <v>6.4799999999999996E-2</v>
      </c>
      <c r="I23" s="77">
        <f t="shared" si="2"/>
        <v>7.3099999999999998E-2</v>
      </c>
      <c r="J23" s="77">
        <f t="shared" si="2"/>
        <v>8.1799999999999998E-2</v>
      </c>
      <c r="K23" s="78">
        <f t="shared" si="2"/>
        <v>1</v>
      </c>
      <c r="L23" s="192"/>
      <c r="M23" s="167"/>
      <c r="N23" s="168"/>
      <c r="O23"/>
      <c r="P23"/>
    </row>
    <row r="24" spans="1:16" ht="20.25" customHeight="1" thickBot="1" x14ac:dyDescent="0.25">
      <c r="A24" s="173" t="str">
        <f>LookupData!W6</f>
        <v>CGE CQ4-21</v>
      </c>
      <c r="B24" s="174"/>
      <c r="C24" s="179" t="str">
        <f>LookupData!X6</f>
        <v>RPE 09/30/20</v>
      </c>
      <c r="D24" s="180"/>
      <c r="E24" s="189"/>
      <c r="F24" s="190"/>
      <c r="G24" s="191"/>
      <c r="H24" s="39" t="s">
        <v>145</v>
      </c>
      <c r="I24" s="40" t="s">
        <v>146</v>
      </c>
      <c r="J24" s="40" t="s">
        <v>147</v>
      </c>
      <c r="K24" s="40" t="s">
        <v>148</v>
      </c>
      <c r="L24" s="41" t="s">
        <v>149</v>
      </c>
      <c r="M24" s="169"/>
      <c r="N24" s="171"/>
      <c r="O24"/>
      <c r="P24"/>
    </row>
    <row r="25" spans="1:16" ht="20.25" customHeight="1" x14ac:dyDescent="0.2">
      <c r="A25" s="175"/>
      <c r="B25" s="176"/>
      <c r="C25" s="181" t="s">
        <v>150</v>
      </c>
      <c r="D25" s="182"/>
      <c r="E25" s="192"/>
      <c r="F25" s="193"/>
      <c r="G25" s="194"/>
      <c r="H25" s="52">
        <f ca="1">SUMIFS(LookupData!I$3:I$2682,LookupData!$A$3:$A$2682,$D$4,LookupData!$B$3:$B$2682,$D$8,LookupData!$C$3:$C$2682,$A24)</f>
        <v>31843.22</v>
      </c>
      <c r="I25" s="30">
        <v>45339.7</v>
      </c>
      <c r="J25" s="30">
        <v>56953</v>
      </c>
      <c r="K25" s="30"/>
      <c r="L25" s="43"/>
      <c r="M25" s="169"/>
      <c r="N25" s="171"/>
      <c r="O25"/>
      <c r="P25"/>
    </row>
    <row r="26" spans="1:16" ht="20.25" customHeight="1" thickBot="1" x14ac:dyDescent="0.25">
      <c r="A26" s="175"/>
      <c r="B26" s="176"/>
      <c r="C26" s="181" t="s">
        <v>151</v>
      </c>
      <c r="D26" s="182"/>
      <c r="E26" s="192"/>
      <c r="F26" s="193"/>
      <c r="G26" s="194"/>
      <c r="H26" s="54">
        <f ca="1">SUMIFS(LookupData!D$3:D$2682,LookupData!$A$3:$A$2682,$D$4,LookupData!$B$3:$B$2682,$D$8,LookupData!$C$3:$C$2682,$A24)</f>
        <v>751321</v>
      </c>
      <c r="I26" s="38">
        <v>747921</v>
      </c>
      <c r="J26" s="38">
        <v>746866</v>
      </c>
      <c r="K26" s="38"/>
      <c r="L26" s="44"/>
      <c r="M26" s="169"/>
      <c r="N26" s="171"/>
      <c r="O26"/>
      <c r="P26"/>
    </row>
    <row r="27" spans="1:16" ht="20.25" customHeight="1" thickTop="1" thickBot="1" x14ac:dyDescent="0.25">
      <c r="A27" s="177"/>
      <c r="B27" s="178"/>
      <c r="C27" s="183" t="s">
        <v>152</v>
      </c>
      <c r="D27" s="184"/>
      <c r="E27" s="195"/>
      <c r="F27" s="196"/>
      <c r="G27" s="197"/>
      <c r="H27" s="73">
        <f t="shared" ref="H27:L27" ca="1" si="3">IFERROR(IF(H26=0,1,ROUND(H25/H26,4)),0)</f>
        <v>4.24E-2</v>
      </c>
      <c r="I27" s="75">
        <f t="shared" si="3"/>
        <v>6.0600000000000001E-2</v>
      </c>
      <c r="J27" s="75">
        <f t="shared" si="3"/>
        <v>7.6300000000000007E-2</v>
      </c>
      <c r="K27" s="75">
        <f t="shared" si="3"/>
        <v>1</v>
      </c>
      <c r="L27" s="76">
        <f t="shared" si="3"/>
        <v>1</v>
      </c>
      <c r="M27" s="170"/>
      <c r="N27" s="172"/>
      <c r="O27"/>
      <c r="P27"/>
    </row>
    <row r="28" spans="1:16" ht="20.25" customHeight="1" thickBot="1" x14ac:dyDescent="0.25">
      <c r="A28" s="198" t="str">
        <f>LookupData!W7</f>
        <v>CGE CQ1-22</v>
      </c>
      <c r="B28" s="199"/>
      <c r="C28" s="179" t="str">
        <f>LookupData!X7</f>
        <v>RPE 12/31/20</v>
      </c>
      <c r="D28" s="180"/>
      <c r="E28" s="189"/>
      <c r="F28" s="190"/>
      <c r="G28" s="190"/>
      <c r="H28" s="191"/>
      <c r="I28" s="39" t="s">
        <v>145</v>
      </c>
      <c r="J28" s="40" t="s">
        <v>146</v>
      </c>
      <c r="K28" s="40" t="s">
        <v>147</v>
      </c>
      <c r="L28" s="41" t="s">
        <v>148</v>
      </c>
      <c r="M28" s="161"/>
      <c r="N28" s="162"/>
      <c r="O28"/>
      <c r="P28"/>
    </row>
    <row r="29" spans="1:16" ht="20.25" customHeight="1" x14ac:dyDescent="0.2">
      <c r="A29" s="200"/>
      <c r="B29" s="201"/>
      <c r="C29" s="181" t="s">
        <v>150</v>
      </c>
      <c r="D29" s="182"/>
      <c r="E29" s="192"/>
      <c r="F29" s="193"/>
      <c r="G29" s="193"/>
      <c r="H29" s="194"/>
      <c r="I29" s="42">
        <v>37313.49</v>
      </c>
      <c r="J29" s="30">
        <v>59765.03</v>
      </c>
      <c r="K29" s="30"/>
      <c r="L29" s="43"/>
      <c r="M29" s="163"/>
      <c r="N29" s="164"/>
      <c r="O29"/>
      <c r="P29"/>
    </row>
    <row r="30" spans="1:16" ht="20.25" customHeight="1" thickBot="1" x14ac:dyDescent="0.25">
      <c r="A30" s="200"/>
      <c r="B30" s="201"/>
      <c r="C30" s="181" t="s">
        <v>151</v>
      </c>
      <c r="D30" s="182"/>
      <c r="E30" s="192"/>
      <c r="F30" s="193"/>
      <c r="G30" s="193"/>
      <c r="H30" s="194"/>
      <c r="I30" s="37">
        <v>1227583.95</v>
      </c>
      <c r="J30" s="38">
        <v>1223076.95</v>
      </c>
      <c r="K30" s="38"/>
      <c r="L30" s="44"/>
      <c r="M30" s="165"/>
      <c r="N30" s="166"/>
      <c r="O30"/>
      <c r="P30"/>
    </row>
    <row r="31" spans="1:16" ht="20.25" customHeight="1" thickTop="1" thickBot="1" x14ac:dyDescent="0.25">
      <c r="A31" s="202"/>
      <c r="B31" s="203"/>
      <c r="C31" s="183" t="s">
        <v>152</v>
      </c>
      <c r="D31" s="184"/>
      <c r="E31" s="195"/>
      <c r="F31" s="196"/>
      <c r="G31" s="196"/>
      <c r="H31" s="197"/>
      <c r="I31" s="73">
        <f t="shared" ref="I31:L31" si="4">IFERROR(IF(I30=0,1,ROUND(I29/I30,4)),0)</f>
        <v>3.04E-2</v>
      </c>
      <c r="J31" s="75">
        <f t="shared" si="4"/>
        <v>4.8899999999999999E-2</v>
      </c>
      <c r="K31" s="75">
        <f t="shared" si="4"/>
        <v>1</v>
      </c>
      <c r="L31" s="74">
        <f t="shared" si="4"/>
        <v>1</v>
      </c>
      <c r="M31" s="138" t="s">
        <v>153</v>
      </c>
      <c r="N31" s="139"/>
      <c r="O31"/>
      <c r="P31"/>
    </row>
    <row r="32" spans="1:16" ht="20.25" customHeight="1" thickBot="1" x14ac:dyDescent="0.25">
      <c r="A32" s="173" t="str">
        <f>LookupData!W8</f>
        <v>CGE CQ2-22</v>
      </c>
      <c r="B32" s="174"/>
      <c r="C32" s="179" t="str">
        <f>LookupData!X8</f>
        <v>RPE 03/31/21</v>
      </c>
      <c r="D32" s="180"/>
      <c r="E32" s="189"/>
      <c r="F32" s="190"/>
      <c r="G32" s="190"/>
      <c r="H32" s="190"/>
      <c r="I32" s="191"/>
      <c r="J32" s="39" t="s">
        <v>145</v>
      </c>
      <c r="K32" s="40" t="s">
        <v>146</v>
      </c>
      <c r="L32" s="40" t="s">
        <v>147</v>
      </c>
      <c r="M32" s="149" t="str">
        <f>LookupData!Y7</f>
        <v>10/01/20 - 12/31/20</v>
      </c>
      <c r="N32" s="150"/>
      <c r="O32"/>
      <c r="P32"/>
    </row>
    <row r="33" spans="1:16" ht="20.25" customHeight="1" x14ac:dyDescent="0.2">
      <c r="A33" s="175"/>
      <c r="B33" s="176"/>
      <c r="C33" s="181" t="s">
        <v>150</v>
      </c>
      <c r="D33" s="182"/>
      <c r="E33" s="192"/>
      <c r="F33" s="193"/>
      <c r="G33" s="193"/>
      <c r="H33" s="193"/>
      <c r="I33" s="194"/>
      <c r="J33" s="42">
        <v>53252.03</v>
      </c>
      <c r="K33" s="30"/>
      <c r="L33" s="48"/>
      <c r="M33" s="153"/>
      <c r="N33" s="154"/>
      <c r="O33"/>
      <c r="P33"/>
    </row>
    <row r="34" spans="1:16" ht="20.25" customHeight="1" thickBot="1" x14ac:dyDescent="0.25">
      <c r="A34" s="175"/>
      <c r="B34" s="176"/>
      <c r="C34" s="181" t="s">
        <v>151</v>
      </c>
      <c r="D34" s="182"/>
      <c r="E34" s="192"/>
      <c r="F34" s="193"/>
      <c r="G34" s="193"/>
      <c r="H34" s="193"/>
      <c r="I34" s="194"/>
      <c r="J34" s="37">
        <v>965871.9</v>
      </c>
      <c r="K34" s="38"/>
      <c r="L34" s="49"/>
      <c r="M34" s="155"/>
      <c r="N34" s="156"/>
      <c r="O34"/>
      <c r="P34"/>
    </row>
    <row r="35" spans="1:16" ht="20.25" customHeight="1" thickTop="1" thickBot="1" x14ac:dyDescent="0.25">
      <c r="A35" s="177"/>
      <c r="B35" s="178"/>
      <c r="C35" s="183" t="s">
        <v>152</v>
      </c>
      <c r="D35" s="184"/>
      <c r="E35" s="195"/>
      <c r="F35" s="196"/>
      <c r="G35" s="196"/>
      <c r="H35" s="196"/>
      <c r="I35" s="197"/>
      <c r="J35" s="73">
        <f t="shared" ref="J35:L35" si="5">IFERROR(IF(J34=0,1,ROUND(J33/J34,4)),0)</f>
        <v>5.5100000000000003E-2</v>
      </c>
      <c r="K35" s="75">
        <f t="shared" si="5"/>
        <v>1</v>
      </c>
      <c r="L35" s="74">
        <f t="shared" si="5"/>
        <v>1</v>
      </c>
      <c r="M35" s="151" t="str">
        <f>LookupData!Y8</f>
        <v>01/01/21 - 03/31/21</v>
      </c>
      <c r="N35" s="152"/>
      <c r="O35"/>
      <c r="P35"/>
    </row>
    <row r="36" spans="1:16" ht="20.25" customHeight="1" thickBot="1" x14ac:dyDescent="0.25">
      <c r="A36" s="198" t="str">
        <f>LookupData!W9</f>
        <v>CGE CQ3-22</v>
      </c>
      <c r="B36" s="199"/>
      <c r="C36" s="179" t="str">
        <f>LookupData!X9</f>
        <v>RPE 06/30/21</v>
      </c>
      <c r="D36" s="180"/>
      <c r="E36" s="189"/>
      <c r="F36" s="190"/>
      <c r="G36" s="190"/>
      <c r="H36" s="190"/>
      <c r="I36" s="190"/>
      <c r="J36" s="191"/>
      <c r="K36" s="39" t="s">
        <v>145</v>
      </c>
      <c r="L36" s="40" t="s">
        <v>146</v>
      </c>
      <c r="M36" s="157"/>
      <c r="N36" s="158"/>
      <c r="O36"/>
      <c r="P36"/>
    </row>
    <row r="37" spans="1:16" ht="20.25" customHeight="1" thickBot="1" x14ac:dyDescent="0.25">
      <c r="A37" s="200"/>
      <c r="B37" s="201"/>
      <c r="C37" s="181" t="s">
        <v>150</v>
      </c>
      <c r="D37" s="182"/>
      <c r="E37" s="192"/>
      <c r="F37" s="193"/>
      <c r="G37" s="193"/>
      <c r="H37" s="193"/>
      <c r="I37" s="193"/>
      <c r="J37" s="194"/>
      <c r="K37" s="42"/>
      <c r="L37" s="30"/>
      <c r="M37" s="159"/>
      <c r="N37" s="160"/>
      <c r="O37"/>
      <c r="P37"/>
    </row>
    <row r="38" spans="1:16" ht="20.25" customHeight="1" thickBot="1" x14ac:dyDescent="0.25">
      <c r="A38" s="200"/>
      <c r="B38" s="201"/>
      <c r="C38" s="181" t="s">
        <v>151</v>
      </c>
      <c r="D38" s="182"/>
      <c r="E38" s="192"/>
      <c r="F38" s="193"/>
      <c r="G38" s="193"/>
      <c r="H38" s="193"/>
      <c r="I38" s="193"/>
      <c r="J38" s="194"/>
      <c r="K38" s="37"/>
      <c r="L38" s="38"/>
      <c r="M38" s="151" t="str">
        <f>LookupData!Y9</f>
        <v>04/01/21 - 06/30/21</v>
      </c>
      <c r="N38" s="152"/>
      <c r="O38"/>
      <c r="P38"/>
    </row>
    <row r="39" spans="1:16" ht="20.25" customHeight="1" thickTop="1" thickBot="1" x14ac:dyDescent="0.25">
      <c r="A39" s="202"/>
      <c r="B39" s="203"/>
      <c r="C39" s="183" t="s">
        <v>152</v>
      </c>
      <c r="D39" s="184"/>
      <c r="E39" s="195"/>
      <c r="F39" s="196"/>
      <c r="G39" s="196"/>
      <c r="H39" s="196"/>
      <c r="I39" s="196"/>
      <c r="J39" s="197"/>
      <c r="K39" s="73">
        <f t="shared" ref="K39:L39" si="6">IFERROR(IF(K38=0,1,ROUND(K37/K38,4)),0)</f>
        <v>1</v>
      </c>
      <c r="L39" s="74">
        <f t="shared" si="6"/>
        <v>1</v>
      </c>
      <c r="M39" s="157"/>
      <c r="N39" s="158"/>
      <c r="O39"/>
      <c r="P39"/>
    </row>
    <row r="40" spans="1:16" ht="20.25" customHeight="1" thickBot="1" x14ac:dyDescent="0.25">
      <c r="A40" s="173" t="str">
        <f>LookupData!W10</f>
        <v>CGE CQ4-22</v>
      </c>
      <c r="B40" s="174"/>
      <c r="C40" s="179" t="str">
        <f>LookupData!X10</f>
        <v>RPE 09/30/21</v>
      </c>
      <c r="D40" s="180"/>
      <c r="E40" s="189"/>
      <c r="F40" s="190"/>
      <c r="G40" s="190"/>
      <c r="H40" s="190"/>
      <c r="I40" s="190"/>
      <c r="J40" s="190"/>
      <c r="K40" s="191"/>
      <c r="L40" s="39" t="s">
        <v>145</v>
      </c>
      <c r="M40" s="159"/>
      <c r="N40" s="160"/>
      <c r="O40"/>
      <c r="P40"/>
    </row>
    <row r="41" spans="1:16" ht="20.25" customHeight="1" x14ac:dyDescent="0.2">
      <c r="A41" s="175"/>
      <c r="B41" s="176"/>
      <c r="C41" s="181" t="s">
        <v>150</v>
      </c>
      <c r="D41" s="182"/>
      <c r="E41" s="192"/>
      <c r="F41" s="193"/>
      <c r="G41" s="193"/>
      <c r="H41" s="193"/>
      <c r="I41" s="193"/>
      <c r="J41" s="193"/>
      <c r="K41" s="194"/>
      <c r="L41" s="59"/>
      <c r="M41" s="151" t="str">
        <f>LookupData!Y10</f>
        <v>07/01/21 - 09/30/21</v>
      </c>
      <c r="N41" s="152"/>
      <c r="O41"/>
      <c r="P41"/>
    </row>
    <row r="42" spans="1:16" ht="20.25" customHeight="1" thickBot="1" x14ac:dyDescent="0.25">
      <c r="A42" s="175"/>
      <c r="B42" s="176"/>
      <c r="C42" s="181" t="s">
        <v>151</v>
      </c>
      <c r="D42" s="182"/>
      <c r="E42" s="192"/>
      <c r="F42" s="193"/>
      <c r="G42" s="193"/>
      <c r="H42" s="193"/>
      <c r="I42" s="193"/>
      <c r="J42" s="193"/>
      <c r="K42" s="194"/>
      <c r="L42" s="60"/>
      <c r="M42" s="157"/>
      <c r="N42" s="158"/>
      <c r="O42"/>
      <c r="P42"/>
    </row>
    <row r="43" spans="1:16" ht="20.25" customHeight="1" thickTop="1" thickBot="1" x14ac:dyDescent="0.25">
      <c r="A43" s="177"/>
      <c r="B43" s="178"/>
      <c r="C43" s="183" t="s">
        <v>152</v>
      </c>
      <c r="D43" s="184"/>
      <c r="E43" s="195"/>
      <c r="F43" s="196"/>
      <c r="G43" s="196"/>
      <c r="H43" s="196"/>
      <c r="I43" s="196"/>
      <c r="J43" s="196"/>
      <c r="K43" s="197"/>
      <c r="L43" s="72">
        <f>IFERROR(IF(L42=0,1,ROUND(L41/L42,4)),0)</f>
        <v>1</v>
      </c>
      <c r="M43" s="159"/>
      <c r="N43" s="160"/>
      <c r="O43"/>
      <c r="P43"/>
    </row>
    <row r="44" spans="1:16" ht="20.25" customHeight="1" x14ac:dyDescent="0.25">
      <c r="D44" s="11"/>
      <c r="E44" s="11"/>
      <c r="F44" s="11"/>
      <c r="G44" s="11"/>
      <c r="H44" s="11"/>
      <c r="I44" s="11"/>
      <c r="J44" s="11"/>
      <c r="K44" s="11"/>
      <c r="L44" s="11"/>
      <c r="M44" s="11"/>
      <c r="N44" s="12"/>
    </row>
    <row r="45" spans="1:16" ht="54" customHeight="1" x14ac:dyDescent="0.3">
      <c r="B45" s="137" t="s">
        <v>162</v>
      </c>
      <c r="C45" s="137"/>
      <c r="D45" s="147" t="s">
        <v>169</v>
      </c>
      <c r="E45" s="147"/>
      <c r="F45" s="147"/>
      <c r="G45" s="147"/>
      <c r="H45" s="148" t="s">
        <v>166</v>
      </c>
      <c r="I45" s="148"/>
      <c r="J45" s="148"/>
      <c r="K45" s="148"/>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mjE0drUacBIvyUTY9Y8ScRyk4AoNcgNw9juAEhGH9Cg/1vsPYp3PtDjbktj8uMonJS7Huz+UXZUaTBuiHx9aig==" saltValue="6Jo3SOPAwzEVL+EWk3v1/w==" spinCount="100000" sheet="1" formatColumns="0" formatRows="0"/>
  <mergeCells count="83">
    <mergeCell ref="D4:E4"/>
    <mergeCell ref="D5:E5"/>
    <mergeCell ref="A12:B15"/>
    <mergeCell ref="C12:D12"/>
    <mergeCell ref="N4:N5"/>
    <mergeCell ref="M12:M15"/>
    <mergeCell ref="N12:N15"/>
    <mergeCell ref="D6:E6"/>
    <mergeCell ref="A8:C8"/>
    <mergeCell ref="F8:G8"/>
    <mergeCell ref="M10:N10"/>
    <mergeCell ref="C13:D13"/>
    <mergeCell ref="C14:D14"/>
    <mergeCell ref="C15:D15"/>
    <mergeCell ref="J12:L15"/>
    <mergeCell ref="A20:B23"/>
    <mergeCell ref="C20:D20"/>
    <mergeCell ref="C21:D21"/>
    <mergeCell ref="C22:D22"/>
    <mergeCell ref="C23:D23"/>
    <mergeCell ref="A16:B19"/>
    <mergeCell ref="C16:D16"/>
    <mergeCell ref="C17:D17"/>
    <mergeCell ref="C18:D18"/>
    <mergeCell ref="C19:D19"/>
    <mergeCell ref="C25:D25"/>
    <mergeCell ref="C26:D26"/>
    <mergeCell ref="C27:D27"/>
    <mergeCell ref="A28:B31"/>
    <mergeCell ref="C28:D28"/>
    <mergeCell ref="C29:D29"/>
    <mergeCell ref="C30:D30"/>
    <mergeCell ref="C31:D31"/>
    <mergeCell ref="E36:J39"/>
    <mergeCell ref="E40:K43"/>
    <mergeCell ref="K16:L19"/>
    <mergeCell ref="L20:L23"/>
    <mergeCell ref="A32:B35"/>
    <mergeCell ref="C32:D32"/>
    <mergeCell ref="C33:D33"/>
    <mergeCell ref="C34:D34"/>
    <mergeCell ref="C35:D35"/>
    <mergeCell ref="A36:B39"/>
    <mergeCell ref="C36:D36"/>
    <mergeCell ref="C37:D37"/>
    <mergeCell ref="C38:D38"/>
    <mergeCell ref="C39:D39"/>
    <mergeCell ref="A24:B27"/>
    <mergeCell ref="C24:D24"/>
    <mergeCell ref="E16:E19"/>
    <mergeCell ref="E20:F23"/>
    <mergeCell ref="E24:G27"/>
    <mergeCell ref="E28:H31"/>
    <mergeCell ref="E32:I35"/>
    <mergeCell ref="A40:B43"/>
    <mergeCell ref="C40:D40"/>
    <mergeCell ref="C41:D41"/>
    <mergeCell ref="C42:D42"/>
    <mergeCell ref="C43:D43"/>
    <mergeCell ref="M39:N40"/>
    <mergeCell ref="M28:N30"/>
    <mergeCell ref="M16:M19"/>
    <mergeCell ref="N16:N19"/>
    <mergeCell ref="M20:M23"/>
    <mergeCell ref="N20:N23"/>
    <mergeCell ref="M24:M27"/>
    <mergeCell ref="N24:N27"/>
    <mergeCell ref="A1:F1"/>
    <mergeCell ref="A2:D2"/>
    <mergeCell ref="B45:C45"/>
    <mergeCell ref="M31:N31"/>
    <mergeCell ref="J6:N6"/>
    <mergeCell ref="K7:N7"/>
    <mergeCell ref="K8:N8"/>
    <mergeCell ref="D45:G45"/>
    <mergeCell ref="H45:K45"/>
    <mergeCell ref="M32:N32"/>
    <mergeCell ref="M35:N35"/>
    <mergeCell ref="M38:N38"/>
    <mergeCell ref="M41:N41"/>
    <mergeCell ref="M33:N34"/>
    <mergeCell ref="M36:N37"/>
    <mergeCell ref="M42:N43"/>
  </mergeCells>
  <conditionalFormatting sqref="F14:I14">
    <cfRule type="expression" dxfId="184" priority="24">
      <formula>F14&gt;(MIN($E14:E14))</formula>
    </cfRule>
  </conditionalFormatting>
  <conditionalFormatting sqref="F13:I13">
    <cfRule type="expression" dxfId="183" priority="23">
      <formula>F13&lt;(MAX($E13:E13))</formula>
    </cfRule>
  </conditionalFormatting>
  <conditionalFormatting sqref="G17:J17">
    <cfRule type="expression" dxfId="182" priority="22">
      <formula>G17&lt;(MAX($F17:F17))</formula>
    </cfRule>
  </conditionalFormatting>
  <conditionalFormatting sqref="G18:J18">
    <cfRule type="expression" dxfId="181" priority="21">
      <formula>G18&gt;(MIN($F18:F18))</formula>
    </cfRule>
  </conditionalFormatting>
  <conditionalFormatting sqref="H22:K22">
    <cfRule type="expression" dxfId="180" priority="19">
      <formula>H22&gt;(MIN($G22:G22))</formula>
    </cfRule>
  </conditionalFormatting>
  <conditionalFormatting sqref="H21:K21">
    <cfRule type="expression" dxfId="179" priority="18">
      <formula>H21&lt;(MAX($G21:G21))</formula>
    </cfRule>
  </conditionalFormatting>
  <conditionalFormatting sqref="I26:L26">
    <cfRule type="expression" dxfId="178" priority="17">
      <formula>I26&gt;(MIN($H26:H26))</formula>
    </cfRule>
  </conditionalFormatting>
  <conditionalFormatting sqref="I25:L25">
    <cfRule type="expression" dxfId="177" priority="16">
      <formula>I25&lt;(MAX($H25:H25))</formula>
    </cfRule>
  </conditionalFormatting>
  <conditionalFormatting sqref="J30:L30">
    <cfRule type="expression" dxfId="176" priority="15">
      <formula>J30&gt;(MIN($I30:I30))</formula>
    </cfRule>
  </conditionalFormatting>
  <conditionalFormatting sqref="J29:L29">
    <cfRule type="expression" dxfId="175" priority="14">
      <formula>J29&lt;(MAX($I29:I29))</formula>
    </cfRule>
  </conditionalFormatting>
  <conditionalFormatting sqref="K34:L34">
    <cfRule type="expression" dxfId="174" priority="13">
      <formula>K34&gt;(MIN($J34:J34))</formula>
    </cfRule>
  </conditionalFormatting>
  <conditionalFormatting sqref="K33:L33">
    <cfRule type="expression" dxfId="173" priority="12">
      <formula>K33&lt;(MAX($J33:J33))</formula>
    </cfRule>
  </conditionalFormatting>
  <conditionalFormatting sqref="L38">
    <cfRule type="expression" dxfId="172" priority="11">
      <formula>L38&gt;(MIN($G38:K38))</formula>
    </cfRule>
  </conditionalFormatting>
  <conditionalFormatting sqref="L37">
    <cfRule type="expression" dxfId="171" priority="10">
      <formula>L37&lt;(MAX($K37:K37))</formula>
    </cfRule>
  </conditionalFormatting>
  <conditionalFormatting sqref="I15 J19 K23 L27">
    <cfRule type="expression" dxfId="170" priority="9">
      <formula>I15&lt;$H$8</formula>
    </cfRule>
  </conditionalFormatting>
  <conditionalFormatting sqref="M16:N19">
    <cfRule type="expression" dxfId="169" priority="4">
      <formula>$J$19&lt;$H$8</formula>
    </cfRule>
  </conditionalFormatting>
  <conditionalFormatting sqref="M20:N23">
    <cfRule type="expression" dxfId="168" priority="3">
      <formula>$K$23&lt;$H$8</formula>
    </cfRule>
  </conditionalFormatting>
  <conditionalFormatting sqref="M24:N27">
    <cfRule type="expression" dxfId="167" priority="2">
      <formula>$L$27&lt;$H$8</formula>
    </cfRule>
  </conditionalFormatting>
  <conditionalFormatting sqref="M12:N15">
    <cfRule type="expression" dxfId="166"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LookupData!$T$3:$T$12</xm:f>
          </x14:formula1>
          <xm:sqref>L4</xm:sqref>
        </x14:dataValidation>
        <x14:dataValidation type="list" allowBlank="1" showInputMessage="1" showErrorMessage="1">
          <x14:formula1>
            <xm:f>LookupData!$S$3:$S$69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0" zoomScale="90" zoomScaleNormal="90" zoomScaleSheetLayoutView="75" zoomScalePageLayoutView="75" workbookViewId="0">
      <selection activeCell="J35" sqref="J35"/>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1" t="s">
        <v>126</v>
      </c>
    </row>
    <row r="2" spans="1:14" ht="24" customHeight="1" x14ac:dyDescent="0.2">
      <c r="A2" s="101" t="str">
        <f>'Circuit Criminal'!A2</f>
        <v>County Fiscal Year 2020-2021</v>
      </c>
    </row>
    <row r="3" spans="1:14" ht="24" customHeight="1" x14ac:dyDescent="0.2"/>
    <row r="4" spans="1:14" ht="24" customHeight="1" x14ac:dyDescent="0.2">
      <c r="A4" s="8"/>
      <c r="C4" s="32" t="s">
        <v>0</v>
      </c>
      <c r="D4" s="229" t="str">
        <f>'Circuit Criminal'!D4</f>
        <v>Brevard</v>
      </c>
      <c r="E4" s="229"/>
      <c r="F4" s="9"/>
      <c r="G4" s="32" t="s">
        <v>135</v>
      </c>
      <c r="H4" s="97" t="str">
        <f>'Circuit Criminal'!H4</f>
        <v>Qtr 2: Jan - Mar</v>
      </c>
      <c r="I4"/>
      <c r="K4" s="32" t="s">
        <v>1</v>
      </c>
      <c r="L4" s="79">
        <f>'Circuit Criminal'!L4</f>
        <v>1</v>
      </c>
      <c r="N4" s="208" t="str">
        <f>'Circuit Criminal'!N4</f>
        <v>CCOC Form Version 1
Created 10/01/2020</v>
      </c>
    </row>
    <row r="5" spans="1:14" ht="24" customHeight="1" thickBot="1" x14ac:dyDescent="0.25">
      <c r="A5" s="8"/>
      <c r="C5" s="32" t="s">
        <v>68</v>
      </c>
      <c r="D5" s="207" t="str">
        <f>'Circuit Criminal'!D5</f>
        <v>Andrea Butler</v>
      </c>
      <c r="E5" s="207"/>
      <c r="F5" s="9"/>
      <c r="N5" s="209"/>
    </row>
    <row r="6" spans="1:14" ht="24" customHeight="1" x14ac:dyDescent="0.2">
      <c r="A6" s="8"/>
      <c r="C6" s="32" t="s">
        <v>69</v>
      </c>
      <c r="D6" s="206" t="str">
        <f>'Circuit Criminal'!D6</f>
        <v>andrea.butler@brevardclerk.us</v>
      </c>
      <c r="E6" s="206"/>
      <c r="F6" s="9"/>
      <c r="J6" s="140" t="s">
        <v>161</v>
      </c>
      <c r="K6" s="141"/>
      <c r="L6" s="141"/>
      <c r="M6" s="141"/>
      <c r="N6" s="142"/>
    </row>
    <row r="7" spans="1:14" ht="24" customHeight="1" thickBot="1" x14ac:dyDescent="0.25">
      <c r="A7" s="8"/>
      <c r="J7" s="66" t="s">
        <v>157</v>
      </c>
      <c r="K7" s="143" t="s">
        <v>159</v>
      </c>
      <c r="L7" s="143"/>
      <c r="M7" s="143"/>
      <c r="N7" s="144"/>
    </row>
    <row r="8" spans="1:14" ht="24" customHeight="1" thickTop="1" thickBot="1" x14ac:dyDescent="0.25">
      <c r="A8" s="214" t="s">
        <v>136</v>
      </c>
      <c r="B8" s="214"/>
      <c r="C8" s="215"/>
      <c r="D8" s="29" t="str">
        <f ca="1">MID(CELL("filename",A1),FIND("]",CELL("filename",A1))+1,255)</f>
        <v>Civil Traffic</v>
      </c>
      <c r="E8" s="10"/>
      <c r="F8" s="214" t="s">
        <v>137</v>
      </c>
      <c r="G8" s="214"/>
      <c r="H8" s="98">
        <f ca="1">INDEX(LookupData!AA3:AA12,MATCH(D8,LookupData!Z3:Z12,0))</f>
        <v>0.9</v>
      </c>
      <c r="J8" s="63" t="s">
        <v>158</v>
      </c>
      <c r="K8" s="145" t="s">
        <v>160</v>
      </c>
      <c r="L8" s="145"/>
      <c r="M8" s="145"/>
      <c r="N8" s="146"/>
    </row>
    <row r="9" spans="1:14" ht="19.5" customHeight="1" thickTop="1" thickBot="1" x14ac:dyDescent="0.25">
      <c r="A9" s="8"/>
      <c r="D9" s="8"/>
      <c r="E9" s="8"/>
    </row>
    <row r="10" spans="1:14" ht="25.5" customHeight="1" thickBot="1" x14ac:dyDescent="0.25">
      <c r="D10" s="1"/>
      <c r="E10" s="1"/>
      <c r="F10" s="1"/>
      <c r="G10" s="1"/>
      <c r="H10" s="1"/>
      <c r="I10" s="1"/>
      <c r="J10" s="1"/>
      <c r="K10" s="1"/>
      <c r="L10" s="1"/>
      <c r="M10" s="216" t="s">
        <v>141</v>
      </c>
      <c r="N10" s="217"/>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61" t="s">
        <v>142</v>
      </c>
      <c r="N11" s="62" t="s">
        <v>143</v>
      </c>
    </row>
    <row r="12" spans="1:14" ht="19.5" customHeight="1" thickBot="1" x14ac:dyDescent="0.25">
      <c r="A12" s="198" t="str">
        <f>LookupData!W3</f>
        <v>CGE CQ1-21</v>
      </c>
      <c r="B12" s="199"/>
      <c r="C12" s="179" t="str">
        <f>LookupData!X3</f>
        <v>RPE 12/31/19</v>
      </c>
      <c r="D12" s="180"/>
      <c r="E12" s="39" t="s">
        <v>145</v>
      </c>
      <c r="F12" s="40" t="s">
        <v>146</v>
      </c>
      <c r="G12" s="40" t="s">
        <v>147</v>
      </c>
      <c r="H12" s="40" t="s">
        <v>148</v>
      </c>
      <c r="I12" s="41" t="s">
        <v>149</v>
      </c>
      <c r="J12" s="218"/>
      <c r="K12" s="218"/>
      <c r="L12" s="218"/>
      <c r="M12" s="210"/>
      <c r="N12" s="212"/>
    </row>
    <row r="13" spans="1:14" ht="19.5" customHeight="1" x14ac:dyDescent="0.2">
      <c r="A13" s="200"/>
      <c r="B13" s="201"/>
      <c r="C13" s="181" t="s">
        <v>150</v>
      </c>
      <c r="D13" s="182"/>
      <c r="E13" s="52">
        <f ca="1">SUMIFS(LookupData!I$3:I$2682,LookupData!$A$3:$A$2682,$D$4,LookupData!$B$3:$B$2682,$D$8,LookupData!$C$3:$C$2682,$A12)</f>
        <v>799423.83</v>
      </c>
      <c r="F13" s="53">
        <f ca="1">SUMIFS(LookupData!J$3:J$2682,LookupData!$A$3:$A$2682,$D$4,LookupData!$B$3:$B$2682,$D$8,LookupData!$C$3:$C$2682,$A12)</f>
        <v>1181159</v>
      </c>
      <c r="G13" s="53">
        <f ca="1">SUMIFS(LookupData!K$3:K$2682,LookupData!$A$3:$A$2682,$D$4,LookupData!$B$3:$B$2682,$D$8,LookupData!$C$3:$C$2682,$A12)</f>
        <v>1258207.05</v>
      </c>
      <c r="H13" s="53">
        <f ca="1">SUMIFS(LookupData!L$3:L$2682,LookupData!$A$3:$A$2682,$D$4,LookupData!$B$3:$B$2682,$D$8,LookupData!$C$3:$C$2682,$A12)</f>
        <v>1288595.8500000001</v>
      </c>
      <c r="I13" s="43">
        <v>1308481.99</v>
      </c>
      <c r="J13" s="219"/>
      <c r="K13" s="219"/>
      <c r="L13" s="219"/>
      <c r="M13" s="211"/>
      <c r="N13" s="213"/>
    </row>
    <row r="14" spans="1:14" ht="19.5" customHeight="1" thickBot="1" x14ac:dyDescent="0.25">
      <c r="A14" s="200"/>
      <c r="B14" s="201"/>
      <c r="C14" s="181" t="s">
        <v>151</v>
      </c>
      <c r="D14" s="182"/>
      <c r="E14" s="54">
        <f ca="1">SUMIFS(LookupData!D$3:D$2682,LookupData!$A$3:$A$2682,$D$4,LookupData!$B$3:$B$2682,$D$8,LookupData!$C$3:$C$2682,$A12)</f>
        <v>1547621.48</v>
      </c>
      <c r="F14" s="55">
        <f ca="1">SUMIFS(LookupData!E$3:E$2682,LookupData!$A$3:$A$2682,$D$4,LookupData!$B$3:$B$2682,$D$8,LookupData!$C$3:$C$2682,$A12)</f>
        <v>1474773.83</v>
      </c>
      <c r="G14" s="55">
        <f ca="1">SUMIFS(LookupData!F$3:F$2682,LookupData!$A$3:$A$2682,$D$4,LookupData!$B$3:$B$2682,$D$8,LookupData!$C$3:$C$2682,$A12)</f>
        <v>1473911.58</v>
      </c>
      <c r="H14" s="55">
        <f ca="1">SUMIFS(LookupData!G$3:G$2682,LookupData!$A$3:$A$2682,$D$4,LookupData!$B$3:$B$2682,$D$8,LookupData!$C$3:$C$2682,$A12)</f>
        <v>1462832.08</v>
      </c>
      <c r="I14" s="44">
        <v>1461029.58</v>
      </c>
      <c r="J14" s="219"/>
      <c r="K14" s="219"/>
      <c r="L14" s="219"/>
      <c r="M14" s="211"/>
      <c r="N14" s="213"/>
    </row>
    <row r="15" spans="1:14" ht="19.5" customHeight="1" thickTop="1" thickBot="1" x14ac:dyDescent="0.25">
      <c r="A15" s="202"/>
      <c r="B15" s="203"/>
      <c r="C15" s="181" t="s">
        <v>152</v>
      </c>
      <c r="D15" s="182"/>
      <c r="E15" s="71">
        <f ca="1">IFERROR(IF(E14=0,1,ROUND(E13/E14,4)),0)</f>
        <v>0.51649999999999996</v>
      </c>
      <c r="F15" s="77">
        <f t="shared" ref="F15:H15" ca="1" si="0">IFERROR(IF(F14=0,1,ROUND(F13/F14,4)),0)</f>
        <v>0.80089999999999995</v>
      </c>
      <c r="G15" s="77">
        <f t="shared" ca="1" si="0"/>
        <v>0.85370000000000001</v>
      </c>
      <c r="H15" s="77">
        <f t="shared" ca="1" si="0"/>
        <v>0.88090000000000002</v>
      </c>
      <c r="I15" s="78">
        <f t="shared" ref="I15" si="1">IFERROR(IF(I14=0,1,ROUND(I13/I14,4)),0)</f>
        <v>0.89559999999999995</v>
      </c>
      <c r="J15" s="219"/>
      <c r="K15" s="219"/>
      <c r="L15" s="219"/>
      <c r="M15" s="211"/>
      <c r="N15" s="213"/>
    </row>
    <row r="16" spans="1:14" ht="20.25" customHeight="1" thickBot="1" x14ac:dyDescent="0.25">
      <c r="A16" s="173" t="str">
        <f>LookupData!W4</f>
        <v>CGE CQ2-21</v>
      </c>
      <c r="B16" s="174"/>
      <c r="C16" s="179" t="str">
        <f>LookupData!X4</f>
        <v>RPE 03/31/20</v>
      </c>
      <c r="D16" s="180"/>
      <c r="E16" s="185"/>
      <c r="F16" s="39" t="s">
        <v>145</v>
      </c>
      <c r="G16" s="40" t="s">
        <v>146</v>
      </c>
      <c r="H16" s="40" t="s">
        <v>147</v>
      </c>
      <c r="I16" s="40" t="s">
        <v>148</v>
      </c>
      <c r="J16" s="41" t="s">
        <v>149</v>
      </c>
      <c r="K16" s="189"/>
      <c r="L16" s="191"/>
      <c r="M16" s="167"/>
      <c r="N16" s="168"/>
    </row>
    <row r="17" spans="1:16" ht="20.25" customHeight="1" x14ac:dyDescent="0.2">
      <c r="A17" s="175"/>
      <c r="B17" s="176"/>
      <c r="C17" s="181" t="s">
        <v>150</v>
      </c>
      <c r="D17" s="182"/>
      <c r="E17" s="186"/>
      <c r="F17" s="52">
        <f ca="1">SUMIFS(LookupData!I$3:I$2682,LookupData!$A$3:$A$2682,$D$4,LookupData!$B$3:$B$2682,$D$8,LookupData!$C$3:$C$2682,$A16)</f>
        <v>839065.4</v>
      </c>
      <c r="G17" s="53">
        <f ca="1">SUMIFS(LookupData!J$3:J$2682,LookupData!$A$3:$A$2682,$D$4,LookupData!$B$3:$B$2682,$D$8,LookupData!$C$3:$C$2682,$A16)</f>
        <v>1133690.8799999999</v>
      </c>
      <c r="H17" s="53">
        <f ca="1">SUMIFS(LookupData!K$3:K$2682,LookupData!$A$3:$A$2682,$D$4,LookupData!$B$3:$B$2682,$D$8,LookupData!$C$3:$C$2682,$A16)</f>
        <v>1215047.6399999999</v>
      </c>
      <c r="I17" s="30">
        <v>1267246.5</v>
      </c>
      <c r="J17" s="43">
        <v>1297622.6599999999</v>
      </c>
      <c r="K17" s="192"/>
      <c r="L17" s="194"/>
      <c r="M17" s="167"/>
      <c r="N17" s="168"/>
    </row>
    <row r="18" spans="1:16" ht="20.25" customHeight="1" thickBot="1" x14ac:dyDescent="0.25">
      <c r="A18" s="175"/>
      <c r="B18" s="176"/>
      <c r="C18" s="181" t="s">
        <v>151</v>
      </c>
      <c r="D18" s="182"/>
      <c r="E18" s="186"/>
      <c r="F18" s="54">
        <f ca="1">SUMIFS(LookupData!D$3:D$2682,LookupData!$A$3:$A$2682,$D$4,LookupData!$B$3:$B$2682,$D$8,LookupData!$C$3:$C$2682,$A16)</f>
        <v>1549893.32</v>
      </c>
      <c r="G18" s="55">
        <f ca="1">SUMIFS(LookupData!E$3:E$2682,LookupData!$A$3:$A$2682,$D$4,LookupData!$B$3:$B$2682,$D$8,LookupData!$C$3:$C$2682,$A16)</f>
        <v>1533074.32</v>
      </c>
      <c r="H18" s="55">
        <f ca="1">SUMIFS(LookupData!F$3:F$2682,LookupData!$A$3:$A$2682,$D$4,LookupData!$B$3:$B$2682,$D$8,LookupData!$C$3:$C$2682,$A16)</f>
        <v>1478369.72</v>
      </c>
      <c r="I18" s="38">
        <v>1465737.72</v>
      </c>
      <c r="J18" s="44">
        <v>1464432.52</v>
      </c>
      <c r="K18" s="192"/>
      <c r="L18" s="194"/>
      <c r="M18" s="167"/>
      <c r="N18" s="168"/>
    </row>
    <row r="19" spans="1:16" ht="20.25" customHeight="1" thickTop="1" thickBot="1" x14ac:dyDescent="0.25">
      <c r="A19" s="177"/>
      <c r="B19" s="178"/>
      <c r="C19" s="183" t="s">
        <v>152</v>
      </c>
      <c r="D19" s="184"/>
      <c r="E19" s="187"/>
      <c r="F19" s="73">
        <f ca="1">IFERROR(IF(F18=0,1,ROUND(F17/F18,4)),0)</f>
        <v>0.54139999999999999</v>
      </c>
      <c r="G19" s="75">
        <f t="shared" ref="G19:H19" ca="1" si="2">IFERROR(IF(G18=0,1,ROUND(G17/G18,4)),0)</f>
        <v>0.73950000000000005</v>
      </c>
      <c r="H19" s="75">
        <f t="shared" ca="1" si="2"/>
        <v>0.82189999999999996</v>
      </c>
      <c r="I19" s="75">
        <f t="shared" ref="I19:J19" si="3">IFERROR(IF(I18=0,1,ROUND(I17/I18,4)),0)</f>
        <v>0.86460000000000004</v>
      </c>
      <c r="J19" s="76">
        <f t="shared" si="3"/>
        <v>0.8861</v>
      </c>
      <c r="K19" s="195"/>
      <c r="L19" s="197"/>
      <c r="M19" s="167"/>
      <c r="N19" s="168"/>
    </row>
    <row r="20" spans="1:16" ht="20.25" customHeight="1" thickBot="1" x14ac:dyDescent="0.25">
      <c r="A20" s="198" t="str">
        <f>LookupData!W5</f>
        <v>CGE CQ3-21</v>
      </c>
      <c r="B20" s="199"/>
      <c r="C20" s="204" t="str">
        <f>LookupData!X5</f>
        <v>RPE 06/30/20</v>
      </c>
      <c r="D20" s="205"/>
      <c r="E20" s="163"/>
      <c r="F20" s="188"/>
      <c r="G20" s="50" t="s">
        <v>145</v>
      </c>
      <c r="H20" s="36" t="s">
        <v>146</v>
      </c>
      <c r="I20" s="36" t="s">
        <v>147</v>
      </c>
      <c r="J20" s="36" t="s">
        <v>148</v>
      </c>
      <c r="K20" s="51" t="s">
        <v>149</v>
      </c>
      <c r="L20" s="192"/>
      <c r="M20" s="167"/>
      <c r="N20" s="168"/>
    </row>
    <row r="21" spans="1:16" ht="20.25" customHeight="1" x14ac:dyDescent="0.2">
      <c r="A21" s="200"/>
      <c r="B21" s="201"/>
      <c r="C21" s="181" t="s">
        <v>150</v>
      </c>
      <c r="D21" s="182"/>
      <c r="E21" s="163"/>
      <c r="F21" s="188"/>
      <c r="G21" s="52">
        <f ca="1">SUMIFS(LookupData!I$3:I$2682,LookupData!$A$3:$A$2682,$D$4,LookupData!$B$3:$B$2682,$D$8,LookupData!$C$3:$C$2682,$A20)</f>
        <v>434719.36</v>
      </c>
      <c r="H21" s="53">
        <f ca="1">SUMIFS(LookupData!J$3:J$2682,LookupData!$A$3:$A$2682,$D$4,LookupData!$B$3:$B$2682,$D$8,LookupData!$C$3:$C$2682,$A20)</f>
        <v>693382.91</v>
      </c>
      <c r="I21" s="30">
        <v>759693.32</v>
      </c>
      <c r="J21" s="30">
        <v>802327.11</v>
      </c>
      <c r="K21" s="43"/>
      <c r="L21" s="192"/>
      <c r="M21" s="167"/>
      <c r="N21" s="168"/>
    </row>
    <row r="22" spans="1:16" ht="20.25" customHeight="1" thickBot="1" x14ac:dyDescent="0.25">
      <c r="A22" s="200"/>
      <c r="B22" s="201"/>
      <c r="C22" s="181" t="s">
        <v>151</v>
      </c>
      <c r="D22" s="182"/>
      <c r="E22" s="163"/>
      <c r="F22" s="188"/>
      <c r="G22" s="54">
        <f ca="1">SUMIFS(LookupData!D$3:D$2682,LookupData!$A$3:$A$2682,$D$4,LookupData!$B$3:$B$2682,$D$8,LookupData!$C$3:$C$2682,$A20)</f>
        <v>1030603.06</v>
      </c>
      <c r="H22" s="55">
        <f ca="1">SUMIFS(LookupData!E$3:E$2682,LookupData!$A$3:$A$2682,$D$4,LookupData!$B$3:$B$2682,$D$8,LookupData!$C$3:$C$2682,$A20)</f>
        <v>962994.86</v>
      </c>
      <c r="I22" s="38">
        <v>946808.06</v>
      </c>
      <c r="J22" s="38">
        <v>946430.06</v>
      </c>
      <c r="K22" s="44"/>
      <c r="L22" s="192"/>
      <c r="M22" s="167"/>
      <c r="N22" s="168"/>
    </row>
    <row r="23" spans="1:16" ht="20.25" customHeight="1" thickTop="1" thickBot="1" x14ac:dyDescent="0.25">
      <c r="A23" s="202"/>
      <c r="B23" s="203"/>
      <c r="C23" s="181" t="s">
        <v>152</v>
      </c>
      <c r="D23" s="182"/>
      <c r="E23" s="163"/>
      <c r="F23" s="188"/>
      <c r="G23" s="71">
        <f t="shared" ref="G23:H23" ca="1" si="4">IFERROR(IF(G22=0,1,ROUND(G21/G22,4)),0)</f>
        <v>0.42180000000000001</v>
      </c>
      <c r="H23" s="77">
        <f t="shared" ca="1" si="4"/>
        <v>0.72</v>
      </c>
      <c r="I23" s="77">
        <f t="shared" ref="I23:K23" si="5">IFERROR(IF(I22=0,1,ROUND(I21/I22,4)),0)</f>
        <v>0.8024</v>
      </c>
      <c r="J23" s="77">
        <f t="shared" si="5"/>
        <v>0.84770000000000001</v>
      </c>
      <c r="K23" s="78">
        <f t="shared" si="5"/>
        <v>1</v>
      </c>
      <c r="L23" s="192"/>
      <c r="M23" s="167"/>
      <c r="N23" s="168"/>
      <c r="O23"/>
      <c r="P23"/>
    </row>
    <row r="24" spans="1:16" ht="20.25" customHeight="1" thickBot="1" x14ac:dyDescent="0.25">
      <c r="A24" s="173" t="str">
        <f>LookupData!W6</f>
        <v>CGE CQ4-21</v>
      </c>
      <c r="B24" s="174"/>
      <c r="C24" s="179" t="str">
        <f>LookupData!X6</f>
        <v>RPE 09/30/20</v>
      </c>
      <c r="D24" s="180"/>
      <c r="E24" s="189"/>
      <c r="F24" s="190"/>
      <c r="G24" s="191"/>
      <c r="H24" s="39" t="s">
        <v>145</v>
      </c>
      <c r="I24" s="40" t="s">
        <v>146</v>
      </c>
      <c r="J24" s="40" t="s">
        <v>147</v>
      </c>
      <c r="K24" s="40" t="s">
        <v>148</v>
      </c>
      <c r="L24" s="41" t="s">
        <v>149</v>
      </c>
      <c r="M24" s="169"/>
      <c r="N24" s="171"/>
      <c r="O24"/>
      <c r="P24"/>
    </row>
    <row r="25" spans="1:16" ht="20.25" customHeight="1" x14ac:dyDescent="0.2">
      <c r="A25" s="175"/>
      <c r="B25" s="176"/>
      <c r="C25" s="181" t="s">
        <v>150</v>
      </c>
      <c r="D25" s="182"/>
      <c r="E25" s="192"/>
      <c r="F25" s="193"/>
      <c r="G25" s="194"/>
      <c r="H25" s="52">
        <f ca="1">SUMIFS(LookupData!I$3:I$2682,LookupData!$A$3:$A$2682,$D$4,LookupData!$B$3:$B$2682,$D$8,LookupData!$C$3:$C$2682,$A24)</f>
        <v>708833.39</v>
      </c>
      <c r="I25" s="30">
        <v>1090373.72</v>
      </c>
      <c r="J25" s="30">
        <v>1195850.94</v>
      </c>
      <c r="K25" s="30"/>
      <c r="L25" s="43"/>
      <c r="M25" s="169"/>
      <c r="N25" s="171"/>
      <c r="O25"/>
      <c r="P25"/>
    </row>
    <row r="26" spans="1:16" ht="20.25" customHeight="1" thickBot="1" x14ac:dyDescent="0.25">
      <c r="A26" s="175"/>
      <c r="B26" s="176"/>
      <c r="C26" s="181" t="s">
        <v>151</v>
      </c>
      <c r="D26" s="182"/>
      <c r="E26" s="192"/>
      <c r="F26" s="193"/>
      <c r="G26" s="194"/>
      <c r="H26" s="54">
        <f ca="1">SUMIFS(LookupData!D$3:D$2682,LookupData!$A$3:$A$2682,$D$4,LookupData!$B$3:$B$2682,$D$8,LookupData!$C$3:$C$2682,$A24)</f>
        <v>1484265.91</v>
      </c>
      <c r="I26" s="38">
        <v>1395268.71</v>
      </c>
      <c r="J26" s="38">
        <v>1386792.31</v>
      </c>
      <c r="K26" s="38"/>
      <c r="L26" s="44"/>
      <c r="M26" s="169"/>
      <c r="N26" s="171"/>
      <c r="O26"/>
      <c r="P26"/>
    </row>
    <row r="27" spans="1:16" ht="20.25" customHeight="1" thickTop="1" thickBot="1" x14ac:dyDescent="0.25">
      <c r="A27" s="177"/>
      <c r="B27" s="178"/>
      <c r="C27" s="183" t="s">
        <v>152</v>
      </c>
      <c r="D27" s="184"/>
      <c r="E27" s="195"/>
      <c r="F27" s="196"/>
      <c r="G27" s="197"/>
      <c r="H27" s="73">
        <f t="shared" ref="H27" ca="1" si="6">IFERROR(IF(H26=0,1,ROUND(H25/H26,4)),0)</f>
        <v>0.47760000000000002</v>
      </c>
      <c r="I27" s="75">
        <f t="shared" ref="I27:L27" si="7">IFERROR(IF(I26=0,1,ROUND(I25/I26,4)),0)</f>
        <v>0.78149999999999997</v>
      </c>
      <c r="J27" s="75">
        <f t="shared" si="7"/>
        <v>0.86229999999999996</v>
      </c>
      <c r="K27" s="75">
        <f t="shared" si="7"/>
        <v>1</v>
      </c>
      <c r="L27" s="76">
        <f t="shared" si="7"/>
        <v>1</v>
      </c>
      <c r="M27" s="170"/>
      <c r="N27" s="172"/>
      <c r="O27"/>
      <c r="P27"/>
    </row>
    <row r="28" spans="1:16" ht="20.25" customHeight="1" thickBot="1" x14ac:dyDescent="0.25">
      <c r="A28" s="198" t="str">
        <f>LookupData!W7</f>
        <v>CGE CQ1-22</v>
      </c>
      <c r="B28" s="199"/>
      <c r="C28" s="179" t="str">
        <f>LookupData!X7</f>
        <v>RPE 12/31/20</v>
      </c>
      <c r="D28" s="180"/>
      <c r="E28" s="189"/>
      <c r="F28" s="190"/>
      <c r="G28" s="190"/>
      <c r="H28" s="191"/>
      <c r="I28" s="39" t="s">
        <v>145</v>
      </c>
      <c r="J28" s="40" t="s">
        <v>146</v>
      </c>
      <c r="K28" s="40" t="s">
        <v>147</v>
      </c>
      <c r="L28" s="41" t="s">
        <v>148</v>
      </c>
      <c r="M28" s="161"/>
      <c r="N28" s="162"/>
      <c r="O28"/>
      <c r="P28"/>
    </row>
    <row r="29" spans="1:16" ht="20.25" customHeight="1" x14ac:dyDescent="0.2">
      <c r="A29" s="200"/>
      <c r="B29" s="201"/>
      <c r="C29" s="181" t="s">
        <v>150</v>
      </c>
      <c r="D29" s="182"/>
      <c r="E29" s="192"/>
      <c r="F29" s="193"/>
      <c r="G29" s="193"/>
      <c r="H29" s="194"/>
      <c r="I29" s="42">
        <v>788159.56</v>
      </c>
      <c r="J29" s="30">
        <v>1178685.1000000001</v>
      </c>
      <c r="K29" s="30"/>
      <c r="L29" s="43"/>
      <c r="M29" s="163"/>
      <c r="N29" s="164"/>
      <c r="O29"/>
      <c r="P29"/>
    </row>
    <row r="30" spans="1:16" ht="20.25" customHeight="1" thickBot="1" x14ac:dyDescent="0.25">
      <c r="A30" s="200"/>
      <c r="B30" s="201"/>
      <c r="C30" s="181" t="s">
        <v>151</v>
      </c>
      <c r="D30" s="182"/>
      <c r="E30" s="192"/>
      <c r="F30" s="193"/>
      <c r="G30" s="193"/>
      <c r="H30" s="194"/>
      <c r="I30" s="37">
        <v>1536269.2</v>
      </c>
      <c r="J30" s="38">
        <v>1453469.3</v>
      </c>
      <c r="K30" s="38"/>
      <c r="L30" s="44"/>
      <c r="M30" s="165"/>
      <c r="N30" s="166"/>
      <c r="O30"/>
      <c r="P30"/>
    </row>
    <row r="31" spans="1:16" ht="20.25" customHeight="1" thickTop="1" thickBot="1" x14ac:dyDescent="0.25">
      <c r="A31" s="202"/>
      <c r="B31" s="203"/>
      <c r="C31" s="183" t="s">
        <v>152</v>
      </c>
      <c r="D31" s="184"/>
      <c r="E31" s="195"/>
      <c r="F31" s="196"/>
      <c r="G31" s="196"/>
      <c r="H31" s="197"/>
      <c r="I31" s="73">
        <f t="shared" ref="I31:L31" si="8">IFERROR(IF(I30=0,1,ROUND(I29/I30,4)),0)</f>
        <v>0.51300000000000001</v>
      </c>
      <c r="J31" s="75">
        <f t="shared" si="8"/>
        <v>0.81089999999999995</v>
      </c>
      <c r="K31" s="75">
        <f t="shared" si="8"/>
        <v>1</v>
      </c>
      <c r="L31" s="74">
        <f t="shared" si="8"/>
        <v>1</v>
      </c>
      <c r="M31" s="138" t="s">
        <v>153</v>
      </c>
      <c r="N31" s="139"/>
      <c r="O31"/>
      <c r="P31"/>
    </row>
    <row r="32" spans="1:16" ht="20.25" customHeight="1" thickBot="1" x14ac:dyDescent="0.25">
      <c r="A32" s="173" t="str">
        <f>LookupData!W8</f>
        <v>CGE CQ2-22</v>
      </c>
      <c r="B32" s="174"/>
      <c r="C32" s="179" t="str">
        <f>LookupData!X8</f>
        <v>RPE 03/31/21</v>
      </c>
      <c r="D32" s="180"/>
      <c r="E32" s="189"/>
      <c r="F32" s="190"/>
      <c r="G32" s="190"/>
      <c r="H32" s="190"/>
      <c r="I32" s="191"/>
      <c r="J32" s="39" t="s">
        <v>145</v>
      </c>
      <c r="K32" s="40" t="s">
        <v>146</v>
      </c>
      <c r="L32" s="40" t="s">
        <v>147</v>
      </c>
      <c r="M32" s="149" t="str">
        <f>LookupData!Y7</f>
        <v>10/01/20 - 12/31/20</v>
      </c>
      <c r="N32" s="150"/>
      <c r="O32"/>
      <c r="P32"/>
    </row>
    <row r="33" spans="1:16" ht="20.25" customHeight="1" x14ac:dyDescent="0.2">
      <c r="A33" s="175"/>
      <c r="B33" s="176"/>
      <c r="C33" s="181" t="s">
        <v>150</v>
      </c>
      <c r="D33" s="182"/>
      <c r="E33" s="192"/>
      <c r="F33" s="193"/>
      <c r="G33" s="193"/>
      <c r="H33" s="193"/>
      <c r="I33" s="194"/>
      <c r="J33" s="42">
        <v>817904.87</v>
      </c>
      <c r="K33" s="30"/>
      <c r="L33" s="48"/>
      <c r="M33" s="153"/>
      <c r="N33" s="154"/>
      <c r="O33"/>
      <c r="P33"/>
    </row>
    <row r="34" spans="1:16" ht="20.25" customHeight="1" thickBot="1" x14ac:dyDescent="0.25">
      <c r="A34" s="175"/>
      <c r="B34" s="176"/>
      <c r="C34" s="181" t="s">
        <v>151</v>
      </c>
      <c r="D34" s="182"/>
      <c r="E34" s="192"/>
      <c r="F34" s="193"/>
      <c r="G34" s="193"/>
      <c r="H34" s="193"/>
      <c r="I34" s="194"/>
      <c r="J34" s="37">
        <v>1493391.32</v>
      </c>
      <c r="K34" s="38"/>
      <c r="L34" s="49"/>
      <c r="M34" s="155"/>
      <c r="N34" s="156"/>
      <c r="O34"/>
      <c r="P34"/>
    </row>
    <row r="35" spans="1:16" ht="20.25" customHeight="1" thickTop="1" thickBot="1" x14ac:dyDescent="0.25">
      <c r="A35" s="177"/>
      <c r="B35" s="178"/>
      <c r="C35" s="183" t="s">
        <v>152</v>
      </c>
      <c r="D35" s="184"/>
      <c r="E35" s="195"/>
      <c r="F35" s="196"/>
      <c r="G35" s="196"/>
      <c r="H35" s="196"/>
      <c r="I35" s="197"/>
      <c r="J35" s="73">
        <f t="shared" ref="J35:L35" si="9">IFERROR(IF(J34=0,1,ROUND(J33/J34,4)),0)</f>
        <v>0.54769999999999996</v>
      </c>
      <c r="K35" s="75">
        <f t="shared" si="9"/>
        <v>1</v>
      </c>
      <c r="L35" s="74">
        <f t="shared" si="9"/>
        <v>1</v>
      </c>
      <c r="M35" s="151" t="str">
        <f>LookupData!Y8</f>
        <v>01/01/21 - 03/31/21</v>
      </c>
      <c r="N35" s="152"/>
      <c r="O35"/>
      <c r="P35"/>
    </row>
    <row r="36" spans="1:16" ht="20.25" customHeight="1" thickBot="1" x14ac:dyDescent="0.25">
      <c r="A36" s="198" t="str">
        <f>LookupData!W9</f>
        <v>CGE CQ3-22</v>
      </c>
      <c r="B36" s="199"/>
      <c r="C36" s="179" t="str">
        <f>LookupData!X9</f>
        <v>RPE 06/30/21</v>
      </c>
      <c r="D36" s="180"/>
      <c r="E36" s="189"/>
      <c r="F36" s="190"/>
      <c r="G36" s="190"/>
      <c r="H36" s="190"/>
      <c r="I36" s="190"/>
      <c r="J36" s="191"/>
      <c r="K36" s="39" t="s">
        <v>145</v>
      </c>
      <c r="L36" s="40" t="s">
        <v>146</v>
      </c>
      <c r="M36" s="157"/>
      <c r="N36" s="158"/>
      <c r="O36"/>
      <c r="P36"/>
    </row>
    <row r="37" spans="1:16" ht="20.25" customHeight="1" thickBot="1" x14ac:dyDescent="0.25">
      <c r="A37" s="200"/>
      <c r="B37" s="201"/>
      <c r="C37" s="181" t="s">
        <v>150</v>
      </c>
      <c r="D37" s="182"/>
      <c r="E37" s="192"/>
      <c r="F37" s="193"/>
      <c r="G37" s="193"/>
      <c r="H37" s="193"/>
      <c r="I37" s="193"/>
      <c r="J37" s="194"/>
      <c r="K37" s="42"/>
      <c r="L37" s="30"/>
      <c r="M37" s="159"/>
      <c r="N37" s="160"/>
      <c r="O37"/>
      <c r="P37"/>
    </row>
    <row r="38" spans="1:16" ht="20.25" customHeight="1" thickBot="1" x14ac:dyDescent="0.25">
      <c r="A38" s="200"/>
      <c r="B38" s="201"/>
      <c r="C38" s="181" t="s">
        <v>151</v>
      </c>
      <c r="D38" s="182"/>
      <c r="E38" s="192"/>
      <c r="F38" s="193"/>
      <c r="G38" s="193"/>
      <c r="H38" s="193"/>
      <c r="I38" s="193"/>
      <c r="J38" s="194"/>
      <c r="K38" s="37"/>
      <c r="L38" s="38"/>
      <c r="M38" s="151" t="str">
        <f>LookupData!Y9</f>
        <v>04/01/21 - 06/30/21</v>
      </c>
      <c r="N38" s="152"/>
      <c r="O38"/>
      <c r="P38"/>
    </row>
    <row r="39" spans="1:16" ht="20.25" customHeight="1" thickTop="1" thickBot="1" x14ac:dyDescent="0.25">
      <c r="A39" s="202"/>
      <c r="B39" s="203"/>
      <c r="C39" s="183" t="s">
        <v>152</v>
      </c>
      <c r="D39" s="184"/>
      <c r="E39" s="195"/>
      <c r="F39" s="196"/>
      <c r="G39" s="196"/>
      <c r="H39" s="196"/>
      <c r="I39" s="196"/>
      <c r="J39" s="197"/>
      <c r="K39" s="73">
        <f t="shared" ref="K39:L39" si="10">IFERROR(IF(K38=0,1,ROUND(K37/K38,4)),0)</f>
        <v>1</v>
      </c>
      <c r="L39" s="74">
        <f t="shared" si="10"/>
        <v>1</v>
      </c>
      <c r="M39" s="157"/>
      <c r="N39" s="158"/>
      <c r="O39"/>
      <c r="P39"/>
    </row>
    <row r="40" spans="1:16" ht="20.25" customHeight="1" thickBot="1" x14ac:dyDescent="0.25">
      <c r="A40" s="173" t="str">
        <f>LookupData!W10</f>
        <v>CGE CQ4-22</v>
      </c>
      <c r="B40" s="174"/>
      <c r="C40" s="179" t="str">
        <f>LookupData!X10</f>
        <v>RPE 09/30/21</v>
      </c>
      <c r="D40" s="180"/>
      <c r="E40" s="189"/>
      <c r="F40" s="190"/>
      <c r="G40" s="190"/>
      <c r="H40" s="190"/>
      <c r="I40" s="190"/>
      <c r="J40" s="190"/>
      <c r="K40" s="191"/>
      <c r="L40" s="39" t="s">
        <v>145</v>
      </c>
      <c r="M40" s="159"/>
      <c r="N40" s="160"/>
      <c r="O40"/>
      <c r="P40"/>
    </row>
    <row r="41" spans="1:16" ht="20.25" customHeight="1" x14ac:dyDescent="0.2">
      <c r="A41" s="175"/>
      <c r="B41" s="176"/>
      <c r="C41" s="181" t="s">
        <v>150</v>
      </c>
      <c r="D41" s="182"/>
      <c r="E41" s="192"/>
      <c r="F41" s="193"/>
      <c r="G41" s="193"/>
      <c r="H41" s="193"/>
      <c r="I41" s="193"/>
      <c r="J41" s="193"/>
      <c r="K41" s="194"/>
      <c r="L41" s="59"/>
      <c r="M41" s="151" t="str">
        <f>LookupData!Y10</f>
        <v>07/01/21 - 09/30/21</v>
      </c>
      <c r="N41" s="152"/>
      <c r="O41"/>
      <c r="P41"/>
    </row>
    <row r="42" spans="1:16" ht="20.25" customHeight="1" thickBot="1" x14ac:dyDescent="0.25">
      <c r="A42" s="175"/>
      <c r="B42" s="176"/>
      <c r="C42" s="181" t="s">
        <v>151</v>
      </c>
      <c r="D42" s="182"/>
      <c r="E42" s="192"/>
      <c r="F42" s="193"/>
      <c r="G42" s="193"/>
      <c r="H42" s="193"/>
      <c r="I42" s="193"/>
      <c r="J42" s="193"/>
      <c r="K42" s="194"/>
      <c r="L42" s="60"/>
      <c r="M42" s="157"/>
      <c r="N42" s="158"/>
      <c r="O42"/>
      <c r="P42"/>
    </row>
    <row r="43" spans="1:16" ht="20.25" customHeight="1" thickTop="1" thickBot="1" x14ac:dyDescent="0.25">
      <c r="A43" s="177"/>
      <c r="B43" s="178"/>
      <c r="C43" s="183" t="s">
        <v>152</v>
      </c>
      <c r="D43" s="184"/>
      <c r="E43" s="195"/>
      <c r="F43" s="196"/>
      <c r="G43" s="196"/>
      <c r="H43" s="196"/>
      <c r="I43" s="196"/>
      <c r="J43" s="196"/>
      <c r="K43" s="197"/>
      <c r="L43" s="72">
        <f>IFERROR(IF(L42=0,1,ROUND(L41/L42,4)),0)</f>
        <v>1</v>
      </c>
      <c r="M43" s="159"/>
      <c r="N43" s="160"/>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48" t="s">
        <v>169</v>
      </c>
      <c r="E45" s="148"/>
      <c r="F45" s="148"/>
      <c r="G45" s="148"/>
      <c r="H45" s="148" t="s">
        <v>166</v>
      </c>
      <c r="I45" s="148"/>
      <c r="J45" s="148"/>
      <c r="K45" s="148"/>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mpQrw59NNvy5DleSzWhF++OEuAbvqMkUtakjT1Rlk8uIW6pFV0sU35TIeK1kzccEzd8lO+1SqVjVHTkX8PbKbw==" saltValue="FkDjCXXQ2mQM3D93NPCkMg==" spinCount="100000" sheet="1" formatColumns="0" formatRows="0"/>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M16:N19">
    <cfRule type="expression" dxfId="18" priority="19">
      <formula>$J$19&lt;$H$8</formula>
    </cfRule>
  </conditionalFormatting>
  <conditionalFormatting sqref="M20:N23">
    <cfRule type="expression" dxfId="17" priority="18">
      <formula>$K$23&lt;$H$8</formula>
    </cfRule>
  </conditionalFormatting>
  <conditionalFormatting sqref="M24:N27">
    <cfRule type="expression" dxfId="16" priority="17">
      <formula>$L$27&lt;$H$8</formula>
    </cfRule>
  </conditionalFormatting>
  <conditionalFormatting sqref="F14:I14">
    <cfRule type="expression" dxfId="15" priority="16">
      <formula>F14&gt;(MIN($E14:E14))</formula>
    </cfRule>
  </conditionalFormatting>
  <conditionalFormatting sqref="F13:I13">
    <cfRule type="expression" dxfId="14" priority="15">
      <formula>F13&lt;(MAX($E13:E13))</formula>
    </cfRule>
  </conditionalFormatting>
  <conditionalFormatting sqref="G17:J17">
    <cfRule type="expression" dxfId="13" priority="14">
      <formula>G17&lt;(MAX($F17:F17))</formula>
    </cfRule>
  </conditionalFormatting>
  <conditionalFormatting sqref="G18:J18">
    <cfRule type="expression" dxfId="12" priority="13">
      <formula>G18&gt;(MIN($F18:F18))</formula>
    </cfRule>
  </conditionalFormatting>
  <conditionalFormatting sqref="H22:K22">
    <cfRule type="expression" dxfId="11" priority="12">
      <formula>H22&gt;(MIN($G22:G22))</formula>
    </cfRule>
  </conditionalFormatting>
  <conditionalFormatting sqref="H21:K21">
    <cfRule type="expression" dxfId="10" priority="11">
      <formula>H21&lt;(MAX($G21:G21))</formula>
    </cfRule>
  </conditionalFormatting>
  <conditionalFormatting sqref="I26:L26">
    <cfRule type="expression" dxfId="9" priority="10">
      <formula>I26&gt;(MIN($H26:H26))</formula>
    </cfRule>
  </conditionalFormatting>
  <conditionalFormatting sqref="I25:L25">
    <cfRule type="expression" dxfId="8" priority="9">
      <formula>I25&lt;(MAX($H25:H25))</formula>
    </cfRule>
  </conditionalFormatting>
  <conditionalFormatting sqref="J30:L30">
    <cfRule type="expression" dxfId="7" priority="8">
      <formula>J30&gt;(MIN($I30:I30))</formula>
    </cfRule>
  </conditionalFormatting>
  <conditionalFormatting sqref="J29:L29">
    <cfRule type="expression" dxfId="6" priority="7">
      <formula>J29&lt;(MAX($I29:I29))</formula>
    </cfRule>
  </conditionalFormatting>
  <conditionalFormatting sqref="K34:L34">
    <cfRule type="expression" dxfId="5" priority="6">
      <formula>K34&gt;(MIN($J34:J34))</formula>
    </cfRule>
  </conditionalFormatting>
  <conditionalFormatting sqref="K33:L33">
    <cfRule type="expression" dxfId="4" priority="5">
      <formula>K33&lt;(MAX($J33:J33))</formula>
    </cfRule>
  </conditionalFormatting>
  <conditionalFormatting sqref="L38">
    <cfRule type="expression" dxfId="3" priority="4">
      <formula>L38&gt;(MIN($G38:K38))</formula>
    </cfRule>
  </conditionalFormatting>
  <conditionalFormatting sqref="L37">
    <cfRule type="expression" dxfId="2" priority="3">
      <formula>L37&lt;(MAX($K37:K37))</formula>
    </cfRule>
  </conditionalFormatting>
  <conditionalFormatting sqref="I15 J19 K23 L27">
    <cfRule type="expression" dxfId="1" priority="2">
      <formula>I15&lt;$H$8</formula>
    </cfRule>
  </conditionalFormatting>
  <conditionalFormatting sqref="M12:N15">
    <cfRule type="expression" dxfId="0"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XFD2682"/>
  <sheetViews>
    <sheetView workbookViewId="0">
      <pane ySplit="2" topLeftCell="A3" activePane="bottomLeft" state="frozen"/>
      <selection pane="bottomLeft"/>
    </sheetView>
  </sheetViews>
  <sheetFormatPr defaultColWidth="8.85546875" defaultRowHeight="12.75" x14ac:dyDescent="0.2"/>
  <cols>
    <col min="1" max="1" width="15.7109375" customWidth="1"/>
    <col min="2" max="2" width="20.7109375" customWidth="1"/>
    <col min="3" max="3" width="15.7109375" customWidth="1"/>
    <col min="4" max="7" width="15.7109375" style="102" customWidth="1"/>
    <col min="8" max="8" width="20.7109375" style="102" customWidth="1"/>
    <col min="9" max="12" width="15.7109375" style="102" customWidth="1"/>
    <col min="13" max="13" width="20.7109375" style="102" customWidth="1"/>
    <col min="15" max="15" width="6.42578125" customWidth="1"/>
    <col min="16" max="16" width="5.7109375" customWidth="1"/>
    <col min="17" max="19" width="11" bestFit="1" customWidth="1"/>
    <col min="20" max="20" width="7.42578125" bestFit="1" customWidth="1"/>
    <col min="21" max="21" width="12.85546875" bestFit="1" customWidth="1"/>
    <col min="23" max="23" width="10.85546875" bestFit="1" customWidth="1"/>
    <col min="24" max="24" width="13.28515625" bestFit="1" customWidth="1"/>
    <col min="25" max="25" width="17.28515625" bestFit="1" customWidth="1"/>
    <col min="26" max="26" width="18.42578125" bestFit="1" customWidth="1"/>
    <col min="27" max="27" width="8.140625" bestFit="1" customWidth="1"/>
    <col min="28" max="28" width="7.85546875" bestFit="1" customWidth="1"/>
  </cols>
  <sheetData>
    <row r="2" spans="1:28" ht="40.5" x14ac:dyDescent="0.25">
      <c r="A2" s="121" t="s">
        <v>170</v>
      </c>
      <c r="B2" s="121" t="s">
        <v>171</v>
      </c>
      <c r="C2" s="121" t="s">
        <v>172</v>
      </c>
      <c r="D2" s="122" t="s">
        <v>173</v>
      </c>
      <c r="E2" s="121" t="s">
        <v>174</v>
      </c>
      <c r="F2" s="121" t="s">
        <v>175</v>
      </c>
      <c r="G2" s="121" t="s">
        <v>176</v>
      </c>
      <c r="H2" s="123" t="s">
        <v>177</v>
      </c>
      <c r="I2" s="122" t="s">
        <v>178</v>
      </c>
      <c r="J2" s="121" t="s">
        <v>179</v>
      </c>
      <c r="K2" s="121" t="s">
        <v>180</v>
      </c>
      <c r="L2" s="121" t="s">
        <v>181</v>
      </c>
      <c r="M2" s="123" t="s">
        <v>182</v>
      </c>
      <c r="O2" s="64" t="s">
        <v>71</v>
      </c>
      <c r="P2" s="64" t="s">
        <v>72</v>
      </c>
      <c r="Q2" s="64" t="s">
        <v>73</v>
      </c>
      <c r="R2" s="64" t="s">
        <v>74</v>
      </c>
      <c r="S2" s="64" t="s">
        <v>75</v>
      </c>
      <c r="T2" s="5" t="s">
        <v>79</v>
      </c>
      <c r="U2" s="5" t="s">
        <v>130</v>
      </c>
      <c r="V2" s="5" t="s">
        <v>127</v>
      </c>
      <c r="W2" s="5" t="s">
        <v>128</v>
      </c>
      <c r="X2" s="5" t="s">
        <v>129</v>
      </c>
      <c r="Y2" s="5" t="s">
        <v>144</v>
      </c>
      <c r="Z2" s="5" t="s">
        <v>138</v>
      </c>
      <c r="AA2" s="5" t="s">
        <v>139</v>
      </c>
      <c r="AB2" s="5" t="s">
        <v>154</v>
      </c>
    </row>
    <row r="3" spans="1:28" ht="13.5" x14ac:dyDescent="0.25">
      <c r="A3" t="s">
        <v>2</v>
      </c>
      <c r="B3" t="s">
        <v>104</v>
      </c>
      <c r="C3" t="s">
        <v>222</v>
      </c>
      <c r="D3" s="110">
        <v>550170.5</v>
      </c>
      <c r="E3" s="111">
        <v>546949.5</v>
      </c>
      <c r="F3" s="111">
        <v>542730.38</v>
      </c>
      <c r="G3" s="111">
        <v>541610.52</v>
      </c>
      <c r="H3" s="112"/>
      <c r="I3" s="110">
        <v>62730.8</v>
      </c>
      <c r="J3" s="111">
        <v>72060.69</v>
      </c>
      <c r="K3" s="111">
        <v>141514.47</v>
      </c>
      <c r="L3" s="111">
        <v>148479.60999999999</v>
      </c>
      <c r="M3" s="112"/>
      <c r="O3" s="65">
        <v>1</v>
      </c>
      <c r="P3" s="65">
        <v>1</v>
      </c>
      <c r="Q3" s="65" t="s">
        <v>2</v>
      </c>
      <c r="R3" s="65" t="s">
        <v>2</v>
      </c>
      <c r="S3" s="65" t="s">
        <v>2</v>
      </c>
      <c r="T3" s="2">
        <v>1</v>
      </c>
      <c r="U3" s="2" t="s">
        <v>131</v>
      </c>
      <c r="V3" s="2">
        <v>2021</v>
      </c>
      <c r="W3" s="2" t="str">
        <f>"CGE CQ1-"&amp;RIGHT(V$3,2)</f>
        <v>CGE CQ1-21</v>
      </c>
      <c r="X3" s="2" t="str">
        <f>"RPE 12/31/"&amp;LEFT(V$3-101,2)</f>
        <v>RPE 12/31/19</v>
      </c>
      <c r="Y3" t="str">
        <f>"10/01/"&amp;LEFT(V3-101,2)&amp;" - 12/31/"&amp;LEFT(V3-101,2)</f>
        <v>10/01/19 - 12/31/19</v>
      </c>
      <c r="Z3" t="s">
        <v>104</v>
      </c>
      <c r="AA3" s="33">
        <v>0.09</v>
      </c>
      <c r="AB3" s="56" t="s">
        <v>155</v>
      </c>
    </row>
    <row r="4" spans="1:28" ht="13.5" x14ac:dyDescent="0.25">
      <c r="A4" s="113" t="s">
        <v>2</v>
      </c>
      <c r="B4" s="113" t="s">
        <v>104</v>
      </c>
      <c r="C4" s="113" t="s">
        <v>223</v>
      </c>
      <c r="D4" s="114">
        <v>827486.42</v>
      </c>
      <c r="E4" s="115">
        <v>823461.42</v>
      </c>
      <c r="F4" s="115">
        <v>821711.42</v>
      </c>
      <c r="G4" s="115"/>
      <c r="H4" s="116"/>
      <c r="I4" s="114">
        <v>100707.94</v>
      </c>
      <c r="J4" s="115">
        <v>107288.4</v>
      </c>
      <c r="K4" s="115">
        <v>114303.81</v>
      </c>
      <c r="L4" s="115"/>
      <c r="M4" s="116"/>
      <c r="O4" s="65">
        <v>2</v>
      </c>
      <c r="P4" s="65">
        <v>1</v>
      </c>
      <c r="Q4" s="65" t="s">
        <v>3</v>
      </c>
      <c r="R4" s="65" t="s">
        <v>3</v>
      </c>
      <c r="S4" s="65" t="s">
        <v>3</v>
      </c>
      <c r="T4" s="2">
        <v>2</v>
      </c>
      <c r="U4" s="2" t="s">
        <v>132</v>
      </c>
      <c r="V4" s="2"/>
      <c r="W4" s="2" t="str">
        <f>"CGE CQ2-"&amp;RIGHT(V$3,2)</f>
        <v>CGE CQ2-21</v>
      </c>
      <c r="X4" s="2" t="str">
        <f>"RPE 03/31/"&amp;LEFT(V$3,2)</f>
        <v>RPE 03/31/20</v>
      </c>
      <c r="Y4" t="str">
        <f>"01/01/"&amp;LEFT(V3,2)&amp;" - 03/31/"&amp;LEFT(V3,2)</f>
        <v>01/01/20 - 03/31/20</v>
      </c>
      <c r="Z4" t="s">
        <v>140</v>
      </c>
      <c r="AA4" s="34">
        <v>0</v>
      </c>
      <c r="AB4" s="56" t="s">
        <v>156</v>
      </c>
    </row>
    <row r="5" spans="1:28" ht="13.5" x14ac:dyDescent="0.25">
      <c r="A5" t="s">
        <v>2</v>
      </c>
      <c r="B5" t="s">
        <v>104</v>
      </c>
      <c r="C5" t="s">
        <v>224</v>
      </c>
      <c r="D5" s="110">
        <v>215248.58</v>
      </c>
      <c r="E5" s="111">
        <v>209626.58</v>
      </c>
      <c r="F5" s="111"/>
      <c r="G5" s="111"/>
      <c r="H5" s="112"/>
      <c r="I5" s="110">
        <v>6471.14</v>
      </c>
      <c r="J5" s="111">
        <v>11207.02</v>
      </c>
      <c r="K5" s="111"/>
      <c r="L5" s="111"/>
      <c r="M5" s="112"/>
      <c r="O5" s="65">
        <v>3</v>
      </c>
      <c r="P5" s="65">
        <v>1</v>
      </c>
      <c r="Q5" s="65" t="s">
        <v>4</v>
      </c>
      <c r="R5" s="65" t="s">
        <v>4</v>
      </c>
      <c r="S5" s="65" t="s">
        <v>4</v>
      </c>
      <c r="T5" s="2">
        <v>3</v>
      </c>
      <c r="U5" s="2" t="s">
        <v>133</v>
      </c>
      <c r="V5" s="2"/>
      <c r="W5" s="2" t="str">
        <f>"CGE CQ3-"&amp;RIGHT(V$3,2)</f>
        <v>CGE CQ3-21</v>
      </c>
      <c r="X5" s="2" t="str">
        <f>"RPE 06/30/"&amp;LEFT(V$3,2)</f>
        <v>RPE 06/30/20</v>
      </c>
      <c r="Y5" t="str">
        <f>"04/01/"&amp;LEFT(V3,2)&amp;" - 06/30/"&amp;LEFT(V3,2)</f>
        <v>04/01/20 - 06/30/20</v>
      </c>
      <c r="Z5" t="s">
        <v>105</v>
      </c>
      <c r="AA5" s="34">
        <v>0.4</v>
      </c>
    </row>
    <row r="6" spans="1:28" ht="13.5" x14ac:dyDescent="0.25">
      <c r="A6" s="117" t="s">
        <v>2</v>
      </c>
      <c r="B6" s="117" t="s">
        <v>104</v>
      </c>
      <c r="C6" s="117" t="s">
        <v>225</v>
      </c>
      <c r="D6" s="118">
        <v>520785.31</v>
      </c>
      <c r="E6" s="119"/>
      <c r="F6" s="119"/>
      <c r="G6" s="119"/>
      <c r="H6" s="120"/>
      <c r="I6" s="118">
        <v>40409.72</v>
      </c>
      <c r="J6" s="119"/>
      <c r="K6" s="119"/>
      <c r="L6" s="119"/>
      <c r="M6" s="120"/>
      <c r="O6" s="65">
        <v>4</v>
      </c>
      <c r="P6" s="65">
        <v>1</v>
      </c>
      <c r="Q6" s="65" t="s">
        <v>5</v>
      </c>
      <c r="R6" s="65" t="s">
        <v>5</v>
      </c>
      <c r="S6" s="65" t="s">
        <v>5</v>
      </c>
      <c r="T6" s="2">
        <v>4</v>
      </c>
      <c r="U6" s="2" t="s">
        <v>134</v>
      </c>
      <c r="V6" s="2"/>
      <c r="W6" s="2" t="str">
        <f>"CGE CQ4-"&amp;RIGHT(V$3,2)</f>
        <v>CGE CQ4-21</v>
      </c>
      <c r="X6" s="2" t="str">
        <f>"RPE 09/30/"&amp;LEFT(V$3,2)</f>
        <v>RPE 09/30/20</v>
      </c>
      <c r="Y6" t="str">
        <f>"07/01/"&amp;LEFT(V3,2)&amp;" - 09/30/"&amp;LEFT(V3,2)</f>
        <v>07/01/20 - 09/30/20</v>
      </c>
      <c r="Z6" t="s">
        <v>111</v>
      </c>
      <c r="AA6" s="34">
        <v>0.09</v>
      </c>
    </row>
    <row r="7" spans="1:28" ht="13.5" x14ac:dyDescent="0.25">
      <c r="A7" t="s">
        <v>2</v>
      </c>
      <c r="B7" t="s">
        <v>140</v>
      </c>
      <c r="C7" t="s">
        <v>222</v>
      </c>
      <c r="D7" s="110">
        <v>163960.25</v>
      </c>
      <c r="E7" s="111">
        <v>164010.25</v>
      </c>
      <c r="F7" s="111">
        <v>164010.25</v>
      </c>
      <c r="G7" s="111">
        <v>164010.25</v>
      </c>
      <c r="H7" s="112"/>
      <c r="I7" s="110">
        <v>23</v>
      </c>
      <c r="J7" s="111">
        <v>23</v>
      </c>
      <c r="K7" s="111">
        <v>56549.25</v>
      </c>
      <c r="L7" s="111">
        <v>56599.25</v>
      </c>
      <c r="M7" s="112"/>
      <c r="O7" s="65">
        <v>5</v>
      </c>
      <c r="P7" s="65">
        <v>1</v>
      </c>
      <c r="Q7" s="65" t="s">
        <v>6</v>
      </c>
      <c r="R7" s="65" t="s">
        <v>6</v>
      </c>
      <c r="S7" s="65" t="s">
        <v>6</v>
      </c>
      <c r="T7" s="2">
        <v>5</v>
      </c>
      <c r="U7" s="2"/>
      <c r="V7" s="2"/>
      <c r="W7" s="2" t="str">
        <f>"CGE CQ1-"&amp;RIGHT(V$3+101,2)</f>
        <v>CGE CQ1-22</v>
      </c>
      <c r="X7" s="2" t="str">
        <f>"RPE 12/31/"&amp;LEFT(V$3,2)</f>
        <v>RPE 12/31/20</v>
      </c>
      <c r="Y7" t="str">
        <f>"10/01/"&amp;LEFT(V3,2)&amp;" - 12/31/"&amp;LEFT(V3,2)</f>
        <v>10/01/20 - 12/31/20</v>
      </c>
      <c r="Z7" t="s">
        <v>109</v>
      </c>
      <c r="AA7" s="34">
        <v>0.4</v>
      </c>
    </row>
    <row r="8" spans="1:28" ht="13.5" x14ac:dyDescent="0.25">
      <c r="A8" s="113" t="s">
        <v>2</v>
      </c>
      <c r="B8" s="113" t="s">
        <v>140</v>
      </c>
      <c r="C8" s="113" t="s">
        <v>223</v>
      </c>
      <c r="D8" s="114">
        <v>425680</v>
      </c>
      <c r="E8" s="115">
        <v>425630</v>
      </c>
      <c r="F8" s="115">
        <v>425184</v>
      </c>
      <c r="G8" s="115"/>
      <c r="H8" s="116"/>
      <c r="I8" s="114">
        <v>161.15</v>
      </c>
      <c r="J8" s="115">
        <v>270.26</v>
      </c>
      <c r="K8" s="115">
        <v>417</v>
      </c>
      <c r="L8" s="115"/>
      <c r="M8" s="116"/>
      <c r="O8" s="65">
        <v>6</v>
      </c>
      <c r="P8" s="65">
        <v>1</v>
      </c>
      <c r="Q8" s="65" t="s">
        <v>7</v>
      </c>
      <c r="R8" s="65" t="s">
        <v>7</v>
      </c>
      <c r="S8" s="65" t="s">
        <v>7</v>
      </c>
      <c r="T8" s="2">
        <v>6</v>
      </c>
      <c r="U8" s="2"/>
      <c r="V8" s="2"/>
      <c r="W8" s="2" t="str">
        <f>"CGE CQ2-"&amp;RIGHT(V$3+101,2)</f>
        <v>CGE CQ2-22</v>
      </c>
      <c r="X8" s="2" t="str">
        <f>"RPE 03/31/"&amp;RIGHT(V$3,2)</f>
        <v>RPE 03/31/21</v>
      </c>
      <c r="Y8" t="str">
        <f>"01/01/"&amp;LEFT(V3+101,2)&amp;" - 03/31/"&amp;LEFT(V3+101,2)</f>
        <v>01/01/21 - 03/31/21</v>
      </c>
      <c r="Z8" t="s">
        <v>106</v>
      </c>
      <c r="AA8" s="34">
        <v>0.9</v>
      </c>
    </row>
    <row r="9" spans="1:28" ht="13.5" x14ac:dyDescent="0.25">
      <c r="A9" t="s">
        <v>2</v>
      </c>
      <c r="B9" t="s">
        <v>140</v>
      </c>
      <c r="C9" t="s">
        <v>224</v>
      </c>
      <c r="D9" s="110">
        <v>1651</v>
      </c>
      <c r="E9" s="111">
        <v>1646</v>
      </c>
      <c r="F9" s="111"/>
      <c r="G9" s="111"/>
      <c r="H9" s="112"/>
      <c r="I9" s="110">
        <v>15</v>
      </c>
      <c r="J9" s="111">
        <v>10</v>
      </c>
      <c r="K9" s="111"/>
      <c r="L9" s="111"/>
      <c r="M9" s="112"/>
      <c r="O9" s="65">
        <v>7</v>
      </c>
      <c r="P9" s="65">
        <v>1</v>
      </c>
      <c r="Q9" s="65" t="s">
        <v>8</v>
      </c>
      <c r="R9" s="65" t="s">
        <v>8</v>
      </c>
      <c r="S9" s="65" t="s">
        <v>8</v>
      </c>
      <c r="T9" s="2">
        <v>7</v>
      </c>
      <c r="U9" s="2"/>
      <c r="V9" s="2"/>
      <c r="W9" s="2" t="str">
        <f>"CGE CQ3-"&amp;RIGHT(V$3+101,2)</f>
        <v>CGE CQ3-22</v>
      </c>
      <c r="X9" s="2" t="str">
        <f>"RPE 06/30/"&amp;RIGHT(V$3,2)</f>
        <v>RPE 06/30/21</v>
      </c>
      <c r="Y9" t="str">
        <f>"04/01/"&amp;LEFT(V3+101,2)&amp;" - 06/30/"&amp;LEFT(V3+101,2)</f>
        <v>04/01/21 - 06/30/21</v>
      </c>
      <c r="Z9" t="s">
        <v>107</v>
      </c>
      <c r="AA9" s="34">
        <v>0.9</v>
      </c>
    </row>
    <row r="10" spans="1:28" ht="13.5" x14ac:dyDescent="0.25">
      <c r="A10" s="117" t="s">
        <v>2</v>
      </c>
      <c r="B10" s="117" t="s">
        <v>140</v>
      </c>
      <c r="C10" s="117" t="s">
        <v>225</v>
      </c>
      <c r="D10" s="118">
        <v>211588</v>
      </c>
      <c r="E10" s="119"/>
      <c r="F10" s="119"/>
      <c r="G10" s="119"/>
      <c r="H10" s="120"/>
      <c r="I10" s="118">
        <v>10</v>
      </c>
      <c r="J10" s="119"/>
      <c r="K10" s="119"/>
      <c r="L10" s="119"/>
      <c r="M10" s="120"/>
      <c r="O10" s="65">
        <v>8</v>
      </c>
      <c r="P10" s="65">
        <v>1</v>
      </c>
      <c r="Q10" s="65" t="s">
        <v>9</v>
      </c>
      <c r="R10" s="65" t="s">
        <v>9</v>
      </c>
      <c r="S10" s="65" t="s">
        <v>9</v>
      </c>
      <c r="T10" s="2">
        <v>8</v>
      </c>
      <c r="U10" s="2"/>
      <c r="V10" s="2"/>
      <c r="W10" s="2" t="str">
        <f>"CGE CQ4-"&amp;RIGHT(V$3+101,2)</f>
        <v>CGE CQ4-22</v>
      </c>
      <c r="X10" s="2" t="str">
        <f>"RPE 09/30/"&amp;RIGHT(V$3,2)</f>
        <v>RPE 09/30/21</v>
      </c>
      <c r="Y10" t="str">
        <f>"07/01/"&amp;LEFT(V3+101,2)&amp;" - 09/30/"&amp;LEFT(V3+101,2)</f>
        <v>07/01/21 - 09/30/21</v>
      </c>
      <c r="Z10" t="s">
        <v>110</v>
      </c>
      <c r="AA10" s="34">
        <v>0.9</v>
      </c>
    </row>
    <row r="11" spans="1:28" ht="13.5" x14ac:dyDescent="0.25">
      <c r="A11" t="s">
        <v>2</v>
      </c>
      <c r="B11" t="s">
        <v>105</v>
      </c>
      <c r="C11" t="s">
        <v>222</v>
      </c>
      <c r="D11" s="110">
        <v>138556.81</v>
      </c>
      <c r="E11" s="111">
        <v>133765.31</v>
      </c>
      <c r="F11" s="111">
        <v>131833.31</v>
      </c>
      <c r="G11" s="111">
        <v>130892.31</v>
      </c>
      <c r="H11" s="112"/>
      <c r="I11" s="110">
        <v>30789.06</v>
      </c>
      <c r="J11" s="111">
        <v>42983.88</v>
      </c>
      <c r="K11" s="111">
        <v>50310.03</v>
      </c>
      <c r="L11" s="111">
        <v>57384.98</v>
      </c>
      <c r="M11" s="112"/>
      <c r="O11" s="65">
        <v>9</v>
      </c>
      <c r="P11" s="65">
        <v>1</v>
      </c>
      <c r="Q11" s="65" t="s">
        <v>10</v>
      </c>
      <c r="R11" s="65" t="s">
        <v>10</v>
      </c>
      <c r="S11" s="65" t="s">
        <v>10</v>
      </c>
      <c r="T11" s="2">
        <v>9</v>
      </c>
      <c r="U11" s="2"/>
      <c r="V11" s="2"/>
      <c r="W11" s="2"/>
      <c r="X11" s="2"/>
      <c r="Z11" t="s">
        <v>108</v>
      </c>
      <c r="AA11" s="34">
        <v>0.9</v>
      </c>
    </row>
    <row r="12" spans="1:28" ht="13.5" x14ac:dyDescent="0.25">
      <c r="A12" s="113" t="s">
        <v>2</v>
      </c>
      <c r="B12" s="113" t="s">
        <v>105</v>
      </c>
      <c r="C12" s="113" t="s">
        <v>223</v>
      </c>
      <c r="D12" s="114">
        <v>143839.5</v>
      </c>
      <c r="E12" s="115">
        <v>140407.15</v>
      </c>
      <c r="F12" s="115">
        <v>139692.75</v>
      </c>
      <c r="G12" s="115"/>
      <c r="H12" s="116"/>
      <c r="I12" s="114">
        <v>31307.25</v>
      </c>
      <c r="J12" s="115">
        <v>40787.910000000003</v>
      </c>
      <c r="K12" s="115">
        <v>47260.69</v>
      </c>
      <c r="L12" s="115"/>
      <c r="M12" s="116"/>
      <c r="O12" s="65">
        <v>10</v>
      </c>
      <c r="P12" s="65">
        <v>1</v>
      </c>
      <c r="Q12" s="65" t="s">
        <v>11</v>
      </c>
      <c r="R12" s="65" t="s">
        <v>11</v>
      </c>
      <c r="S12" s="65" t="s">
        <v>11</v>
      </c>
      <c r="T12" s="2">
        <v>10</v>
      </c>
      <c r="U12" s="2"/>
      <c r="V12" s="2"/>
      <c r="W12" s="2"/>
      <c r="X12" s="2"/>
      <c r="Z12" t="s">
        <v>70</v>
      </c>
      <c r="AA12" s="34">
        <v>0.75</v>
      </c>
    </row>
    <row r="13" spans="1:28" ht="13.5" x14ac:dyDescent="0.25">
      <c r="A13" t="s">
        <v>2</v>
      </c>
      <c r="B13" t="s">
        <v>105</v>
      </c>
      <c r="C13" t="s">
        <v>224</v>
      </c>
      <c r="D13" s="110">
        <v>52835.59</v>
      </c>
      <c r="E13" s="111">
        <v>49785.59</v>
      </c>
      <c r="F13" s="111"/>
      <c r="G13" s="111"/>
      <c r="H13" s="112"/>
      <c r="I13" s="110">
        <v>10450.09</v>
      </c>
      <c r="J13" s="111">
        <v>14675.18</v>
      </c>
      <c r="K13" s="111"/>
      <c r="L13" s="111"/>
      <c r="M13" s="112"/>
      <c r="O13" s="65">
        <v>11</v>
      </c>
      <c r="P13" s="65">
        <v>1</v>
      </c>
      <c r="Q13" s="65" t="s">
        <v>12</v>
      </c>
      <c r="R13" s="65" t="s">
        <v>12</v>
      </c>
      <c r="S13" s="65" t="s">
        <v>12</v>
      </c>
      <c r="T13" s="2"/>
      <c r="U13" s="2"/>
      <c r="V13" s="2"/>
      <c r="W13" s="2"/>
      <c r="X13" s="2"/>
    </row>
    <row r="14" spans="1:28" ht="13.5" x14ac:dyDescent="0.25">
      <c r="A14" s="117" t="s">
        <v>2</v>
      </c>
      <c r="B14" s="117" t="s">
        <v>105</v>
      </c>
      <c r="C14" s="117" t="s">
        <v>225</v>
      </c>
      <c r="D14" s="118">
        <v>91140.67</v>
      </c>
      <c r="E14" s="119"/>
      <c r="F14" s="119"/>
      <c r="G14" s="119"/>
      <c r="H14" s="120"/>
      <c r="I14" s="118">
        <v>18266.759999999998</v>
      </c>
      <c r="J14" s="119"/>
      <c r="K14" s="119"/>
      <c r="L14" s="119"/>
      <c r="M14" s="120"/>
      <c r="O14" s="65">
        <v>12</v>
      </c>
      <c r="P14" s="65">
        <v>1</v>
      </c>
      <c r="Q14" s="65" t="s">
        <v>13</v>
      </c>
      <c r="R14" s="65" t="s">
        <v>13</v>
      </c>
      <c r="S14" s="65" t="s">
        <v>13</v>
      </c>
      <c r="T14" s="2"/>
      <c r="U14" s="2"/>
      <c r="V14" s="2"/>
      <c r="W14" s="2"/>
      <c r="X14" s="2"/>
    </row>
    <row r="15" spans="1:28" ht="13.5" x14ac:dyDescent="0.25">
      <c r="A15" t="s">
        <v>2</v>
      </c>
      <c r="B15" t="s">
        <v>111</v>
      </c>
      <c r="C15" t="s">
        <v>222</v>
      </c>
      <c r="D15" s="110">
        <v>22739.5</v>
      </c>
      <c r="E15" s="111">
        <v>22489.5</v>
      </c>
      <c r="F15" s="111">
        <v>22439.5</v>
      </c>
      <c r="G15" s="111">
        <v>21639.5</v>
      </c>
      <c r="H15" s="112"/>
      <c r="I15" s="110">
        <v>159.5</v>
      </c>
      <c r="J15" s="111">
        <v>379.5</v>
      </c>
      <c r="K15" s="111">
        <v>579.5</v>
      </c>
      <c r="L15" s="111">
        <v>771.55</v>
      </c>
      <c r="M15" s="112"/>
      <c r="O15" s="65">
        <v>14</v>
      </c>
      <c r="P15" s="65">
        <v>1</v>
      </c>
      <c r="Q15" s="65" t="s">
        <v>217</v>
      </c>
      <c r="R15" s="65" t="s">
        <v>217</v>
      </c>
      <c r="S15" s="65" t="s">
        <v>216</v>
      </c>
      <c r="T15" s="2"/>
      <c r="U15" s="2"/>
      <c r="V15" s="2"/>
      <c r="W15" s="2"/>
      <c r="X15" s="2"/>
    </row>
    <row r="16" spans="1:28" ht="13.5" x14ac:dyDescent="0.25">
      <c r="A16" s="113" t="s">
        <v>2</v>
      </c>
      <c r="B16" s="113" t="s">
        <v>111</v>
      </c>
      <c r="C16" s="113" t="s">
        <v>223</v>
      </c>
      <c r="D16" s="114">
        <v>20939.5</v>
      </c>
      <c r="E16" s="115">
        <v>20939.5</v>
      </c>
      <c r="F16" s="115">
        <v>20689.5</v>
      </c>
      <c r="G16" s="115"/>
      <c r="H16" s="116"/>
      <c r="I16" s="114">
        <v>499.5</v>
      </c>
      <c r="J16" s="115">
        <v>1239.5</v>
      </c>
      <c r="K16" s="115">
        <v>1239.5</v>
      </c>
      <c r="L16" s="115"/>
      <c r="M16" s="116"/>
      <c r="O16" s="65">
        <v>15</v>
      </c>
      <c r="P16" s="65">
        <v>1</v>
      </c>
      <c r="Q16" s="65" t="s">
        <v>15</v>
      </c>
      <c r="R16" s="65" t="s">
        <v>15</v>
      </c>
      <c r="S16" s="65" t="s">
        <v>15</v>
      </c>
      <c r="T16" s="2"/>
      <c r="U16" s="2"/>
      <c r="V16" s="2"/>
      <c r="W16" s="2"/>
      <c r="X16" s="2"/>
    </row>
    <row r="17" spans="1:24" ht="13.5" x14ac:dyDescent="0.25">
      <c r="A17" t="s">
        <v>2</v>
      </c>
      <c r="B17" t="s">
        <v>111</v>
      </c>
      <c r="C17" t="s">
        <v>224</v>
      </c>
      <c r="D17" s="110">
        <v>3795.5</v>
      </c>
      <c r="E17" s="111">
        <v>3795.5</v>
      </c>
      <c r="F17" s="111"/>
      <c r="G17" s="111"/>
      <c r="H17" s="112"/>
      <c r="I17" s="110">
        <v>155.5</v>
      </c>
      <c r="J17" s="111">
        <v>155.5</v>
      </c>
      <c r="K17" s="111"/>
      <c r="L17" s="111"/>
      <c r="M17" s="112"/>
      <c r="O17" s="65">
        <v>16</v>
      </c>
      <c r="P17" s="65">
        <v>1</v>
      </c>
      <c r="Q17" s="65" t="s">
        <v>16</v>
      </c>
      <c r="R17" s="65" t="s">
        <v>16</v>
      </c>
      <c r="S17" s="65" t="s">
        <v>16</v>
      </c>
      <c r="T17" s="2"/>
      <c r="U17" s="2"/>
      <c r="V17" s="2"/>
      <c r="W17" s="2"/>
      <c r="X17" s="2"/>
    </row>
    <row r="18" spans="1:24" ht="13.5" x14ac:dyDescent="0.25">
      <c r="A18" s="117" t="s">
        <v>2</v>
      </c>
      <c r="B18" s="117" t="s">
        <v>111</v>
      </c>
      <c r="C18" s="117" t="s">
        <v>225</v>
      </c>
      <c r="D18" s="118">
        <v>19972.439999999999</v>
      </c>
      <c r="E18" s="119"/>
      <c r="F18" s="119"/>
      <c r="G18" s="119"/>
      <c r="H18" s="120"/>
      <c r="I18" s="118">
        <v>552.44000000000005</v>
      </c>
      <c r="J18" s="119"/>
      <c r="K18" s="119"/>
      <c r="L18" s="119"/>
      <c r="M18" s="120"/>
      <c r="O18" s="65">
        <v>17</v>
      </c>
      <c r="P18" s="65">
        <v>1</v>
      </c>
      <c r="Q18" s="65" t="s">
        <v>17</v>
      </c>
      <c r="R18" s="65" t="s">
        <v>17</v>
      </c>
      <c r="S18" s="65" t="s">
        <v>17</v>
      </c>
    </row>
    <row r="19" spans="1:24" ht="13.5" x14ac:dyDescent="0.25">
      <c r="A19" t="s">
        <v>2</v>
      </c>
      <c r="B19" t="s">
        <v>109</v>
      </c>
      <c r="C19" t="s">
        <v>222</v>
      </c>
      <c r="D19" s="110">
        <v>165558.23000000001</v>
      </c>
      <c r="E19" s="111">
        <v>164294.38</v>
      </c>
      <c r="F19" s="111">
        <v>163503.38</v>
      </c>
      <c r="G19" s="111">
        <v>162711.38</v>
      </c>
      <c r="H19" s="112"/>
      <c r="I19" s="110">
        <v>44775.21</v>
      </c>
      <c r="J19" s="111">
        <v>71954.13</v>
      </c>
      <c r="K19" s="111">
        <v>92974.38</v>
      </c>
      <c r="L19" s="111">
        <v>107742.2</v>
      </c>
      <c r="M19" s="112"/>
      <c r="O19" s="65">
        <v>18</v>
      </c>
      <c r="P19" s="65">
        <v>1</v>
      </c>
      <c r="Q19" s="65" t="s">
        <v>18</v>
      </c>
      <c r="R19" s="65" t="s">
        <v>18</v>
      </c>
      <c r="S19" s="65" t="s">
        <v>18</v>
      </c>
    </row>
    <row r="20" spans="1:24" ht="13.5" x14ac:dyDescent="0.25">
      <c r="A20" s="113" t="s">
        <v>2</v>
      </c>
      <c r="B20" s="113" t="s">
        <v>109</v>
      </c>
      <c r="C20" s="113" t="s">
        <v>223</v>
      </c>
      <c r="D20" s="114">
        <v>186914.28</v>
      </c>
      <c r="E20" s="115">
        <v>184754.68</v>
      </c>
      <c r="F20" s="115">
        <v>180929.68</v>
      </c>
      <c r="G20" s="115"/>
      <c r="H20" s="116"/>
      <c r="I20" s="114">
        <v>56330.91</v>
      </c>
      <c r="J20" s="115">
        <v>85709.01</v>
      </c>
      <c r="K20" s="115">
        <v>95345.56</v>
      </c>
      <c r="L20" s="115"/>
      <c r="M20" s="116"/>
      <c r="O20" s="65">
        <v>19</v>
      </c>
      <c r="P20" s="65">
        <v>1</v>
      </c>
      <c r="Q20" s="65" t="s">
        <v>19</v>
      </c>
      <c r="R20" s="65" t="s">
        <v>19</v>
      </c>
      <c r="S20" s="65" t="s">
        <v>19</v>
      </c>
    </row>
    <row r="21" spans="1:24" ht="13.5" x14ac:dyDescent="0.25">
      <c r="A21" t="s">
        <v>2</v>
      </c>
      <c r="B21" t="s">
        <v>109</v>
      </c>
      <c r="C21" t="s">
        <v>224</v>
      </c>
      <c r="D21" s="110">
        <v>54198.09</v>
      </c>
      <c r="E21" s="111">
        <v>53466.09</v>
      </c>
      <c r="F21" s="111"/>
      <c r="G21" s="111"/>
      <c r="H21" s="112"/>
      <c r="I21" s="110">
        <v>15481.34</v>
      </c>
      <c r="J21" s="111">
        <v>24086.41</v>
      </c>
      <c r="K21" s="111"/>
      <c r="L21" s="111"/>
      <c r="M21" s="112"/>
      <c r="O21" s="65">
        <v>20</v>
      </c>
      <c r="P21" s="65">
        <v>1</v>
      </c>
      <c r="Q21" s="65" t="s">
        <v>20</v>
      </c>
      <c r="R21" s="65" t="s">
        <v>20</v>
      </c>
      <c r="S21" s="65" t="s">
        <v>20</v>
      </c>
    </row>
    <row r="22" spans="1:24" ht="13.5" x14ac:dyDescent="0.25">
      <c r="A22" s="117" t="s">
        <v>2</v>
      </c>
      <c r="B22" s="117" t="s">
        <v>109</v>
      </c>
      <c r="C22" s="117" t="s">
        <v>225</v>
      </c>
      <c r="D22" s="118">
        <v>125075.97</v>
      </c>
      <c r="E22" s="119"/>
      <c r="F22" s="119"/>
      <c r="G22" s="119"/>
      <c r="H22" s="120"/>
      <c r="I22" s="118">
        <v>35725</v>
      </c>
      <c r="J22" s="119"/>
      <c r="K22" s="119"/>
      <c r="L22" s="119"/>
      <c r="M22" s="120"/>
      <c r="O22" s="65">
        <v>21</v>
      </c>
      <c r="P22" s="65">
        <v>1</v>
      </c>
      <c r="Q22" s="65" t="s">
        <v>21</v>
      </c>
      <c r="R22" s="65" t="s">
        <v>21</v>
      </c>
      <c r="S22" s="65" t="s">
        <v>21</v>
      </c>
    </row>
    <row r="23" spans="1:24" ht="13.5" x14ac:dyDescent="0.25">
      <c r="A23" t="s">
        <v>2</v>
      </c>
      <c r="B23" t="s">
        <v>106</v>
      </c>
      <c r="C23" t="s">
        <v>222</v>
      </c>
      <c r="D23" s="110">
        <v>353843.85</v>
      </c>
      <c r="E23" s="111">
        <v>352993.85</v>
      </c>
      <c r="F23" s="111">
        <v>352993.85</v>
      </c>
      <c r="G23" s="111">
        <v>352993.85</v>
      </c>
      <c r="H23" s="112"/>
      <c r="I23" s="110">
        <v>348913.85</v>
      </c>
      <c r="J23" s="111">
        <v>350109.35</v>
      </c>
      <c r="K23" s="111">
        <v>350399.85</v>
      </c>
      <c r="L23" s="111">
        <v>350399.85</v>
      </c>
      <c r="M23" s="112"/>
      <c r="O23" s="65">
        <v>22</v>
      </c>
      <c r="P23" s="65">
        <v>1</v>
      </c>
      <c r="Q23" s="65" t="s">
        <v>22</v>
      </c>
      <c r="R23" s="65" t="s">
        <v>22</v>
      </c>
      <c r="S23" s="65" t="s">
        <v>22</v>
      </c>
    </row>
    <row r="24" spans="1:24" ht="13.5" x14ac:dyDescent="0.25">
      <c r="A24" s="113" t="s">
        <v>2</v>
      </c>
      <c r="B24" s="113" t="s">
        <v>106</v>
      </c>
      <c r="C24" s="113" t="s">
        <v>223</v>
      </c>
      <c r="D24" s="114">
        <v>319643.06</v>
      </c>
      <c r="E24" s="115">
        <v>317951.06</v>
      </c>
      <c r="F24" s="115">
        <v>317951.06</v>
      </c>
      <c r="G24" s="115"/>
      <c r="H24" s="116"/>
      <c r="I24" s="114">
        <v>314260.96000000002</v>
      </c>
      <c r="J24" s="115">
        <v>314955.96000000002</v>
      </c>
      <c r="K24" s="115">
        <v>314955.96000000002</v>
      </c>
      <c r="L24" s="115"/>
      <c r="M24" s="116"/>
      <c r="O24" s="65">
        <v>23</v>
      </c>
      <c r="P24" s="65">
        <v>1</v>
      </c>
      <c r="Q24" s="65" t="s">
        <v>23</v>
      </c>
      <c r="R24" s="65" t="s">
        <v>23</v>
      </c>
      <c r="S24" s="65" t="s">
        <v>23</v>
      </c>
    </row>
    <row r="25" spans="1:24" ht="13.5" x14ac:dyDescent="0.25">
      <c r="A25" t="s">
        <v>2</v>
      </c>
      <c r="B25" t="s">
        <v>106</v>
      </c>
      <c r="C25" t="s">
        <v>224</v>
      </c>
      <c r="D25" s="110">
        <v>148870.54999999999</v>
      </c>
      <c r="E25" s="111">
        <v>148750.54999999999</v>
      </c>
      <c r="F25" s="111"/>
      <c r="G25" s="111"/>
      <c r="H25" s="112"/>
      <c r="I25" s="110">
        <v>146929.04999999999</v>
      </c>
      <c r="J25" s="111">
        <v>148196.54999999999</v>
      </c>
      <c r="K25" s="111"/>
      <c r="L25" s="111"/>
      <c r="M25" s="112"/>
      <c r="O25" s="65">
        <v>24</v>
      </c>
      <c r="P25" s="65">
        <v>1</v>
      </c>
      <c r="Q25" s="65" t="s">
        <v>24</v>
      </c>
      <c r="R25" s="65" t="s">
        <v>24</v>
      </c>
      <c r="S25" s="65" t="s">
        <v>24</v>
      </c>
    </row>
    <row r="26" spans="1:24" ht="13.5" x14ac:dyDescent="0.25">
      <c r="A26" s="117" t="s">
        <v>2</v>
      </c>
      <c r="B26" s="117" t="s">
        <v>106</v>
      </c>
      <c r="C26" s="117" t="s">
        <v>225</v>
      </c>
      <c r="D26" s="118">
        <v>273865.98</v>
      </c>
      <c r="E26" s="119"/>
      <c r="F26" s="119"/>
      <c r="G26" s="119"/>
      <c r="H26" s="120"/>
      <c r="I26" s="118">
        <v>214424.13</v>
      </c>
      <c r="J26" s="119"/>
      <c r="K26" s="119"/>
      <c r="L26" s="119"/>
      <c r="M26" s="120"/>
      <c r="O26" s="65">
        <v>25</v>
      </c>
      <c r="P26" s="65">
        <v>1</v>
      </c>
      <c r="Q26" s="65" t="s">
        <v>25</v>
      </c>
      <c r="R26" s="65" t="s">
        <v>25</v>
      </c>
      <c r="S26" s="65" t="s">
        <v>25</v>
      </c>
    </row>
    <row r="27" spans="1:24" ht="13.5" x14ac:dyDescent="0.25">
      <c r="A27" t="s">
        <v>2</v>
      </c>
      <c r="B27" t="s">
        <v>107</v>
      </c>
      <c r="C27" t="s">
        <v>222</v>
      </c>
      <c r="D27" s="110">
        <v>331528.09999999998</v>
      </c>
      <c r="E27" s="111">
        <v>331518.09999999998</v>
      </c>
      <c r="F27" s="111">
        <v>331518.09999999998</v>
      </c>
      <c r="G27" s="111">
        <v>331518.09999999998</v>
      </c>
      <c r="H27" s="112"/>
      <c r="I27" s="110">
        <v>327699.44</v>
      </c>
      <c r="J27" s="111">
        <v>330279.37</v>
      </c>
      <c r="K27" s="111">
        <v>330568.09999999998</v>
      </c>
      <c r="L27" s="111">
        <v>330668.09999999998</v>
      </c>
      <c r="M27" s="112"/>
      <c r="O27" s="65">
        <v>26</v>
      </c>
      <c r="P27" s="65">
        <v>1</v>
      </c>
      <c r="Q27" s="65" t="s">
        <v>26</v>
      </c>
      <c r="R27" s="65" t="s">
        <v>26</v>
      </c>
      <c r="S27" s="65" t="s">
        <v>26</v>
      </c>
    </row>
    <row r="28" spans="1:24" ht="13.5" x14ac:dyDescent="0.25">
      <c r="A28" s="113" t="s">
        <v>2</v>
      </c>
      <c r="B28" s="113" t="s">
        <v>107</v>
      </c>
      <c r="C28" s="113" t="s">
        <v>223</v>
      </c>
      <c r="D28" s="114">
        <v>317352.87</v>
      </c>
      <c r="E28" s="115">
        <v>317052.87</v>
      </c>
      <c r="F28" s="115">
        <v>316847.87</v>
      </c>
      <c r="G28" s="115"/>
      <c r="H28" s="116"/>
      <c r="I28" s="114">
        <v>313085.11</v>
      </c>
      <c r="J28" s="115">
        <v>315691.71999999997</v>
      </c>
      <c r="K28" s="115">
        <v>315546.71999999997</v>
      </c>
      <c r="L28" s="115"/>
      <c r="M28" s="116"/>
      <c r="O28" s="65">
        <v>27</v>
      </c>
      <c r="P28" s="65">
        <v>1</v>
      </c>
      <c r="Q28" s="65" t="s">
        <v>27</v>
      </c>
      <c r="R28" s="65" t="s">
        <v>27</v>
      </c>
      <c r="S28" s="65" t="s">
        <v>27</v>
      </c>
    </row>
    <row r="29" spans="1:24" ht="13.5" x14ac:dyDescent="0.25">
      <c r="A29" t="s">
        <v>2</v>
      </c>
      <c r="B29" t="s">
        <v>107</v>
      </c>
      <c r="C29" t="s">
        <v>224</v>
      </c>
      <c r="D29" s="110">
        <v>148361.65</v>
      </c>
      <c r="E29" s="111">
        <v>148355.54999999999</v>
      </c>
      <c r="F29" s="111"/>
      <c r="G29" s="111"/>
      <c r="H29" s="112"/>
      <c r="I29" s="110">
        <v>145810.16</v>
      </c>
      <c r="J29" s="111">
        <v>147570.16</v>
      </c>
      <c r="K29" s="111"/>
      <c r="L29" s="111"/>
      <c r="M29" s="112"/>
      <c r="O29" s="65">
        <v>28</v>
      </c>
      <c r="P29" s="65">
        <v>1</v>
      </c>
      <c r="Q29" s="65" t="s">
        <v>28</v>
      </c>
      <c r="R29" s="65" t="s">
        <v>28</v>
      </c>
      <c r="S29" s="65" t="s">
        <v>28</v>
      </c>
    </row>
    <row r="30" spans="1:24" ht="13.5" x14ac:dyDescent="0.25">
      <c r="A30" s="117" t="s">
        <v>2</v>
      </c>
      <c r="B30" s="117" t="s">
        <v>107</v>
      </c>
      <c r="C30" s="117" t="s">
        <v>225</v>
      </c>
      <c r="D30" s="118">
        <v>234865.87</v>
      </c>
      <c r="E30" s="119"/>
      <c r="F30" s="119"/>
      <c r="G30" s="119"/>
      <c r="H30" s="120"/>
      <c r="I30" s="118">
        <v>230473.88</v>
      </c>
      <c r="J30" s="119"/>
      <c r="K30" s="119"/>
      <c r="L30" s="119"/>
      <c r="M30" s="120"/>
      <c r="O30" s="65">
        <v>29</v>
      </c>
      <c r="P30" s="65">
        <v>1</v>
      </c>
      <c r="Q30" s="65" t="s">
        <v>29</v>
      </c>
      <c r="R30" s="65" t="s">
        <v>29</v>
      </c>
      <c r="S30" s="65" t="s">
        <v>29</v>
      </c>
    </row>
    <row r="31" spans="1:24" ht="13.5" x14ac:dyDescent="0.25">
      <c r="A31" t="s">
        <v>2</v>
      </c>
      <c r="B31" t="s">
        <v>108</v>
      </c>
      <c r="C31" t="s">
        <v>222</v>
      </c>
      <c r="D31" s="110">
        <v>58328.36</v>
      </c>
      <c r="E31" s="111">
        <v>57297.36</v>
      </c>
      <c r="F31" s="111">
        <v>57297.36</v>
      </c>
      <c r="G31" s="111">
        <v>57297.36</v>
      </c>
      <c r="H31" s="112"/>
      <c r="I31" s="110">
        <v>56776.36</v>
      </c>
      <c r="J31" s="111">
        <v>56987.360000000001</v>
      </c>
      <c r="K31" s="111">
        <v>57107.360000000001</v>
      </c>
      <c r="L31" s="111">
        <v>57132.36</v>
      </c>
      <c r="M31" s="112"/>
      <c r="O31" s="65">
        <v>30</v>
      </c>
      <c r="P31" s="65">
        <v>1</v>
      </c>
      <c r="Q31" s="65" t="s">
        <v>30</v>
      </c>
      <c r="R31" s="65" t="s">
        <v>30</v>
      </c>
      <c r="S31" s="65" t="s">
        <v>30</v>
      </c>
    </row>
    <row r="32" spans="1:24" ht="13.5" x14ac:dyDescent="0.25">
      <c r="A32" s="113" t="s">
        <v>2</v>
      </c>
      <c r="B32" s="113" t="s">
        <v>108</v>
      </c>
      <c r="C32" s="113" t="s">
        <v>223</v>
      </c>
      <c r="D32" s="114">
        <v>68437.820000000007</v>
      </c>
      <c r="E32" s="115">
        <v>67967.820000000007</v>
      </c>
      <c r="F32" s="115">
        <v>67501.820000000007</v>
      </c>
      <c r="G32" s="115"/>
      <c r="H32" s="116"/>
      <c r="I32" s="114">
        <v>64372.32</v>
      </c>
      <c r="J32" s="115">
        <v>66550.820000000007</v>
      </c>
      <c r="K32" s="115">
        <v>67010.820000000007</v>
      </c>
      <c r="L32" s="115"/>
      <c r="M32" s="116"/>
      <c r="O32" s="65">
        <v>31</v>
      </c>
      <c r="P32" s="65">
        <v>1</v>
      </c>
      <c r="Q32" s="65" t="s">
        <v>31</v>
      </c>
      <c r="R32" s="65" t="s">
        <v>31</v>
      </c>
      <c r="S32" s="65" t="s">
        <v>31</v>
      </c>
    </row>
    <row r="33" spans="1:19" ht="13.5" x14ac:dyDescent="0.25">
      <c r="A33" t="s">
        <v>2</v>
      </c>
      <c r="B33" t="s">
        <v>108</v>
      </c>
      <c r="C33" t="s">
        <v>224</v>
      </c>
      <c r="D33" s="110">
        <v>59983.44</v>
      </c>
      <c r="E33" s="111">
        <v>59121.440000000002</v>
      </c>
      <c r="F33" s="111"/>
      <c r="G33" s="111"/>
      <c r="H33" s="112"/>
      <c r="I33" s="110">
        <v>56466.44</v>
      </c>
      <c r="J33" s="111">
        <v>57684.44</v>
      </c>
      <c r="K33" s="111"/>
      <c r="L33" s="111"/>
      <c r="M33" s="112"/>
      <c r="O33" s="65">
        <v>32</v>
      </c>
      <c r="P33" s="65">
        <v>1</v>
      </c>
      <c r="Q33" s="65" t="s">
        <v>32</v>
      </c>
      <c r="R33" s="65" t="s">
        <v>32</v>
      </c>
      <c r="S33" s="65" t="s">
        <v>32</v>
      </c>
    </row>
    <row r="34" spans="1:19" ht="13.5" x14ac:dyDescent="0.25">
      <c r="A34" s="117" t="s">
        <v>2</v>
      </c>
      <c r="B34" s="117" t="s">
        <v>108</v>
      </c>
      <c r="C34" s="117" t="s">
        <v>225</v>
      </c>
      <c r="D34" s="118">
        <v>77152.710000000006</v>
      </c>
      <c r="E34" s="119"/>
      <c r="F34" s="119"/>
      <c r="G34" s="119"/>
      <c r="H34" s="120"/>
      <c r="I34" s="118">
        <v>75977.710000000006</v>
      </c>
      <c r="J34" s="119"/>
      <c r="K34" s="119"/>
      <c r="L34" s="119"/>
      <c r="M34" s="120"/>
      <c r="O34" s="65">
        <v>33</v>
      </c>
      <c r="P34" s="65">
        <v>1</v>
      </c>
      <c r="Q34" s="65" t="s">
        <v>33</v>
      </c>
      <c r="R34" s="65" t="s">
        <v>33</v>
      </c>
      <c r="S34" s="65" t="s">
        <v>33</v>
      </c>
    </row>
    <row r="35" spans="1:19" ht="13.5" x14ac:dyDescent="0.25">
      <c r="A35" t="s">
        <v>2</v>
      </c>
      <c r="B35" t="s">
        <v>70</v>
      </c>
      <c r="C35" t="s">
        <v>222</v>
      </c>
      <c r="D35" s="110">
        <v>128791.98</v>
      </c>
      <c r="E35" s="111">
        <v>127106.98</v>
      </c>
      <c r="F35" s="111">
        <v>126628.98</v>
      </c>
      <c r="G35" s="111">
        <v>126568.98</v>
      </c>
      <c r="H35" s="112"/>
      <c r="I35" s="110">
        <v>109452.98</v>
      </c>
      <c r="J35" s="111">
        <v>114660.63</v>
      </c>
      <c r="K35" s="111">
        <v>116440.63</v>
      </c>
      <c r="L35" s="111">
        <v>116633.98</v>
      </c>
      <c r="M35" s="112"/>
      <c r="O35" s="65">
        <v>34</v>
      </c>
      <c r="P35" s="65">
        <v>1</v>
      </c>
      <c r="Q35" s="65" t="s">
        <v>34</v>
      </c>
      <c r="R35" s="65" t="s">
        <v>34</v>
      </c>
      <c r="S35" s="65" t="s">
        <v>34</v>
      </c>
    </row>
    <row r="36" spans="1:19" ht="13.5" x14ac:dyDescent="0.25">
      <c r="A36" s="113" t="s">
        <v>2</v>
      </c>
      <c r="B36" s="113" t="s">
        <v>70</v>
      </c>
      <c r="C36" s="113" t="s">
        <v>223</v>
      </c>
      <c r="D36" s="114">
        <v>114087.2</v>
      </c>
      <c r="E36" s="115">
        <v>110923.2</v>
      </c>
      <c r="F36" s="115">
        <v>110803.2</v>
      </c>
      <c r="G36" s="115"/>
      <c r="H36" s="116"/>
      <c r="I36" s="114">
        <v>98271.7</v>
      </c>
      <c r="J36" s="115">
        <v>101357.7</v>
      </c>
      <c r="K36" s="115">
        <v>101984.2</v>
      </c>
      <c r="L36" s="115"/>
      <c r="M36" s="116"/>
      <c r="O36" s="65">
        <v>35</v>
      </c>
      <c r="P36" s="65">
        <v>1</v>
      </c>
      <c r="Q36" s="65" t="s">
        <v>35</v>
      </c>
      <c r="R36" s="65" t="s">
        <v>35</v>
      </c>
      <c r="S36" s="65" t="s">
        <v>35</v>
      </c>
    </row>
    <row r="37" spans="1:19" ht="13.5" x14ac:dyDescent="0.25">
      <c r="A37" t="s">
        <v>2</v>
      </c>
      <c r="B37" t="s">
        <v>70</v>
      </c>
      <c r="C37" t="s">
        <v>224</v>
      </c>
      <c r="D37" s="110">
        <v>106292.59</v>
      </c>
      <c r="E37" s="111">
        <v>104546.59</v>
      </c>
      <c r="F37" s="111"/>
      <c r="G37" s="111"/>
      <c r="H37" s="112"/>
      <c r="I37" s="110">
        <v>89352.59</v>
      </c>
      <c r="J37" s="111">
        <v>92942.59</v>
      </c>
      <c r="K37" s="111"/>
      <c r="L37" s="111"/>
      <c r="M37" s="112"/>
      <c r="O37" s="65">
        <v>36</v>
      </c>
      <c r="P37" s="65">
        <v>1</v>
      </c>
      <c r="Q37" s="65" t="s">
        <v>36</v>
      </c>
      <c r="R37" s="65" t="s">
        <v>36</v>
      </c>
      <c r="S37" s="65" t="s">
        <v>36</v>
      </c>
    </row>
    <row r="38" spans="1:19" ht="13.5" x14ac:dyDescent="0.25">
      <c r="A38" s="117" t="s">
        <v>2</v>
      </c>
      <c r="B38" s="117" t="s">
        <v>70</v>
      </c>
      <c r="C38" s="117" t="s">
        <v>225</v>
      </c>
      <c r="D38" s="118">
        <v>127558.53</v>
      </c>
      <c r="E38" s="119"/>
      <c r="F38" s="119"/>
      <c r="G38" s="119"/>
      <c r="H38" s="120"/>
      <c r="I38" s="118">
        <v>110141.53</v>
      </c>
      <c r="J38" s="119"/>
      <c r="K38" s="119"/>
      <c r="L38" s="119"/>
      <c r="M38" s="120"/>
      <c r="O38" s="65">
        <v>37</v>
      </c>
      <c r="P38" s="65">
        <v>1</v>
      </c>
      <c r="Q38" s="65" t="s">
        <v>37</v>
      </c>
      <c r="R38" s="65" t="s">
        <v>37</v>
      </c>
      <c r="S38" s="65" t="s">
        <v>37</v>
      </c>
    </row>
    <row r="39" spans="1:19" ht="13.5" x14ac:dyDescent="0.25">
      <c r="A39" t="s">
        <v>2</v>
      </c>
      <c r="B39" t="s">
        <v>110</v>
      </c>
      <c r="C39" t="s">
        <v>222</v>
      </c>
      <c r="D39" s="110">
        <v>1210576.51</v>
      </c>
      <c r="E39" s="111">
        <v>1136548.97</v>
      </c>
      <c r="F39" s="111">
        <v>1132742.76</v>
      </c>
      <c r="G39" s="111">
        <v>1128278.57</v>
      </c>
      <c r="H39" s="112"/>
      <c r="I39" s="110">
        <v>612529.61</v>
      </c>
      <c r="J39" s="111">
        <v>1014625.06</v>
      </c>
      <c r="K39" s="111">
        <v>1065437.9099999999</v>
      </c>
      <c r="L39" s="111">
        <v>1086808.3600000001</v>
      </c>
      <c r="M39" s="112"/>
      <c r="O39" s="65">
        <v>38</v>
      </c>
      <c r="P39" s="65">
        <v>1</v>
      </c>
      <c r="Q39" s="65" t="s">
        <v>38</v>
      </c>
      <c r="R39" s="65" t="s">
        <v>38</v>
      </c>
      <c r="S39" s="65" t="s">
        <v>38</v>
      </c>
    </row>
    <row r="40" spans="1:19" ht="13.5" x14ac:dyDescent="0.25">
      <c r="A40" s="113" t="s">
        <v>2</v>
      </c>
      <c r="B40" s="113" t="s">
        <v>110</v>
      </c>
      <c r="C40" s="113" t="s">
        <v>223</v>
      </c>
      <c r="D40" s="114">
        <v>1219555.71</v>
      </c>
      <c r="E40" s="115">
        <v>1197934.97</v>
      </c>
      <c r="F40" s="115">
        <v>1162224.76</v>
      </c>
      <c r="G40" s="115"/>
      <c r="H40" s="116"/>
      <c r="I40" s="114">
        <v>706528.52</v>
      </c>
      <c r="J40" s="115">
        <v>971903.61</v>
      </c>
      <c r="K40" s="115">
        <v>1071267.32</v>
      </c>
      <c r="L40" s="115"/>
      <c r="M40" s="116"/>
      <c r="O40" s="65">
        <v>39</v>
      </c>
      <c r="P40" s="65">
        <v>1</v>
      </c>
      <c r="Q40" s="65" t="s">
        <v>39</v>
      </c>
      <c r="R40" s="65" t="s">
        <v>39</v>
      </c>
      <c r="S40" s="65" t="s">
        <v>39</v>
      </c>
    </row>
    <row r="41" spans="1:19" ht="13.5" x14ac:dyDescent="0.25">
      <c r="A41" t="s">
        <v>2</v>
      </c>
      <c r="B41" t="s">
        <v>110</v>
      </c>
      <c r="C41" t="s">
        <v>224</v>
      </c>
      <c r="D41" s="110">
        <v>826162.57</v>
      </c>
      <c r="E41" s="111">
        <v>778149.19</v>
      </c>
      <c r="F41" s="111"/>
      <c r="G41" s="111"/>
      <c r="H41" s="112"/>
      <c r="I41" s="110">
        <v>330909.19</v>
      </c>
      <c r="J41" s="111">
        <v>617089.59</v>
      </c>
      <c r="K41" s="111"/>
      <c r="L41" s="111"/>
      <c r="M41" s="112"/>
      <c r="O41" s="65">
        <v>40</v>
      </c>
      <c r="P41" s="65">
        <v>1</v>
      </c>
      <c r="Q41" s="65" t="s">
        <v>40</v>
      </c>
      <c r="R41" s="65" t="s">
        <v>40</v>
      </c>
      <c r="S41" s="65" t="s">
        <v>40</v>
      </c>
    </row>
    <row r="42" spans="1:19" ht="14.25" thickBot="1" x14ac:dyDescent="0.3">
      <c r="A42" s="128" t="s">
        <v>2</v>
      </c>
      <c r="B42" s="128" t="s">
        <v>110</v>
      </c>
      <c r="C42" s="128" t="s">
        <v>225</v>
      </c>
      <c r="D42" s="129">
        <v>1196249.93</v>
      </c>
      <c r="E42" s="130"/>
      <c r="F42" s="130"/>
      <c r="G42" s="130"/>
      <c r="H42" s="131"/>
      <c r="I42" s="129">
        <v>567549.74</v>
      </c>
      <c r="J42" s="130"/>
      <c r="K42" s="130"/>
      <c r="L42" s="130"/>
      <c r="M42" s="131"/>
      <c r="O42" s="65">
        <v>41</v>
      </c>
      <c r="P42" s="65">
        <v>1</v>
      </c>
      <c r="Q42" s="65" t="s">
        <v>41</v>
      </c>
      <c r="R42" s="65" t="s">
        <v>41</v>
      </c>
      <c r="S42" s="65" t="s">
        <v>41</v>
      </c>
    </row>
    <row r="43" spans="1:19" ht="13.5" x14ac:dyDescent="0.25">
      <c r="A43" s="132" t="s">
        <v>3</v>
      </c>
      <c r="B43" s="132" t="s">
        <v>104</v>
      </c>
      <c r="C43" s="132" t="s">
        <v>222</v>
      </c>
      <c r="D43" s="133">
        <v>124284.38</v>
      </c>
      <c r="E43" s="134">
        <v>124284.38</v>
      </c>
      <c r="F43" s="134">
        <v>124284.38</v>
      </c>
      <c r="G43" s="134">
        <v>124284.38</v>
      </c>
      <c r="H43" s="135"/>
      <c r="I43" s="133">
        <v>3035.61</v>
      </c>
      <c r="J43" s="134">
        <v>6714.86</v>
      </c>
      <c r="K43" s="134">
        <v>7172.17</v>
      </c>
      <c r="L43" s="134">
        <v>8163.41</v>
      </c>
      <c r="M43" s="135"/>
      <c r="O43" s="65">
        <v>42</v>
      </c>
      <c r="P43" s="65">
        <v>1</v>
      </c>
      <c r="Q43" s="65" t="s">
        <v>42</v>
      </c>
      <c r="R43" s="65" t="s">
        <v>42</v>
      </c>
      <c r="S43" s="65" t="s">
        <v>42</v>
      </c>
    </row>
    <row r="44" spans="1:19" ht="13.5" x14ac:dyDescent="0.25">
      <c r="A44" s="113" t="s">
        <v>3</v>
      </c>
      <c r="B44" s="113" t="s">
        <v>104</v>
      </c>
      <c r="C44" s="113" t="s">
        <v>223</v>
      </c>
      <c r="D44" s="114">
        <v>61682.75</v>
      </c>
      <c r="E44" s="115">
        <v>61682.75</v>
      </c>
      <c r="F44" s="115">
        <v>61682.75</v>
      </c>
      <c r="G44" s="115"/>
      <c r="H44" s="116"/>
      <c r="I44" s="114">
        <v>3751.82</v>
      </c>
      <c r="J44" s="115">
        <v>5685.91</v>
      </c>
      <c r="K44" s="115">
        <v>8888.59</v>
      </c>
      <c r="L44" s="115"/>
      <c r="M44" s="116"/>
      <c r="O44" s="65">
        <v>43</v>
      </c>
      <c r="P44" s="65">
        <v>1</v>
      </c>
      <c r="Q44" s="65" t="s">
        <v>43</v>
      </c>
      <c r="R44" s="65" t="s">
        <v>43</v>
      </c>
      <c r="S44" s="65" t="s">
        <v>43</v>
      </c>
    </row>
    <row r="45" spans="1:19" ht="13.5" x14ac:dyDescent="0.25">
      <c r="A45" t="s">
        <v>3</v>
      </c>
      <c r="B45" t="s">
        <v>104</v>
      </c>
      <c r="C45" t="s">
        <v>224</v>
      </c>
      <c r="D45" s="110">
        <v>64899.74</v>
      </c>
      <c r="E45" s="111">
        <v>64899.74</v>
      </c>
      <c r="F45" s="111"/>
      <c r="G45" s="111"/>
      <c r="H45" s="112"/>
      <c r="I45" s="110">
        <v>2218.7399999999998</v>
      </c>
      <c r="J45" s="111">
        <v>3305.66</v>
      </c>
      <c r="K45" s="111"/>
      <c r="L45" s="111"/>
      <c r="M45" s="112"/>
      <c r="O45" s="65">
        <v>13</v>
      </c>
      <c r="P45" s="65">
        <v>1</v>
      </c>
      <c r="Q45" s="65" t="s">
        <v>14</v>
      </c>
      <c r="R45" s="65" t="s">
        <v>76</v>
      </c>
      <c r="S45" s="65" t="s">
        <v>76</v>
      </c>
    </row>
    <row r="46" spans="1:19" ht="13.5" x14ac:dyDescent="0.25">
      <c r="A46" s="117" t="s">
        <v>3</v>
      </c>
      <c r="B46" s="117" t="s">
        <v>104</v>
      </c>
      <c r="C46" s="117" t="s">
        <v>225</v>
      </c>
      <c r="D46" s="118">
        <v>175427.25</v>
      </c>
      <c r="E46" s="119"/>
      <c r="F46" s="119"/>
      <c r="G46" s="119"/>
      <c r="H46" s="120"/>
      <c r="I46" s="118">
        <v>1409.31</v>
      </c>
      <c r="J46" s="119"/>
      <c r="K46" s="119"/>
      <c r="L46" s="119"/>
      <c r="M46" s="120"/>
      <c r="O46" s="65">
        <v>44</v>
      </c>
      <c r="P46" s="65">
        <v>1</v>
      </c>
      <c r="Q46" s="65" t="s">
        <v>44</v>
      </c>
      <c r="R46" s="65" t="s">
        <v>44</v>
      </c>
      <c r="S46" s="65" t="s">
        <v>44</v>
      </c>
    </row>
    <row r="47" spans="1:19" ht="13.5" x14ac:dyDescent="0.25">
      <c r="A47" t="s">
        <v>3</v>
      </c>
      <c r="B47" t="s">
        <v>140</v>
      </c>
      <c r="C47" t="s">
        <v>222</v>
      </c>
      <c r="D47" s="110">
        <v>53198</v>
      </c>
      <c r="E47" s="111">
        <v>53198</v>
      </c>
      <c r="F47" s="111">
        <v>53198</v>
      </c>
      <c r="G47" s="111">
        <v>53198</v>
      </c>
      <c r="H47" s="112"/>
      <c r="I47" s="110">
        <v>0</v>
      </c>
      <c r="J47" s="111"/>
      <c r="K47" s="111"/>
      <c r="L47" s="111"/>
      <c r="M47" s="112"/>
      <c r="O47" s="65">
        <v>45</v>
      </c>
      <c r="P47" s="65">
        <v>1</v>
      </c>
      <c r="Q47" s="65" t="s">
        <v>45</v>
      </c>
      <c r="R47" s="65" t="s">
        <v>45</v>
      </c>
      <c r="S47" s="65" t="s">
        <v>45</v>
      </c>
    </row>
    <row r="48" spans="1:19" ht="13.5" x14ac:dyDescent="0.25">
      <c r="A48" s="113" t="s">
        <v>3</v>
      </c>
      <c r="B48" s="113" t="s">
        <v>140</v>
      </c>
      <c r="C48" s="113" t="s">
        <v>223</v>
      </c>
      <c r="D48" s="114">
        <v>0</v>
      </c>
      <c r="E48" s="115">
        <v>0</v>
      </c>
      <c r="F48" s="115">
        <v>0</v>
      </c>
      <c r="G48" s="115"/>
      <c r="H48" s="116"/>
      <c r="I48" s="114">
        <v>0</v>
      </c>
      <c r="J48" s="115"/>
      <c r="K48" s="115">
        <v>0</v>
      </c>
      <c r="L48" s="115"/>
      <c r="M48" s="116"/>
      <c r="O48" s="65">
        <v>46</v>
      </c>
      <c r="P48" s="65">
        <v>1</v>
      </c>
      <c r="Q48" s="65" t="s">
        <v>46</v>
      </c>
      <c r="R48" s="65" t="s">
        <v>46</v>
      </c>
      <c r="S48" s="65" t="s">
        <v>46</v>
      </c>
    </row>
    <row r="49" spans="1:19" ht="13.5" x14ac:dyDescent="0.25">
      <c r="A49" t="s">
        <v>3</v>
      </c>
      <c r="B49" t="s">
        <v>140</v>
      </c>
      <c r="C49" t="s">
        <v>224</v>
      </c>
      <c r="D49" s="110">
        <v>25</v>
      </c>
      <c r="E49" s="111">
        <v>25</v>
      </c>
      <c r="F49" s="111"/>
      <c r="G49" s="111"/>
      <c r="H49" s="112"/>
      <c r="I49" s="110"/>
      <c r="J49" s="111">
        <v>25</v>
      </c>
      <c r="K49" s="111"/>
      <c r="L49" s="111"/>
      <c r="M49" s="112"/>
      <c r="O49" s="65">
        <v>47</v>
      </c>
      <c r="P49" s="65">
        <v>1</v>
      </c>
      <c r="Q49" s="65" t="s">
        <v>47</v>
      </c>
      <c r="R49" s="65" t="s">
        <v>47</v>
      </c>
      <c r="S49" s="65" t="s">
        <v>47</v>
      </c>
    </row>
    <row r="50" spans="1:19" ht="13.5" x14ac:dyDescent="0.25">
      <c r="A50" s="117" t="s">
        <v>3</v>
      </c>
      <c r="B50" s="117" t="s">
        <v>140</v>
      </c>
      <c r="C50" s="117" t="s">
        <v>225</v>
      </c>
      <c r="D50" s="118">
        <v>106391</v>
      </c>
      <c r="E50" s="119"/>
      <c r="F50" s="119"/>
      <c r="G50" s="119"/>
      <c r="H50" s="120"/>
      <c r="I50" s="118">
        <v>0</v>
      </c>
      <c r="J50" s="119"/>
      <c r="K50" s="119"/>
      <c r="L50" s="119"/>
      <c r="M50" s="120"/>
      <c r="O50" s="65">
        <v>48</v>
      </c>
      <c r="P50" s="65">
        <v>1</v>
      </c>
      <c r="Q50" s="65" t="s">
        <v>48</v>
      </c>
      <c r="R50" s="65" t="s">
        <v>48</v>
      </c>
      <c r="S50" s="65" t="s">
        <v>48</v>
      </c>
    </row>
    <row r="51" spans="1:19" ht="13.5" x14ac:dyDescent="0.25">
      <c r="A51" t="s">
        <v>3</v>
      </c>
      <c r="B51" t="s">
        <v>105</v>
      </c>
      <c r="C51" t="s">
        <v>222</v>
      </c>
      <c r="D51" s="110">
        <v>35024</v>
      </c>
      <c r="E51" s="111">
        <v>34922</v>
      </c>
      <c r="F51" s="111">
        <v>34922</v>
      </c>
      <c r="G51" s="111">
        <v>34922</v>
      </c>
      <c r="H51" s="112"/>
      <c r="I51" s="110">
        <v>4631.5</v>
      </c>
      <c r="J51" s="111">
        <v>8000.5</v>
      </c>
      <c r="K51" s="111">
        <v>11504.5</v>
      </c>
      <c r="L51" s="111">
        <v>12559.5</v>
      </c>
      <c r="M51" s="112"/>
      <c r="O51" s="65">
        <v>49</v>
      </c>
      <c r="P51" s="65">
        <v>1</v>
      </c>
      <c r="Q51" s="65" t="s">
        <v>49</v>
      </c>
      <c r="R51" s="65" t="s">
        <v>49</v>
      </c>
      <c r="S51" s="65" t="s">
        <v>49</v>
      </c>
    </row>
    <row r="52" spans="1:19" ht="13.5" x14ac:dyDescent="0.25">
      <c r="A52" s="113" t="s">
        <v>3</v>
      </c>
      <c r="B52" s="113" t="s">
        <v>105</v>
      </c>
      <c r="C52" s="113" t="s">
        <v>223</v>
      </c>
      <c r="D52" s="114">
        <v>58553</v>
      </c>
      <c r="E52" s="115">
        <v>57586</v>
      </c>
      <c r="F52" s="115">
        <v>57586</v>
      </c>
      <c r="G52" s="115"/>
      <c r="H52" s="116"/>
      <c r="I52" s="114">
        <v>8708</v>
      </c>
      <c r="J52" s="115">
        <v>13060.25</v>
      </c>
      <c r="K52" s="115">
        <v>17288</v>
      </c>
      <c r="L52" s="115"/>
      <c r="M52" s="116"/>
      <c r="O52" s="65">
        <v>50</v>
      </c>
      <c r="P52" s="65">
        <v>1</v>
      </c>
      <c r="Q52" s="65" t="s">
        <v>50</v>
      </c>
      <c r="R52" s="65" t="s">
        <v>50</v>
      </c>
      <c r="S52" s="65" t="s">
        <v>50</v>
      </c>
    </row>
    <row r="53" spans="1:19" ht="13.5" x14ac:dyDescent="0.25">
      <c r="A53" t="s">
        <v>3</v>
      </c>
      <c r="B53" t="s">
        <v>105</v>
      </c>
      <c r="C53" t="s">
        <v>224</v>
      </c>
      <c r="D53" s="110">
        <v>10155</v>
      </c>
      <c r="E53" s="111">
        <v>10155</v>
      </c>
      <c r="F53" s="111"/>
      <c r="G53" s="111"/>
      <c r="H53" s="112"/>
      <c r="I53" s="110">
        <v>2417</v>
      </c>
      <c r="J53" s="111">
        <v>2830</v>
      </c>
      <c r="K53" s="111"/>
      <c r="L53" s="111"/>
      <c r="M53" s="112"/>
      <c r="O53" s="65">
        <v>51</v>
      </c>
      <c r="P53" s="65">
        <v>1</v>
      </c>
      <c r="Q53" s="65" t="s">
        <v>51</v>
      </c>
      <c r="R53" s="65" t="s">
        <v>51</v>
      </c>
      <c r="S53" s="65" t="s">
        <v>51</v>
      </c>
    </row>
    <row r="54" spans="1:19" ht="13.5" x14ac:dyDescent="0.25">
      <c r="A54" s="117" t="s">
        <v>3</v>
      </c>
      <c r="B54" s="117" t="s">
        <v>105</v>
      </c>
      <c r="C54" s="117" t="s">
        <v>225</v>
      </c>
      <c r="D54" s="118">
        <v>25382</v>
      </c>
      <c r="E54" s="119"/>
      <c r="F54" s="119"/>
      <c r="G54" s="119"/>
      <c r="H54" s="120"/>
      <c r="I54" s="118">
        <v>4221</v>
      </c>
      <c r="J54" s="119"/>
      <c r="K54" s="119"/>
      <c r="L54" s="119"/>
      <c r="M54" s="120"/>
      <c r="O54" s="65">
        <v>52</v>
      </c>
      <c r="P54" s="65">
        <v>1</v>
      </c>
      <c r="Q54" s="65" t="s">
        <v>52</v>
      </c>
      <c r="R54" s="65" t="s">
        <v>52</v>
      </c>
      <c r="S54" s="65" t="s">
        <v>52</v>
      </c>
    </row>
    <row r="55" spans="1:19" ht="13.5" x14ac:dyDescent="0.25">
      <c r="A55" t="s">
        <v>3</v>
      </c>
      <c r="B55" t="s">
        <v>111</v>
      </c>
      <c r="C55" t="s">
        <v>222</v>
      </c>
      <c r="D55" s="110">
        <v>1645.5</v>
      </c>
      <c r="E55" s="111">
        <v>1645.5</v>
      </c>
      <c r="F55" s="111">
        <v>1645.5</v>
      </c>
      <c r="G55" s="111">
        <v>1645.5</v>
      </c>
      <c r="H55" s="112"/>
      <c r="I55" s="110">
        <v>10.5</v>
      </c>
      <c r="J55" s="111">
        <v>10.5</v>
      </c>
      <c r="K55" s="111">
        <v>10.5</v>
      </c>
      <c r="L55" s="111">
        <v>10.5</v>
      </c>
      <c r="M55" s="112"/>
      <c r="O55" s="65">
        <v>53</v>
      </c>
      <c r="P55" s="65">
        <v>1</v>
      </c>
      <c r="Q55" s="65" t="s">
        <v>53</v>
      </c>
      <c r="R55" s="65" t="s">
        <v>53</v>
      </c>
      <c r="S55" s="65" t="s">
        <v>53</v>
      </c>
    </row>
    <row r="56" spans="1:19" ht="13.5" x14ac:dyDescent="0.25">
      <c r="A56" s="113" t="s">
        <v>3</v>
      </c>
      <c r="B56" s="113" t="s">
        <v>111</v>
      </c>
      <c r="C56" s="113" t="s">
        <v>223</v>
      </c>
      <c r="D56" s="114">
        <v>809.5</v>
      </c>
      <c r="E56" s="115">
        <v>809.5</v>
      </c>
      <c r="F56" s="115">
        <v>809.5</v>
      </c>
      <c r="G56" s="115"/>
      <c r="H56" s="116"/>
      <c r="I56" s="114">
        <v>60.5</v>
      </c>
      <c r="J56" s="115">
        <v>60.5</v>
      </c>
      <c r="K56" s="115">
        <v>260.5</v>
      </c>
      <c r="L56" s="115"/>
      <c r="M56" s="116"/>
      <c r="O56" s="65">
        <v>54</v>
      </c>
      <c r="P56" s="65">
        <v>1</v>
      </c>
      <c r="Q56" s="65" t="s">
        <v>54</v>
      </c>
      <c r="R56" s="65" t="s">
        <v>54</v>
      </c>
      <c r="S56" s="65" t="s">
        <v>54</v>
      </c>
    </row>
    <row r="57" spans="1:19" ht="13.5" x14ac:dyDescent="0.25">
      <c r="A57" t="s">
        <v>3</v>
      </c>
      <c r="B57" t="s">
        <v>111</v>
      </c>
      <c r="C57" t="s">
        <v>224</v>
      </c>
      <c r="D57" s="110">
        <v>0</v>
      </c>
      <c r="E57" s="111">
        <v>0</v>
      </c>
      <c r="F57" s="111"/>
      <c r="G57" s="111"/>
      <c r="H57" s="112"/>
      <c r="I57" s="110">
        <v>0</v>
      </c>
      <c r="J57" s="111">
        <v>0</v>
      </c>
      <c r="K57" s="111"/>
      <c r="L57" s="111"/>
      <c r="M57" s="112"/>
      <c r="O57" s="65">
        <v>58</v>
      </c>
      <c r="P57" s="65">
        <v>1</v>
      </c>
      <c r="Q57" s="65" t="s">
        <v>58</v>
      </c>
      <c r="R57" s="65" t="s">
        <v>77</v>
      </c>
      <c r="S57" s="65" t="s">
        <v>77</v>
      </c>
    </row>
    <row r="58" spans="1:19" ht="13.5" x14ac:dyDescent="0.25">
      <c r="A58" s="117" t="s">
        <v>3</v>
      </c>
      <c r="B58" s="117" t="s">
        <v>111</v>
      </c>
      <c r="C58" s="117" t="s">
        <v>225</v>
      </c>
      <c r="D58" s="118">
        <v>7</v>
      </c>
      <c r="E58" s="119"/>
      <c r="F58" s="119"/>
      <c r="G58" s="119"/>
      <c r="H58" s="120"/>
      <c r="I58" s="118">
        <v>7</v>
      </c>
      <c r="J58" s="119"/>
      <c r="K58" s="119"/>
      <c r="L58" s="119"/>
      <c r="M58" s="120"/>
      <c r="O58" s="65">
        <v>59</v>
      </c>
      <c r="P58" s="65">
        <v>1</v>
      </c>
      <c r="Q58" s="65" t="s">
        <v>59</v>
      </c>
      <c r="R58" s="65" t="s">
        <v>78</v>
      </c>
      <c r="S58" s="65" t="s">
        <v>78</v>
      </c>
    </row>
    <row r="59" spans="1:19" ht="13.5" x14ac:dyDescent="0.25">
      <c r="A59" t="s">
        <v>3</v>
      </c>
      <c r="B59" t="s">
        <v>109</v>
      </c>
      <c r="C59" t="s">
        <v>222</v>
      </c>
      <c r="D59" s="110">
        <v>42963.5</v>
      </c>
      <c r="E59" s="111">
        <v>41913.5</v>
      </c>
      <c r="F59" s="111">
        <v>41913.5</v>
      </c>
      <c r="G59" s="111">
        <v>41913.5</v>
      </c>
      <c r="H59" s="112"/>
      <c r="I59" s="110">
        <v>10760.5</v>
      </c>
      <c r="J59" s="111">
        <v>20678.740000000002</v>
      </c>
      <c r="K59" s="111">
        <v>24364.32</v>
      </c>
      <c r="L59" s="111">
        <v>25896.06</v>
      </c>
      <c r="M59" s="112"/>
      <c r="O59" s="65">
        <v>55</v>
      </c>
      <c r="P59" s="65">
        <v>1</v>
      </c>
      <c r="Q59" s="65" t="s">
        <v>55</v>
      </c>
      <c r="R59" s="65" t="s">
        <v>55</v>
      </c>
      <c r="S59" s="65" t="s">
        <v>55</v>
      </c>
    </row>
    <row r="60" spans="1:19" ht="13.5" x14ac:dyDescent="0.25">
      <c r="A60" s="113" t="s">
        <v>3</v>
      </c>
      <c r="B60" s="113" t="s">
        <v>109</v>
      </c>
      <c r="C60" s="113" t="s">
        <v>223</v>
      </c>
      <c r="D60" s="114">
        <v>32429.5</v>
      </c>
      <c r="E60" s="115">
        <v>32429.5</v>
      </c>
      <c r="F60" s="115">
        <v>32429.5</v>
      </c>
      <c r="G60" s="115"/>
      <c r="H60" s="116"/>
      <c r="I60" s="114">
        <v>9138.5</v>
      </c>
      <c r="J60" s="115">
        <v>16844.5</v>
      </c>
      <c r="K60" s="115">
        <v>21206.5</v>
      </c>
      <c r="L60" s="115"/>
      <c r="M60" s="116"/>
      <c r="O60" s="65">
        <v>56</v>
      </c>
      <c r="P60" s="65">
        <v>1</v>
      </c>
      <c r="Q60" s="65" t="s">
        <v>56</v>
      </c>
      <c r="R60" s="65" t="s">
        <v>56</v>
      </c>
      <c r="S60" s="65" t="s">
        <v>56</v>
      </c>
    </row>
    <row r="61" spans="1:19" ht="13.5" x14ac:dyDescent="0.25">
      <c r="A61" t="s">
        <v>3</v>
      </c>
      <c r="B61" t="s">
        <v>109</v>
      </c>
      <c r="C61" t="s">
        <v>224</v>
      </c>
      <c r="D61" s="110">
        <v>13992</v>
      </c>
      <c r="E61" s="111">
        <v>13992</v>
      </c>
      <c r="F61" s="111"/>
      <c r="G61" s="111"/>
      <c r="H61" s="112"/>
      <c r="I61" s="110">
        <v>4266</v>
      </c>
      <c r="J61" s="111">
        <v>5241</v>
      </c>
      <c r="K61" s="111"/>
      <c r="L61" s="111"/>
      <c r="M61" s="112"/>
      <c r="O61" s="65">
        <v>57</v>
      </c>
      <c r="P61" s="65">
        <v>1</v>
      </c>
      <c r="Q61" s="65" t="s">
        <v>57</v>
      </c>
      <c r="R61" s="65" t="s">
        <v>57</v>
      </c>
      <c r="S61" s="65" t="s">
        <v>57</v>
      </c>
    </row>
    <row r="62" spans="1:19" ht="13.5" x14ac:dyDescent="0.25">
      <c r="A62" s="117" t="s">
        <v>3</v>
      </c>
      <c r="B62" s="117" t="s">
        <v>109</v>
      </c>
      <c r="C62" s="117" t="s">
        <v>225</v>
      </c>
      <c r="D62" s="118">
        <v>25023</v>
      </c>
      <c r="E62" s="119"/>
      <c r="F62" s="119"/>
      <c r="G62" s="119"/>
      <c r="H62" s="120"/>
      <c r="I62" s="118">
        <v>7395.5</v>
      </c>
      <c r="J62" s="119"/>
      <c r="K62" s="119"/>
      <c r="L62" s="119"/>
      <c r="M62" s="120"/>
      <c r="O62" s="65">
        <v>60</v>
      </c>
      <c r="P62" s="65">
        <v>1</v>
      </c>
      <c r="Q62" s="65" t="s">
        <v>60</v>
      </c>
      <c r="R62" s="65" t="s">
        <v>60</v>
      </c>
      <c r="S62" s="65" t="s">
        <v>60</v>
      </c>
    </row>
    <row r="63" spans="1:19" ht="13.5" x14ac:dyDescent="0.25">
      <c r="A63" t="s">
        <v>3</v>
      </c>
      <c r="B63" t="s">
        <v>106</v>
      </c>
      <c r="C63" t="s">
        <v>222</v>
      </c>
      <c r="D63" s="110">
        <v>32480.63</v>
      </c>
      <c r="E63" s="111">
        <v>32480.63</v>
      </c>
      <c r="F63" s="111">
        <v>32480.63</v>
      </c>
      <c r="G63" s="111">
        <v>32480.63</v>
      </c>
      <c r="H63" s="112"/>
      <c r="I63" s="110">
        <v>32480.63</v>
      </c>
      <c r="J63" s="111">
        <v>32480.63</v>
      </c>
      <c r="K63" s="111">
        <v>32480.63</v>
      </c>
      <c r="L63" s="111">
        <v>32480.63</v>
      </c>
      <c r="M63" s="112"/>
      <c r="O63" s="65">
        <v>61</v>
      </c>
      <c r="P63" s="65">
        <v>1</v>
      </c>
      <c r="Q63" s="65" t="s">
        <v>61</v>
      </c>
      <c r="R63" s="65" t="s">
        <v>61</v>
      </c>
      <c r="S63" s="65" t="s">
        <v>61</v>
      </c>
    </row>
    <row r="64" spans="1:19" ht="13.5" x14ac:dyDescent="0.25">
      <c r="A64" s="113" t="s">
        <v>3</v>
      </c>
      <c r="B64" s="113" t="s">
        <v>106</v>
      </c>
      <c r="C64" s="113" t="s">
        <v>223</v>
      </c>
      <c r="D64" s="114">
        <v>18401</v>
      </c>
      <c r="E64" s="115">
        <v>18401</v>
      </c>
      <c r="F64" s="115">
        <v>18401</v>
      </c>
      <c r="G64" s="115"/>
      <c r="H64" s="116"/>
      <c r="I64" s="114">
        <v>17576</v>
      </c>
      <c r="J64" s="115">
        <v>17976</v>
      </c>
      <c r="K64" s="115">
        <v>17976</v>
      </c>
      <c r="L64" s="115"/>
      <c r="M64" s="116"/>
      <c r="O64" s="65">
        <v>62</v>
      </c>
      <c r="P64" s="65">
        <v>1</v>
      </c>
      <c r="Q64" s="65" t="s">
        <v>62</v>
      </c>
      <c r="R64" s="65" t="s">
        <v>62</v>
      </c>
      <c r="S64" s="65" t="s">
        <v>62</v>
      </c>
    </row>
    <row r="65" spans="1:19" ht="13.5" x14ac:dyDescent="0.25">
      <c r="A65" t="s">
        <v>3</v>
      </c>
      <c r="B65" t="s">
        <v>106</v>
      </c>
      <c r="C65" t="s">
        <v>224</v>
      </c>
      <c r="D65" s="110">
        <v>9603.5</v>
      </c>
      <c r="E65" s="111">
        <v>9603.5</v>
      </c>
      <c r="F65" s="111"/>
      <c r="G65" s="111"/>
      <c r="H65" s="112"/>
      <c r="I65" s="110">
        <v>9603.5</v>
      </c>
      <c r="J65" s="111">
        <v>9603.5</v>
      </c>
      <c r="K65" s="111"/>
      <c r="L65" s="111"/>
      <c r="M65" s="112"/>
      <c r="O65" s="65">
        <v>63</v>
      </c>
      <c r="P65" s="65">
        <v>1</v>
      </c>
      <c r="Q65" s="65" t="s">
        <v>63</v>
      </c>
      <c r="R65" s="65" t="s">
        <v>63</v>
      </c>
      <c r="S65" s="65" t="s">
        <v>63</v>
      </c>
    </row>
    <row r="66" spans="1:19" ht="13.5" x14ac:dyDescent="0.25">
      <c r="A66" s="117" t="s">
        <v>3</v>
      </c>
      <c r="B66" s="117" t="s">
        <v>106</v>
      </c>
      <c r="C66" s="117" t="s">
        <v>225</v>
      </c>
      <c r="D66" s="118">
        <v>11203.5</v>
      </c>
      <c r="E66" s="119"/>
      <c r="F66" s="119"/>
      <c r="G66" s="119"/>
      <c r="H66" s="120"/>
      <c r="I66" s="118">
        <v>11203.5</v>
      </c>
      <c r="J66" s="119"/>
      <c r="K66" s="119"/>
      <c r="L66" s="119"/>
      <c r="M66" s="120"/>
      <c r="O66" s="65">
        <v>64</v>
      </c>
      <c r="P66" s="65">
        <v>1</v>
      </c>
      <c r="Q66" s="65" t="s">
        <v>64</v>
      </c>
      <c r="R66" s="65" t="s">
        <v>64</v>
      </c>
      <c r="S66" s="65" t="s">
        <v>64</v>
      </c>
    </row>
    <row r="67" spans="1:19" ht="13.5" x14ac:dyDescent="0.25">
      <c r="A67" t="s">
        <v>3</v>
      </c>
      <c r="B67" t="s">
        <v>107</v>
      </c>
      <c r="C67" t="s">
        <v>222</v>
      </c>
      <c r="D67" s="110">
        <v>29797.5</v>
      </c>
      <c r="E67" s="111">
        <v>29797.5</v>
      </c>
      <c r="F67" s="111">
        <v>29797.5</v>
      </c>
      <c r="G67" s="111">
        <v>29797.5</v>
      </c>
      <c r="H67" s="112"/>
      <c r="I67" s="110">
        <v>29665</v>
      </c>
      <c r="J67" s="111">
        <v>29750</v>
      </c>
      <c r="K67" s="111">
        <v>29750</v>
      </c>
      <c r="L67" s="111">
        <v>29750</v>
      </c>
      <c r="M67" s="112"/>
      <c r="O67" s="65">
        <v>65</v>
      </c>
      <c r="P67" s="65">
        <v>1</v>
      </c>
      <c r="Q67" s="65" t="s">
        <v>65</v>
      </c>
      <c r="R67" s="65" t="s">
        <v>65</v>
      </c>
      <c r="S67" s="65" t="s">
        <v>65</v>
      </c>
    </row>
    <row r="68" spans="1:19" ht="13.5" x14ac:dyDescent="0.25">
      <c r="A68" s="113" t="s">
        <v>3</v>
      </c>
      <c r="B68" s="113" t="s">
        <v>107</v>
      </c>
      <c r="C68" s="113" t="s">
        <v>223</v>
      </c>
      <c r="D68" s="114">
        <v>32730</v>
      </c>
      <c r="E68" s="115">
        <v>32730</v>
      </c>
      <c r="F68" s="115">
        <v>32730</v>
      </c>
      <c r="G68" s="115"/>
      <c r="H68" s="116"/>
      <c r="I68" s="114">
        <v>32730</v>
      </c>
      <c r="J68" s="115">
        <v>32730</v>
      </c>
      <c r="K68" s="115">
        <v>32730</v>
      </c>
      <c r="L68" s="115"/>
      <c r="M68" s="116"/>
      <c r="O68" s="65">
        <v>66</v>
      </c>
      <c r="P68" s="65">
        <v>1</v>
      </c>
      <c r="Q68" s="65" t="s">
        <v>66</v>
      </c>
      <c r="R68" s="65" t="s">
        <v>66</v>
      </c>
      <c r="S68" s="65" t="s">
        <v>66</v>
      </c>
    </row>
    <row r="69" spans="1:19" ht="13.5" x14ac:dyDescent="0.25">
      <c r="A69" t="s">
        <v>3</v>
      </c>
      <c r="B69" t="s">
        <v>107</v>
      </c>
      <c r="C69" t="s">
        <v>224</v>
      </c>
      <c r="D69" s="110">
        <v>18910</v>
      </c>
      <c r="E69" s="111">
        <v>18910</v>
      </c>
      <c r="F69" s="111"/>
      <c r="G69" s="111"/>
      <c r="H69" s="112"/>
      <c r="I69" s="110">
        <v>18910</v>
      </c>
      <c r="J69" s="111">
        <v>18910</v>
      </c>
      <c r="K69" s="111"/>
      <c r="L69" s="111"/>
      <c r="M69" s="112"/>
      <c r="O69" s="65">
        <v>67</v>
      </c>
      <c r="P69" s="65">
        <v>1</v>
      </c>
      <c r="Q69" s="65" t="s">
        <v>67</v>
      </c>
      <c r="R69" s="65" t="s">
        <v>67</v>
      </c>
      <c r="S69" s="65" t="s">
        <v>67</v>
      </c>
    </row>
    <row r="70" spans="1:19" x14ac:dyDescent="0.2">
      <c r="A70" s="117" t="s">
        <v>3</v>
      </c>
      <c r="B70" s="117" t="s">
        <v>107</v>
      </c>
      <c r="C70" s="117" t="s">
        <v>225</v>
      </c>
      <c r="D70" s="118">
        <v>24074</v>
      </c>
      <c r="E70" s="119"/>
      <c r="F70" s="119"/>
      <c r="G70" s="119"/>
      <c r="H70" s="120"/>
      <c r="I70" s="118">
        <v>23694</v>
      </c>
      <c r="J70" s="119"/>
      <c r="K70" s="119"/>
      <c r="L70" s="119"/>
      <c r="M70" s="120"/>
    </row>
    <row r="71" spans="1:19" x14ac:dyDescent="0.2">
      <c r="A71" s="124" t="s">
        <v>3</v>
      </c>
      <c r="B71" s="124" t="s">
        <v>108</v>
      </c>
      <c r="C71" s="124" t="s">
        <v>222</v>
      </c>
      <c r="D71" s="125">
        <v>5382</v>
      </c>
      <c r="E71" s="126">
        <v>5382</v>
      </c>
      <c r="F71" s="126">
        <v>5382</v>
      </c>
      <c r="G71" s="126">
        <v>5382</v>
      </c>
      <c r="H71" s="127"/>
      <c r="I71" s="125">
        <v>5382</v>
      </c>
      <c r="J71" s="126">
        <v>5382</v>
      </c>
      <c r="K71" s="126">
        <v>5382</v>
      </c>
      <c r="L71" s="126">
        <v>5382</v>
      </c>
      <c r="M71" s="127"/>
    </row>
    <row r="72" spans="1:19" x14ac:dyDescent="0.2">
      <c r="A72" s="113" t="s">
        <v>3</v>
      </c>
      <c r="B72" s="113" t="s">
        <v>108</v>
      </c>
      <c r="C72" s="113" t="s">
        <v>223</v>
      </c>
      <c r="D72" s="114">
        <v>8624</v>
      </c>
      <c r="E72" s="115">
        <v>8624</v>
      </c>
      <c r="F72" s="115">
        <v>8624</v>
      </c>
      <c r="G72" s="115"/>
      <c r="H72" s="116"/>
      <c r="I72" s="114">
        <v>8624</v>
      </c>
      <c r="J72" s="115">
        <v>8624</v>
      </c>
      <c r="K72" s="115">
        <v>8624</v>
      </c>
      <c r="L72" s="115"/>
      <c r="M72" s="116"/>
    </row>
    <row r="73" spans="1:19" x14ac:dyDescent="0.2">
      <c r="A73" t="s">
        <v>3</v>
      </c>
      <c r="B73" t="s">
        <v>108</v>
      </c>
      <c r="C73" t="s">
        <v>224</v>
      </c>
      <c r="D73" s="110">
        <v>3926</v>
      </c>
      <c r="E73" s="111">
        <v>3926</v>
      </c>
      <c r="F73" s="111"/>
      <c r="G73" s="111"/>
      <c r="H73" s="112"/>
      <c r="I73" s="110">
        <v>3926</v>
      </c>
      <c r="J73" s="111">
        <v>3926</v>
      </c>
      <c r="K73" s="111"/>
      <c r="L73" s="111"/>
      <c r="M73" s="112"/>
    </row>
    <row r="74" spans="1:19" x14ac:dyDescent="0.2">
      <c r="A74" s="117" t="s">
        <v>3</v>
      </c>
      <c r="B74" s="117" t="s">
        <v>108</v>
      </c>
      <c r="C74" s="117" t="s">
        <v>225</v>
      </c>
      <c r="D74" s="118">
        <v>4442</v>
      </c>
      <c r="E74" s="119"/>
      <c r="F74" s="119"/>
      <c r="G74" s="119"/>
      <c r="H74" s="120"/>
      <c r="I74" s="118">
        <v>4442</v>
      </c>
      <c r="J74" s="119"/>
      <c r="K74" s="119"/>
      <c r="L74" s="119"/>
      <c r="M74" s="120"/>
    </row>
    <row r="75" spans="1:19" x14ac:dyDescent="0.2">
      <c r="A75" t="s">
        <v>3</v>
      </c>
      <c r="B75" t="s">
        <v>70</v>
      </c>
      <c r="C75" t="s">
        <v>222</v>
      </c>
      <c r="D75" s="110">
        <v>15626</v>
      </c>
      <c r="E75" s="111">
        <v>15626</v>
      </c>
      <c r="F75" s="111">
        <v>15626</v>
      </c>
      <c r="G75" s="111">
        <v>15626</v>
      </c>
      <c r="H75" s="112"/>
      <c r="I75" s="110">
        <v>15556</v>
      </c>
      <c r="J75" s="111">
        <v>15556</v>
      </c>
      <c r="K75" s="111">
        <v>15556</v>
      </c>
      <c r="L75" s="111">
        <v>15556</v>
      </c>
      <c r="M75" s="112"/>
    </row>
    <row r="76" spans="1:19" x14ac:dyDescent="0.2">
      <c r="A76" s="113" t="s">
        <v>3</v>
      </c>
      <c r="B76" s="113" t="s">
        <v>70</v>
      </c>
      <c r="C76" s="113" t="s">
        <v>223</v>
      </c>
      <c r="D76" s="114">
        <v>23978</v>
      </c>
      <c r="E76" s="115">
        <v>23978</v>
      </c>
      <c r="F76" s="115">
        <v>23978</v>
      </c>
      <c r="G76" s="115"/>
      <c r="H76" s="116"/>
      <c r="I76" s="114">
        <v>23017</v>
      </c>
      <c r="J76" s="115">
        <v>23017</v>
      </c>
      <c r="K76" s="115">
        <v>23017</v>
      </c>
      <c r="L76" s="115"/>
      <c r="M76" s="116"/>
    </row>
    <row r="77" spans="1:19" x14ac:dyDescent="0.2">
      <c r="A77" t="s">
        <v>3</v>
      </c>
      <c r="B77" t="s">
        <v>70</v>
      </c>
      <c r="C77" t="s">
        <v>224</v>
      </c>
      <c r="D77" s="110">
        <v>16138</v>
      </c>
      <c r="E77" s="111">
        <v>16138</v>
      </c>
      <c r="F77" s="111"/>
      <c r="G77" s="111"/>
      <c r="H77" s="112"/>
      <c r="I77" s="110">
        <v>16128</v>
      </c>
      <c r="J77" s="111">
        <v>16128</v>
      </c>
      <c r="K77" s="111"/>
      <c r="L77" s="111"/>
      <c r="M77" s="112"/>
    </row>
    <row r="78" spans="1:19" x14ac:dyDescent="0.2">
      <c r="A78" s="117" t="s">
        <v>3</v>
      </c>
      <c r="B78" s="117" t="s">
        <v>70</v>
      </c>
      <c r="C78" s="117" t="s">
        <v>225</v>
      </c>
      <c r="D78" s="118">
        <v>13066</v>
      </c>
      <c r="E78" s="119"/>
      <c r="F78" s="119"/>
      <c r="G78" s="119"/>
      <c r="H78" s="120"/>
      <c r="I78" s="118">
        <v>12637</v>
      </c>
      <c r="J78" s="119"/>
      <c r="K78" s="119"/>
      <c r="L78" s="119"/>
      <c r="M78" s="120"/>
    </row>
    <row r="79" spans="1:19" x14ac:dyDescent="0.2">
      <c r="A79" t="s">
        <v>3</v>
      </c>
      <c r="B79" t="s">
        <v>110</v>
      </c>
      <c r="C79" t="s">
        <v>222</v>
      </c>
      <c r="D79" s="110">
        <v>71193.149999999994</v>
      </c>
      <c r="E79" s="111">
        <v>68342.45</v>
      </c>
      <c r="F79" s="111">
        <v>67565.45</v>
      </c>
      <c r="G79" s="111">
        <v>67565.45</v>
      </c>
      <c r="H79" s="112"/>
      <c r="I79" s="110">
        <v>11973.65</v>
      </c>
      <c r="J79" s="111">
        <v>41503.699999999997</v>
      </c>
      <c r="K79" s="111">
        <v>47847.7</v>
      </c>
      <c r="L79" s="111">
        <v>50694.7</v>
      </c>
      <c r="M79" s="112"/>
    </row>
    <row r="80" spans="1:19" x14ac:dyDescent="0.2">
      <c r="A80" s="113" t="s">
        <v>3</v>
      </c>
      <c r="B80" s="113" t="s">
        <v>110</v>
      </c>
      <c r="C80" s="113" t="s">
        <v>223</v>
      </c>
      <c r="D80" s="114">
        <v>69664.87</v>
      </c>
      <c r="E80" s="115">
        <v>64792.98</v>
      </c>
      <c r="F80" s="115">
        <v>63660.98</v>
      </c>
      <c r="G80" s="115"/>
      <c r="H80" s="116"/>
      <c r="I80" s="114">
        <v>14070.37</v>
      </c>
      <c r="J80" s="115">
        <v>37593.480000000003</v>
      </c>
      <c r="K80" s="115">
        <v>38766.480000000003</v>
      </c>
      <c r="L80" s="115"/>
      <c r="M80" s="116"/>
    </row>
    <row r="81" spans="1:13" x14ac:dyDescent="0.2">
      <c r="A81" t="s">
        <v>3</v>
      </c>
      <c r="B81" t="s">
        <v>110</v>
      </c>
      <c r="C81" t="s">
        <v>224</v>
      </c>
      <c r="D81" s="110">
        <v>30160.61</v>
      </c>
      <c r="E81" s="111">
        <v>30160.61</v>
      </c>
      <c r="F81" s="111"/>
      <c r="G81" s="111"/>
      <c r="H81" s="112"/>
      <c r="I81" s="110">
        <v>7343.61</v>
      </c>
      <c r="J81" s="111">
        <v>16727.23</v>
      </c>
      <c r="K81" s="111"/>
      <c r="L81" s="111"/>
      <c r="M81" s="112"/>
    </row>
    <row r="82" spans="1:13" ht="13.5" thickBot="1" x14ac:dyDescent="0.25">
      <c r="A82" s="128" t="s">
        <v>3</v>
      </c>
      <c r="B82" s="128" t="s">
        <v>110</v>
      </c>
      <c r="C82" s="128" t="s">
        <v>225</v>
      </c>
      <c r="D82" s="129">
        <v>55122.45</v>
      </c>
      <c r="E82" s="130"/>
      <c r="F82" s="130"/>
      <c r="G82" s="130"/>
      <c r="H82" s="131"/>
      <c r="I82" s="129">
        <v>9352</v>
      </c>
      <c r="J82" s="130"/>
      <c r="K82" s="130"/>
      <c r="L82" s="130"/>
      <c r="M82" s="131"/>
    </row>
    <row r="83" spans="1:13" x14ac:dyDescent="0.2">
      <c r="A83" s="132" t="s">
        <v>4</v>
      </c>
      <c r="B83" s="132" t="s">
        <v>104</v>
      </c>
      <c r="C83" s="132" t="s">
        <v>222</v>
      </c>
      <c r="D83" s="133">
        <v>1494883.36</v>
      </c>
      <c r="E83" s="134">
        <v>1494131.36</v>
      </c>
      <c r="F83" s="134">
        <v>1494181.36</v>
      </c>
      <c r="G83" s="134">
        <v>1494406.36</v>
      </c>
      <c r="H83" s="135"/>
      <c r="I83" s="133">
        <v>29552.06</v>
      </c>
      <c r="J83" s="134">
        <v>49450.239999999998</v>
      </c>
      <c r="K83" s="134">
        <v>62021.31</v>
      </c>
      <c r="L83" s="134">
        <v>75345.7</v>
      </c>
      <c r="M83" s="135"/>
    </row>
    <row r="84" spans="1:13" x14ac:dyDescent="0.2">
      <c r="A84" s="113" t="s">
        <v>4</v>
      </c>
      <c r="B84" s="113" t="s">
        <v>104</v>
      </c>
      <c r="C84" s="113" t="s">
        <v>223</v>
      </c>
      <c r="D84" s="114">
        <v>1983684.49</v>
      </c>
      <c r="E84" s="115">
        <v>1984198.49</v>
      </c>
      <c r="F84" s="115">
        <v>1983613.49</v>
      </c>
      <c r="G84" s="115"/>
      <c r="H84" s="116"/>
      <c r="I84" s="114">
        <v>39828.14</v>
      </c>
      <c r="J84" s="115">
        <v>51565.95</v>
      </c>
      <c r="K84" s="115">
        <v>67144.070000000007</v>
      </c>
      <c r="L84" s="115"/>
      <c r="M84" s="116"/>
    </row>
    <row r="85" spans="1:13" x14ac:dyDescent="0.2">
      <c r="A85" t="s">
        <v>4</v>
      </c>
      <c r="B85" t="s">
        <v>104</v>
      </c>
      <c r="C85" t="s">
        <v>224</v>
      </c>
      <c r="D85" s="110">
        <v>352458.75</v>
      </c>
      <c r="E85" s="111">
        <v>353506.75</v>
      </c>
      <c r="F85" s="111"/>
      <c r="G85" s="111"/>
      <c r="H85" s="112"/>
      <c r="I85" s="110">
        <v>9866.7900000000009</v>
      </c>
      <c r="J85" s="111">
        <v>18204.53</v>
      </c>
      <c r="K85" s="111"/>
      <c r="L85" s="111"/>
      <c r="M85" s="112"/>
    </row>
    <row r="86" spans="1:13" x14ac:dyDescent="0.2">
      <c r="A86" s="117" t="s">
        <v>4</v>
      </c>
      <c r="B86" s="117" t="s">
        <v>104</v>
      </c>
      <c r="C86" s="117" t="s">
        <v>225</v>
      </c>
      <c r="D86" s="118">
        <v>712316.9</v>
      </c>
      <c r="E86" s="119"/>
      <c r="F86" s="119"/>
      <c r="G86" s="119"/>
      <c r="H86" s="120"/>
      <c r="I86" s="118">
        <v>16117.06</v>
      </c>
      <c r="J86" s="119"/>
      <c r="K86" s="119"/>
      <c r="L86" s="119"/>
      <c r="M86" s="120"/>
    </row>
    <row r="87" spans="1:13" x14ac:dyDescent="0.2">
      <c r="A87" t="s">
        <v>4</v>
      </c>
      <c r="B87" t="s">
        <v>140</v>
      </c>
      <c r="C87" t="s">
        <v>222</v>
      </c>
      <c r="D87" s="110">
        <v>506535</v>
      </c>
      <c r="E87" s="111">
        <v>506535</v>
      </c>
      <c r="F87" s="111">
        <v>506535</v>
      </c>
      <c r="G87" s="111">
        <v>506535</v>
      </c>
      <c r="H87" s="112"/>
      <c r="I87" s="110">
        <v>50</v>
      </c>
      <c r="J87" s="111">
        <v>50</v>
      </c>
      <c r="K87" s="111">
        <v>50</v>
      </c>
      <c r="L87" s="111">
        <v>50</v>
      </c>
      <c r="M87" s="112"/>
    </row>
    <row r="88" spans="1:13" x14ac:dyDescent="0.2">
      <c r="A88" s="113" t="s">
        <v>4</v>
      </c>
      <c r="B88" s="113" t="s">
        <v>140</v>
      </c>
      <c r="C88" s="113" t="s">
        <v>223</v>
      </c>
      <c r="D88" s="114">
        <v>981141</v>
      </c>
      <c r="E88" s="115">
        <v>981141</v>
      </c>
      <c r="F88" s="115">
        <v>981141</v>
      </c>
      <c r="G88" s="115"/>
      <c r="H88" s="116"/>
      <c r="I88" s="114">
        <v>64</v>
      </c>
      <c r="J88" s="115">
        <v>64</v>
      </c>
      <c r="K88" s="115">
        <v>64</v>
      </c>
      <c r="L88" s="115"/>
      <c r="M88" s="116"/>
    </row>
    <row r="89" spans="1:13" x14ac:dyDescent="0.2">
      <c r="A89" t="s">
        <v>4</v>
      </c>
      <c r="B89" t="s">
        <v>140</v>
      </c>
      <c r="C89" t="s">
        <v>224</v>
      </c>
      <c r="D89" s="110">
        <v>7</v>
      </c>
      <c r="E89" s="111">
        <v>7</v>
      </c>
      <c r="F89" s="111"/>
      <c r="G89" s="111"/>
      <c r="H89" s="112"/>
      <c r="I89" s="110">
        <v>0</v>
      </c>
      <c r="J89" s="111">
        <v>0</v>
      </c>
      <c r="K89" s="111"/>
      <c r="L89" s="111"/>
      <c r="M89" s="112"/>
    </row>
    <row r="90" spans="1:13" x14ac:dyDescent="0.2">
      <c r="A90" s="117" t="s">
        <v>4</v>
      </c>
      <c r="B90" s="117" t="s">
        <v>140</v>
      </c>
      <c r="C90" s="117" t="s">
        <v>225</v>
      </c>
      <c r="D90" s="118">
        <v>51328</v>
      </c>
      <c r="E90" s="119"/>
      <c r="F90" s="119"/>
      <c r="G90" s="119"/>
      <c r="H90" s="120"/>
      <c r="I90" s="118">
        <v>200</v>
      </c>
      <c r="J90" s="119"/>
      <c r="K90" s="119"/>
      <c r="L90" s="119"/>
      <c r="M90" s="120"/>
    </row>
    <row r="91" spans="1:13" x14ac:dyDescent="0.2">
      <c r="A91" t="s">
        <v>4</v>
      </c>
      <c r="B91" t="s">
        <v>105</v>
      </c>
      <c r="C91" t="s">
        <v>222</v>
      </c>
      <c r="D91" s="110">
        <v>572224.75</v>
      </c>
      <c r="E91" s="111">
        <v>567203.75</v>
      </c>
      <c r="F91" s="111">
        <v>564836.75</v>
      </c>
      <c r="G91" s="111">
        <v>563469.75</v>
      </c>
      <c r="H91" s="112"/>
      <c r="I91" s="110">
        <v>41932.57</v>
      </c>
      <c r="J91" s="111">
        <v>75895</v>
      </c>
      <c r="K91" s="111">
        <v>102535.19</v>
      </c>
      <c r="L91" s="111">
        <v>124463.67</v>
      </c>
      <c r="M91" s="112"/>
    </row>
    <row r="92" spans="1:13" x14ac:dyDescent="0.2">
      <c r="A92" s="113" t="s">
        <v>4</v>
      </c>
      <c r="B92" s="113" t="s">
        <v>105</v>
      </c>
      <c r="C92" s="113" t="s">
        <v>223</v>
      </c>
      <c r="D92" s="114">
        <v>526204.94999999995</v>
      </c>
      <c r="E92" s="115">
        <v>527844.44999999995</v>
      </c>
      <c r="F92" s="115">
        <v>527458.94999999995</v>
      </c>
      <c r="G92" s="115"/>
      <c r="H92" s="116"/>
      <c r="I92" s="114">
        <v>44316.75</v>
      </c>
      <c r="J92" s="115">
        <v>67851.75</v>
      </c>
      <c r="K92" s="115">
        <v>85682.48</v>
      </c>
      <c r="L92" s="115"/>
      <c r="M92" s="116"/>
    </row>
    <row r="93" spans="1:13" x14ac:dyDescent="0.2">
      <c r="A93" t="s">
        <v>4</v>
      </c>
      <c r="B93" t="s">
        <v>105</v>
      </c>
      <c r="C93" t="s">
        <v>224</v>
      </c>
      <c r="D93" s="110">
        <v>226939.5</v>
      </c>
      <c r="E93" s="111">
        <v>228669.5</v>
      </c>
      <c r="F93" s="111"/>
      <c r="G93" s="111"/>
      <c r="H93" s="112"/>
      <c r="I93" s="110">
        <v>19161.5</v>
      </c>
      <c r="J93" s="111">
        <v>30103.5</v>
      </c>
      <c r="K93" s="111"/>
      <c r="L93" s="111"/>
      <c r="M93" s="112"/>
    </row>
    <row r="94" spans="1:13" x14ac:dyDescent="0.2">
      <c r="A94" s="117" t="s">
        <v>4</v>
      </c>
      <c r="B94" s="117" t="s">
        <v>105</v>
      </c>
      <c r="C94" s="117" t="s">
        <v>225</v>
      </c>
      <c r="D94" s="118">
        <v>412804.75</v>
      </c>
      <c r="E94" s="119"/>
      <c r="F94" s="119"/>
      <c r="G94" s="119"/>
      <c r="H94" s="120"/>
      <c r="I94" s="118">
        <v>40430</v>
      </c>
      <c r="J94" s="119"/>
      <c r="K94" s="119"/>
      <c r="L94" s="119"/>
      <c r="M94" s="120"/>
    </row>
    <row r="95" spans="1:13" x14ac:dyDescent="0.2">
      <c r="A95" t="s">
        <v>4</v>
      </c>
      <c r="B95" t="s">
        <v>111</v>
      </c>
      <c r="C95" t="s">
        <v>222</v>
      </c>
      <c r="D95" s="110">
        <v>4344</v>
      </c>
      <c r="E95" s="111">
        <v>4344</v>
      </c>
      <c r="F95" s="111">
        <v>4344</v>
      </c>
      <c r="G95" s="111">
        <v>4344</v>
      </c>
      <c r="H95" s="112"/>
      <c r="I95" s="110">
        <v>1244</v>
      </c>
      <c r="J95" s="111">
        <v>1314</v>
      </c>
      <c r="K95" s="111">
        <v>1484</v>
      </c>
      <c r="L95" s="111">
        <v>1484</v>
      </c>
      <c r="M95" s="112"/>
    </row>
    <row r="96" spans="1:13" x14ac:dyDescent="0.2">
      <c r="A96" s="113" t="s">
        <v>4</v>
      </c>
      <c r="B96" s="113" t="s">
        <v>111</v>
      </c>
      <c r="C96" s="113" t="s">
        <v>223</v>
      </c>
      <c r="D96" s="114">
        <v>6047</v>
      </c>
      <c r="E96" s="115">
        <v>6047</v>
      </c>
      <c r="F96" s="115">
        <v>6047</v>
      </c>
      <c r="G96" s="115"/>
      <c r="H96" s="116"/>
      <c r="I96" s="114">
        <v>1157</v>
      </c>
      <c r="J96" s="115">
        <v>1427</v>
      </c>
      <c r="K96" s="115">
        <v>1647</v>
      </c>
      <c r="L96" s="115"/>
      <c r="M96" s="116"/>
    </row>
    <row r="97" spans="1:13" x14ac:dyDescent="0.2">
      <c r="A97" t="s">
        <v>4</v>
      </c>
      <c r="B97" t="s">
        <v>111</v>
      </c>
      <c r="C97" t="s">
        <v>224</v>
      </c>
      <c r="D97" s="110">
        <v>717</v>
      </c>
      <c r="E97" s="111">
        <v>717</v>
      </c>
      <c r="F97" s="111"/>
      <c r="G97" s="111"/>
      <c r="H97" s="112"/>
      <c r="I97" s="110">
        <v>250</v>
      </c>
      <c r="J97" s="111">
        <v>250</v>
      </c>
      <c r="K97" s="111"/>
      <c r="L97" s="111"/>
      <c r="M97" s="112"/>
    </row>
    <row r="98" spans="1:13" x14ac:dyDescent="0.2">
      <c r="A98" s="117" t="s">
        <v>4</v>
      </c>
      <c r="B98" s="117" t="s">
        <v>111</v>
      </c>
      <c r="C98" s="117" t="s">
        <v>225</v>
      </c>
      <c r="D98" s="118">
        <v>4844</v>
      </c>
      <c r="E98" s="119"/>
      <c r="F98" s="119"/>
      <c r="G98" s="119"/>
      <c r="H98" s="120"/>
      <c r="I98" s="118">
        <v>429</v>
      </c>
      <c r="J98" s="119"/>
      <c r="K98" s="119"/>
      <c r="L98" s="119"/>
      <c r="M98" s="120"/>
    </row>
    <row r="99" spans="1:13" x14ac:dyDescent="0.2">
      <c r="A99" s="124" t="s">
        <v>4</v>
      </c>
      <c r="B99" s="124" t="s">
        <v>109</v>
      </c>
      <c r="C99" s="124" t="s">
        <v>222</v>
      </c>
      <c r="D99" s="125">
        <v>431081.75</v>
      </c>
      <c r="E99" s="126">
        <v>427113.5</v>
      </c>
      <c r="F99" s="126">
        <v>424363.5</v>
      </c>
      <c r="G99" s="126">
        <v>420600</v>
      </c>
      <c r="H99" s="127"/>
      <c r="I99" s="125">
        <v>83186.5</v>
      </c>
      <c r="J99" s="126">
        <v>126963.75</v>
      </c>
      <c r="K99" s="126">
        <v>163248.75</v>
      </c>
      <c r="L99" s="126">
        <v>195375.88</v>
      </c>
      <c r="M99" s="127"/>
    </row>
    <row r="100" spans="1:13" x14ac:dyDescent="0.2">
      <c r="A100" s="113" t="s">
        <v>4</v>
      </c>
      <c r="B100" s="113" t="s">
        <v>109</v>
      </c>
      <c r="C100" s="113" t="s">
        <v>223</v>
      </c>
      <c r="D100" s="114">
        <v>417349</v>
      </c>
      <c r="E100" s="115">
        <v>420615.75</v>
      </c>
      <c r="F100" s="115">
        <v>422015.75</v>
      </c>
      <c r="G100" s="115"/>
      <c r="H100" s="116"/>
      <c r="I100" s="114">
        <v>83776.78</v>
      </c>
      <c r="J100" s="115">
        <v>122000.53</v>
      </c>
      <c r="K100" s="115">
        <v>158860.53</v>
      </c>
      <c r="L100" s="115"/>
      <c r="M100" s="116"/>
    </row>
    <row r="101" spans="1:13" x14ac:dyDescent="0.2">
      <c r="A101" t="s">
        <v>4</v>
      </c>
      <c r="B101" t="s">
        <v>109</v>
      </c>
      <c r="C101" t="s">
        <v>224</v>
      </c>
      <c r="D101" s="110">
        <v>126372</v>
      </c>
      <c r="E101" s="111">
        <v>127262</v>
      </c>
      <c r="F101" s="111"/>
      <c r="G101" s="111"/>
      <c r="H101" s="112"/>
      <c r="I101" s="110">
        <v>17753</v>
      </c>
      <c r="J101" s="111">
        <v>37992.9</v>
      </c>
      <c r="K101" s="111"/>
      <c r="L101" s="111"/>
      <c r="M101" s="112"/>
    </row>
    <row r="102" spans="1:13" x14ac:dyDescent="0.2">
      <c r="A102" s="117" t="s">
        <v>4</v>
      </c>
      <c r="B102" s="117" t="s">
        <v>109</v>
      </c>
      <c r="C102" s="117" t="s">
        <v>225</v>
      </c>
      <c r="D102" s="118">
        <v>307927</v>
      </c>
      <c r="E102" s="119"/>
      <c r="F102" s="119"/>
      <c r="G102" s="119"/>
      <c r="H102" s="120"/>
      <c r="I102" s="118">
        <v>59644.14</v>
      </c>
      <c r="J102" s="119"/>
      <c r="K102" s="119"/>
      <c r="L102" s="119"/>
      <c r="M102" s="120"/>
    </row>
    <row r="103" spans="1:13" x14ac:dyDescent="0.2">
      <c r="A103" t="s">
        <v>4</v>
      </c>
      <c r="B103" t="s">
        <v>106</v>
      </c>
      <c r="C103" t="s">
        <v>222</v>
      </c>
      <c r="D103" s="110">
        <v>496740.18</v>
      </c>
      <c r="E103" s="111">
        <v>496675.18</v>
      </c>
      <c r="F103" s="111">
        <v>496590.18</v>
      </c>
      <c r="G103" s="111">
        <v>496590.18</v>
      </c>
      <c r="H103" s="112"/>
      <c r="I103" s="110">
        <v>494633.18</v>
      </c>
      <c r="J103" s="111">
        <v>495210.68</v>
      </c>
      <c r="K103" s="111">
        <v>495210.68</v>
      </c>
      <c r="L103" s="111">
        <v>495210.68</v>
      </c>
      <c r="M103" s="112"/>
    </row>
    <row r="104" spans="1:13" x14ac:dyDescent="0.2">
      <c r="A104" s="113" t="s">
        <v>4</v>
      </c>
      <c r="B104" s="113" t="s">
        <v>106</v>
      </c>
      <c r="C104" s="113" t="s">
        <v>223</v>
      </c>
      <c r="D104" s="114">
        <v>381718.1</v>
      </c>
      <c r="E104" s="115">
        <v>381352.1</v>
      </c>
      <c r="F104" s="115">
        <v>381352.1</v>
      </c>
      <c r="G104" s="115"/>
      <c r="H104" s="116"/>
      <c r="I104" s="114">
        <v>379983.1</v>
      </c>
      <c r="J104" s="115">
        <v>380378.1</v>
      </c>
      <c r="K104" s="115">
        <v>380378.1</v>
      </c>
      <c r="L104" s="115"/>
      <c r="M104" s="116"/>
    </row>
    <row r="105" spans="1:13" x14ac:dyDescent="0.2">
      <c r="A105" t="s">
        <v>4</v>
      </c>
      <c r="B105" t="s">
        <v>106</v>
      </c>
      <c r="C105" t="s">
        <v>224</v>
      </c>
      <c r="D105" s="110">
        <v>249406.63</v>
      </c>
      <c r="E105" s="111">
        <v>249006.63</v>
      </c>
      <c r="F105" s="111"/>
      <c r="G105" s="111"/>
      <c r="H105" s="112"/>
      <c r="I105" s="110">
        <v>248586.63</v>
      </c>
      <c r="J105" s="111">
        <v>248186.63</v>
      </c>
      <c r="K105" s="111"/>
      <c r="L105" s="111"/>
      <c r="M105" s="112"/>
    </row>
    <row r="106" spans="1:13" x14ac:dyDescent="0.2">
      <c r="A106" s="117" t="s">
        <v>4</v>
      </c>
      <c r="B106" s="117" t="s">
        <v>106</v>
      </c>
      <c r="C106" s="117" t="s">
        <v>225</v>
      </c>
      <c r="D106" s="118">
        <v>252347.63</v>
      </c>
      <c r="E106" s="119"/>
      <c r="F106" s="119"/>
      <c r="G106" s="119"/>
      <c r="H106" s="120"/>
      <c r="I106" s="118">
        <v>244879.63</v>
      </c>
      <c r="J106" s="119"/>
      <c r="K106" s="119"/>
      <c r="L106" s="119"/>
      <c r="M106" s="120"/>
    </row>
    <row r="107" spans="1:13" x14ac:dyDescent="0.2">
      <c r="A107" t="s">
        <v>4</v>
      </c>
      <c r="B107" t="s">
        <v>107</v>
      </c>
      <c r="C107" t="s">
        <v>222</v>
      </c>
      <c r="D107" s="110">
        <v>313779.02</v>
      </c>
      <c r="E107" s="111">
        <v>313149.02</v>
      </c>
      <c r="F107" s="111">
        <v>313149.02</v>
      </c>
      <c r="G107" s="111">
        <v>313149.02</v>
      </c>
      <c r="H107" s="112"/>
      <c r="I107" s="110">
        <v>311798.57</v>
      </c>
      <c r="J107" s="111">
        <v>312354.02</v>
      </c>
      <c r="K107" s="111">
        <v>312479.02</v>
      </c>
      <c r="L107" s="111">
        <v>312294.02</v>
      </c>
      <c r="M107" s="112"/>
    </row>
    <row r="108" spans="1:13" x14ac:dyDescent="0.2">
      <c r="A108" s="113" t="s">
        <v>4</v>
      </c>
      <c r="B108" s="113" t="s">
        <v>107</v>
      </c>
      <c r="C108" s="113" t="s">
        <v>223</v>
      </c>
      <c r="D108" s="114">
        <v>346476.05</v>
      </c>
      <c r="E108" s="115">
        <v>346476.05</v>
      </c>
      <c r="F108" s="115">
        <v>346396.05</v>
      </c>
      <c r="G108" s="115"/>
      <c r="H108" s="116"/>
      <c r="I108" s="114">
        <v>345151.05</v>
      </c>
      <c r="J108" s="115">
        <v>345151.05</v>
      </c>
      <c r="K108" s="115">
        <v>345151.05</v>
      </c>
      <c r="L108" s="115"/>
      <c r="M108" s="116"/>
    </row>
    <row r="109" spans="1:13" x14ac:dyDescent="0.2">
      <c r="A109" t="s">
        <v>4</v>
      </c>
      <c r="B109" t="s">
        <v>107</v>
      </c>
      <c r="C109" t="s">
        <v>224</v>
      </c>
      <c r="D109" s="110">
        <v>183195.51</v>
      </c>
      <c r="E109" s="111">
        <v>183195.51</v>
      </c>
      <c r="F109" s="111"/>
      <c r="G109" s="111"/>
      <c r="H109" s="112"/>
      <c r="I109" s="110">
        <v>1829890.01</v>
      </c>
      <c r="J109" s="111">
        <v>182999.01</v>
      </c>
      <c r="K109" s="111"/>
      <c r="L109" s="111"/>
      <c r="M109" s="112"/>
    </row>
    <row r="110" spans="1:13" x14ac:dyDescent="0.2">
      <c r="A110" s="117" t="s">
        <v>4</v>
      </c>
      <c r="B110" s="117" t="s">
        <v>107</v>
      </c>
      <c r="C110" s="117" t="s">
        <v>225</v>
      </c>
      <c r="D110" s="118">
        <v>219631.21</v>
      </c>
      <c r="E110" s="119"/>
      <c r="F110" s="119"/>
      <c r="G110" s="119"/>
      <c r="H110" s="120"/>
      <c r="I110" s="118">
        <v>219631.21</v>
      </c>
      <c r="J110" s="119"/>
      <c r="K110" s="119"/>
      <c r="L110" s="119"/>
      <c r="M110" s="120"/>
    </row>
    <row r="111" spans="1:13" x14ac:dyDescent="0.2">
      <c r="A111" t="s">
        <v>4</v>
      </c>
      <c r="B111" t="s">
        <v>108</v>
      </c>
      <c r="C111" t="s">
        <v>222</v>
      </c>
      <c r="D111" s="110">
        <v>66455</v>
      </c>
      <c r="E111" s="111">
        <v>66110</v>
      </c>
      <c r="F111" s="111">
        <v>66110</v>
      </c>
      <c r="G111" s="111">
        <v>66110</v>
      </c>
      <c r="H111" s="112"/>
      <c r="I111" s="110">
        <v>65985</v>
      </c>
      <c r="J111" s="111">
        <v>66110</v>
      </c>
      <c r="K111" s="111">
        <v>66110</v>
      </c>
      <c r="L111" s="111">
        <v>66110</v>
      </c>
      <c r="M111" s="112"/>
    </row>
    <row r="112" spans="1:13" x14ac:dyDescent="0.2">
      <c r="A112" s="113" t="s">
        <v>4</v>
      </c>
      <c r="B112" s="113" t="s">
        <v>108</v>
      </c>
      <c r="C112" s="113" t="s">
        <v>223</v>
      </c>
      <c r="D112" s="114">
        <v>69022.25</v>
      </c>
      <c r="E112" s="115">
        <v>69022.25</v>
      </c>
      <c r="F112" s="115">
        <v>69022.25</v>
      </c>
      <c r="G112" s="115"/>
      <c r="H112" s="116"/>
      <c r="I112" s="114">
        <v>68781.25</v>
      </c>
      <c r="J112" s="115">
        <v>68781.25</v>
      </c>
      <c r="K112" s="115">
        <v>68781.25</v>
      </c>
      <c r="L112" s="115"/>
      <c r="M112" s="116"/>
    </row>
    <row r="113" spans="1:13" x14ac:dyDescent="0.2">
      <c r="A113" t="s">
        <v>4</v>
      </c>
      <c r="B113" t="s">
        <v>108</v>
      </c>
      <c r="C113" t="s">
        <v>224</v>
      </c>
      <c r="D113" s="110">
        <v>61444</v>
      </c>
      <c r="E113" s="111">
        <v>61444</v>
      </c>
      <c r="F113" s="111"/>
      <c r="G113" s="111"/>
      <c r="H113" s="112"/>
      <c r="I113" s="110">
        <v>61209</v>
      </c>
      <c r="J113" s="111">
        <v>61444</v>
      </c>
      <c r="K113" s="111"/>
      <c r="L113" s="111"/>
      <c r="M113" s="112"/>
    </row>
    <row r="114" spans="1:13" x14ac:dyDescent="0.2">
      <c r="A114" s="117" t="s">
        <v>4</v>
      </c>
      <c r="B114" s="117" t="s">
        <v>108</v>
      </c>
      <c r="C114" s="117" t="s">
        <v>225</v>
      </c>
      <c r="D114" s="118">
        <v>70429</v>
      </c>
      <c r="E114" s="119"/>
      <c r="F114" s="119"/>
      <c r="G114" s="119"/>
      <c r="H114" s="120"/>
      <c r="I114" s="118">
        <v>70429</v>
      </c>
      <c r="J114" s="119"/>
      <c r="K114" s="119"/>
      <c r="L114" s="119"/>
      <c r="M114" s="120"/>
    </row>
    <row r="115" spans="1:13" x14ac:dyDescent="0.2">
      <c r="A115" t="s">
        <v>4</v>
      </c>
      <c r="B115" t="s">
        <v>70</v>
      </c>
      <c r="C115" t="s">
        <v>222</v>
      </c>
      <c r="D115" s="110">
        <v>96715.75</v>
      </c>
      <c r="E115" s="111">
        <v>96007.75</v>
      </c>
      <c r="F115" s="111">
        <v>96007.75</v>
      </c>
      <c r="G115" s="111">
        <v>95996.25</v>
      </c>
      <c r="H115" s="112"/>
      <c r="I115" s="110">
        <v>94427.75</v>
      </c>
      <c r="J115" s="111">
        <v>94595.75</v>
      </c>
      <c r="K115" s="111">
        <v>94679.75</v>
      </c>
      <c r="L115" s="111">
        <v>95002.25</v>
      </c>
      <c r="M115" s="112"/>
    </row>
    <row r="116" spans="1:13" x14ac:dyDescent="0.2">
      <c r="A116" s="113" t="s">
        <v>4</v>
      </c>
      <c r="B116" s="113" t="s">
        <v>70</v>
      </c>
      <c r="C116" s="113" t="s">
        <v>223</v>
      </c>
      <c r="D116" s="114">
        <v>113504</v>
      </c>
      <c r="E116" s="115">
        <v>113501.5</v>
      </c>
      <c r="F116" s="115">
        <v>113191</v>
      </c>
      <c r="G116" s="115"/>
      <c r="H116" s="116"/>
      <c r="I116" s="114">
        <v>110962.5</v>
      </c>
      <c r="J116" s="115">
        <v>111193.5</v>
      </c>
      <c r="K116" s="115">
        <v>111214.5</v>
      </c>
      <c r="L116" s="115"/>
      <c r="M116" s="116"/>
    </row>
    <row r="117" spans="1:13" x14ac:dyDescent="0.2">
      <c r="A117" t="s">
        <v>4</v>
      </c>
      <c r="B117" t="s">
        <v>70</v>
      </c>
      <c r="C117" t="s">
        <v>224</v>
      </c>
      <c r="D117" s="110">
        <v>95411.5</v>
      </c>
      <c r="E117" s="111">
        <v>94946</v>
      </c>
      <c r="F117" s="111"/>
      <c r="G117" s="111"/>
      <c r="H117" s="112"/>
      <c r="I117" s="110">
        <v>93066.5</v>
      </c>
      <c r="J117" s="111">
        <v>93563</v>
      </c>
      <c r="K117" s="111"/>
      <c r="L117" s="111"/>
      <c r="M117" s="112"/>
    </row>
    <row r="118" spans="1:13" x14ac:dyDescent="0.2">
      <c r="A118" s="117" t="s">
        <v>4</v>
      </c>
      <c r="B118" s="117" t="s">
        <v>70</v>
      </c>
      <c r="C118" s="117" t="s">
        <v>225</v>
      </c>
      <c r="D118" s="118">
        <v>119098.25</v>
      </c>
      <c r="E118" s="119"/>
      <c r="F118" s="119"/>
      <c r="G118" s="119"/>
      <c r="H118" s="120"/>
      <c r="I118" s="118">
        <v>116539.75</v>
      </c>
      <c r="J118" s="119"/>
      <c r="K118" s="119"/>
      <c r="L118" s="119"/>
      <c r="M118" s="120"/>
    </row>
    <row r="119" spans="1:13" x14ac:dyDescent="0.2">
      <c r="A119" t="s">
        <v>4</v>
      </c>
      <c r="B119" t="s">
        <v>110</v>
      </c>
      <c r="C119" t="s">
        <v>222</v>
      </c>
      <c r="D119" s="110">
        <v>749793.05</v>
      </c>
      <c r="E119" s="111">
        <v>712342.55</v>
      </c>
      <c r="F119" s="111">
        <v>710576.2</v>
      </c>
      <c r="G119" s="111">
        <v>710001.5</v>
      </c>
      <c r="H119" s="112"/>
      <c r="I119" s="110">
        <v>367671.05</v>
      </c>
      <c r="J119" s="111">
        <v>581683.69999999995</v>
      </c>
      <c r="K119" s="111">
        <v>604358.6</v>
      </c>
      <c r="L119" s="111">
        <v>615262.25</v>
      </c>
      <c r="M119" s="112"/>
    </row>
    <row r="120" spans="1:13" x14ac:dyDescent="0.2">
      <c r="A120" s="113" t="s">
        <v>4</v>
      </c>
      <c r="B120" s="113" t="s">
        <v>110</v>
      </c>
      <c r="C120" s="113" t="s">
        <v>223</v>
      </c>
      <c r="D120" s="114">
        <v>665863.69999999995</v>
      </c>
      <c r="E120" s="115">
        <v>646611.19999999995</v>
      </c>
      <c r="F120" s="115">
        <v>641794</v>
      </c>
      <c r="G120" s="115"/>
      <c r="H120" s="116"/>
      <c r="I120" s="114">
        <v>339793.75</v>
      </c>
      <c r="J120" s="115">
        <v>477369.4</v>
      </c>
      <c r="K120" s="115">
        <v>518161.45</v>
      </c>
      <c r="L120" s="115"/>
      <c r="M120" s="116"/>
    </row>
    <row r="121" spans="1:13" x14ac:dyDescent="0.2">
      <c r="A121" t="s">
        <v>4</v>
      </c>
      <c r="B121" t="s">
        <v>110</v>
      </c>
      <c r="C121" t="s">
        <v>224</v>
      </c>
      <c r="D121" s="110">
        <v>522116.3</v>
      </c>
      <c r="E121" s="111">
        <v>497223.1</v>
      </c>
      <c r="F121" s="111"/>
      <c r="G121" s="111"/>
      <c r="H121" s="112"/>
      <c r="I121" s="110">
        <v>197189.25</v>
      </c>
      <c r="J121" s="111">
        <v>332900.15000000002</v>
      </c>
      <c r="K121" s="111"/>
      <c r="L121" s="111"/>
      <c r="M121" s="112"/>
    </row>
    <row r="122" spans="1:13" ht="13.5" thickBot="1" x14ac:dyDescent="0.25">
      <c r="A122" s="128" t="s">
        <v>4</v>
      </c>
      <c r="B122" s="128" t="s">
        <v>110</v>
      </c>
      <c r="C122" s="128" t="s">
        <v>225</v>
      </c>
      <c r="D122" s="129">
        <v>600993.44999999995</v>
      </c>
      <c r="E122" s="130"/>
      <c r="F122" s="130"/>
      <c r="G122" s="130"/>
      <c r="H122" s="131"/>
      <c r="I122" s="129">
        <v>250923.95</v>
      </c>
      <c r="J122" s="130"/>
      <c r="K122" s="130"/>
      <c r="L122" s="130"/>
      <c r="M122" s="131"/>
    </row>
    <row r="123" spans="1:13" x14ac:dyDescent="0.2">
      <c r="A123" s="132" t="s">
        <v>5</v>
      </c>
      <c r="B123" s="132" t="s">
        <v>104</v>
      </c>
      <c r="C123" s="132" t="s">
        <v>222</v>
      </c>
      <c r="D123" s="133">
        <v>76570.17</v>
      </c>
      <c r="E123" s="134">
        <v>76570.17</v>
      </c>
      <c r="F123" s="134">
        <v>76570.17</v>
      </c>
      <c r="G123" s="134">
        <v>76570.17</v>
      </c>
      <c r="H123" s="135"/>
      <c r="I123" s="133">
        <v>5514.66</v>
      </c>
      <c r="J123" s="134">
        <v>7970.35</v>
      </c>
      <c r="K123" s="134">
        <v>10051.39</v>
      </c>
      <c r="L123" s="134">
        <v>14317.71</v>
      </c>
      <c r="M123" s="135"/>
    </row>
    <row r="124" spans="1:13" x14ac:dyDescent="0.2">
      <c r="A124" s="113" t="s">
        <v>5</v>
      </c>
      <c r="B124" s="113" t="s">
        <v>104</v>
      </c>
      <c r="C124" s="113" t="s">
        <v>223</v>
      </c>
      <c r="D124" s="114">
        <v>84123.75</v>
      </c>
      <c r="E124" s="115">
        <v>84073.75</v>
      </c>
      <c r="F124" s="115">
        <v>83873.75</v>
      </c>
      <c r="G124" s="115"/>
      <c r="H124" s="116"/>
      <c r="I124" s="114">
        <v>4592.5200000000004</v>
      </c>
      <c r="J124" s="115">
        <v>7235.86</v>
      </c>
      <c r="K124" s="115">
        <v>10901.1</v>
      </c>
      <c r="L124" s="115"/>
      <c r="M124" s="116"/>
    </row>
    <row r="125" spans="1:13" x14ac:dyDescent="0.2">
      <c r="A125" t="s">
        <v>5</v>
      </c>
      <c r="B125" t="s">
        <v>104</v>
      </c>
      <c r="C125" t="s">
        <v>224</v>
      </c>
      <c r="D125" s="110">
        <v>37347</v>
      </c>
      <c r="E125" s="111">
        <v>37347</v>
      </c>
      <c r="F125" s="111"/>
      <c r="G125" s="111"/>
      <c r="H125" s="112"/>
      <c r="I125" s="110">
        <v>2382</v>
      </c>
      <c r="J125" s="111">
        <v>2795.46</v>
      </c>
      <c r="K125" s="111"/>
      <c r="L125" s="111"/>
      <c r="M125" s="112"/>
    </row>
    <row r="126" spans="1:13" x14ac:dyDescent="0.2">
      <c r="A126" s="117" t="s">
        <v>5</v>
      </c>
      <c r="B126" s="117" t="s">
        <v>104</v>
      </c>
      <c r="C126" s="117" t="s">
        <v>225</v>
      </c>
      <c r="D126" s="118">
        <v>188614.45</v>
      </c>
      <c r="E126" s="119"/>
      <c r="F126" s="119"/>
      <c r="G126" s="119"/>
      <c r="H126" s="120"/>
      <c r="I126" s="118">
        <v>2199.85</v>
      </c>
      <c r="J126" s="119"/>
      <c r="K126" s="119"/>
      <c r="L126" s="119"/>
      <c r="M126" s="120"/>
    </row>
    <row r="127" spans="1:13" x14ac:dyDescent="0.2">
      <c r="A127" t="s">
        <v>5</v>
      </c>
      <c r="B127" t="s">
        <v>140</v>
      </c>
      <c r="C127" t="s">
        <v>222</v>
      </c>
      <c r="D127" s="110">
        <v>300</v>
      </c>
      <c r="E127" s="111">
        <v>300</v>
      </c>
      <c r="F127" s="111">
        <v>300</v>
      </c>
      <c r="G127" s="111">
        <v>300</v>
      </c>
      <c r="H127" s="112"/>
      <c r="I127" s="110">
        <v>50</v>
      </c>
      <c r="J127" s="111">
        <v>50</v>
      </c>
      <c r="K127" s="111">
        <v>50</v>
      </c>
      <c r="L127" s="111">
        <v>50</v>
      </c>
      <c r="M127" s="112"/>
    </row>
    <row r="128" spans="1:13" x14ac:dyDescent="0.2">
      <c r="A128" s="113" t="s">
        <v>5</v>
      </c>
      <c r="B128" s="113" t="s">
        <v>140</v>
      </c>
      <c r="C128" s="113" t="s">
        <v>223</v>
      </c>
      <c r="D128" s="114">
        <v>0</v>
      </c>
      <c r="E128" s="115">
        <v>0</v>
      </c>
      <c r="F128" s="115">
        <v>50</v>
      </c>
      <c r="G128" s="115"/>
      <c r="H128" s="116"/>
      <c r="I128" s="114">
        <v>0</v>
      </c>
      <c r="J128" s="115">
        <v>0</v>
      </c>
      <c r="K128" s="115">
        <v>0</v>
      </c>
      <c r="L128" s="115"/>
      <c r="M128" s="116"/>
    </row>
    <row r="129" spans="1:13" x14ac:dyDescent="0.2">
      <c r="A129" t="s">
        <v>5</v>
      </c>
      <c r="B129" t="s">
        <v>140</v>
      </c>
      <c r="C129" t="s">
        <v>224</v>
      </c>
      <c r="D129" s="110">
        <v>0</v>
      </c>
      <c r="E129" s="111">
        <v>0</v>
      </c>
      <c r="F129" s="111"/>
      <c r="G129" s="111"/>
      <c r="H129" s="112"/>
      <c r="I129" s="110">
        <v>0</v>
      </c>
      <c r="J129" s="111">
        <v>0</v>
      </c>
      <c r="K129" s="111"/>
      <c r="L129" s="111"/>
      <c r="M129" s="112"/>
    </row>
    <row r="130" spans="1:13" x14ac:dyDescent="0.2">
      <c r="A130" s="117" t="s">
        <v>5</v>
      </c>
      <c r="B130" s="117" t="s">
        <v>140</v>
      </c>
      <c r="C130" s="117" t="s">
        <v>225</v>
      </c>
      <c r="D130" s="118">
        <v>106336</v>
      </c>
      <c r="E130" s="119"/>
      <c r="F130" s="119"/>
      <c r="G130" s="119"/>
      <c r="H130" s="120"/>
      <c r="I130" s="118">
        <v>100</v>
      </c>
      <c r="J130" s="119"/>
      <c r="K130" s="119"/>
      <c r="L130" s="119"/>
      <c r="M130" s="120"/>
    </row>
    <row r="131" spans="1:13" x14ac:dyDescent="0.2">
      <c r="A131" t="s">
        <v>5</v>
      </c>
      <c r="B131" t="s">
        <v>105</v>
      </c>
      <c r="C131" t="s">
        <v>222</v>
      </c>
      <c r="D131" s="110">
        <v>40268.75</v>
      </c>
      <c r="E131" s="111">
        <v>40268.75</v>
      </c>
      <c r="F131" s="111">
        <v>40268.75</v>
      </c>
      <c r="G131" s="111">
        <v>38767.75</v>
      </c>
      <c r="H131" s="112"/>
      <c r="I131" s="110">
        <v>2049</v>
      </c>
      <c r="J131" s="111">
        <v>4705.5</v>
      </c>
      <c r="K131" s="111">
        <v>6729.5</v>
      </c>
      <c r="L131" s="111">
        <v>7800.25</v>
      </c>
      <c r="M131" s="112"/>
    </row>
    <row r="132" spans="1:13" x14ac:dyDescent="0.2">
      <c r="A132" s="113" t="s">
        <v>5</v>
      </c>
      <c r="B132" s="113" t="s">
        <v>105</v>
      </c>
      <c r="C132" s="113" t="s">
        <v>223</v>
      </c>
      <c r="D132" s="114">
        <v>39269.440000000002</v>
      </c>
      <c r="E132" s="115">
        <v>39269.440000000002</v>
      </c>
      <c r="F132" s="115">
        <v>38768.94</v>
      </c>
      <c r="G132" s="115"/>
      <c r="H132" s="116"/>
      <c r="I132" s="114">
        <v>4290.82</v>
      </c>
      <c r="J132" s="115">
        <v>5744.07</v>
      </c>
      <c r="K132" s="115">
        <v>9759.57</v>
      </c>
      <c r="L132" s="115"/>
      <c r="M132" s="116"/>
    </row>
    <row r="133" spans="1:13" x14ac:dyDescent="0.2">
      <c r="A133" t="s">
        <v>5</v>
      </c>
      <c r="B133" t="s">
        <v>105</v>
      </c>
      <c r="C133" t="s">
        <v>224</v>
      </c>
      <c r="D133" s="110">
        <v>13176.25</v>
      </c>
      <c r="E133" s="111">
        <v>13176.25</v>
      </c>
      <c r="F133" s="111"/>
      <c r="G133" s="111"/>
      <c r="H133" s="112"/>
      <c r="I133" s="110">
        <v>1287.5</v>
      </c>
      <c r="J133" s="111">
        <v>1770.5</v>
      </c>
      <c r="K133" s="111"/>
      <c r="L133" s="111"/>
      <c r="M133" s="112"/>
    </row>
    <row r="134" spans="1:13" x14ac:dyDescent="0.2">
      <c r="A134" s="117" t="s">
        <v>5</v>
      </c>
      <c r="B134" s="117" t="s">
        <v>105</v>
      </c>
      <c r="C134" s="117" t="s">
        <v>225</v>
      </c>
      <c r="D134" s="118">
        <v>33326.11</v>
      </c>
      <c r="E134" s="119"/>
      <c r="F134" s="119"/>
      <c r="G134" s="119"/>
      <c r="H134" s="120"/>
      <c r="I134" s="118">
        <v>1575.36</v>
      </c>
      <c r="J134" s="119"/>
      <c r="K134" s="119"/>
      <c r="L134" s="119"/>
      <c r="M134" s="120"/>
    </row>
    <row r="135" spans="1:13" x14ac:dyDescent="0.2">
      <c r="A135" t="s">
        <v>5</v>
      </c>
      <c r="B135" t="s">
        <v>111</v>
      </c>
      <c r="C135" t="s">
        <v>222</v>
      </c>
      <c r="D135" s="110">
        <v>1012</v>
      </c>
      <c r="E135" s="111">
        <v>1012</v>
      </c>
      <c r="F135" s="111">
        <v>1012</v>
      </c>
      <c r="G135" s="111">
        <v>1012</v>
      </c>
      <c r="H135" s="112"/>
      <c r="I135" s="110">
        <v>170</v>
      </c>
      <c r="J135" s="111">
        <v>170</v>
      </c>
      <c r="K135" s="111">
        <v>342</v>
      </c>
      <c r="L135" s="111">
        <v>342</v>
      </c>
      <c r="M135" s="112"/>
    </row>
    <row r="136" spans="1:13" x14ac:dyDescent="0.2">
      <c r="A136" s="113" t="s">
        <v>5</v>
      </c>
      <c r="B136" s="113" t="s">
        <v>111</v>
      </c>
      <c r="C136" s="113" t="s">
        <v>223</v>
      </c>
      <c r="D136" s="114">
        <v>1090</v>
      </c>
      <c r="E136" s="115">
        <v>1090</v>
      </c>
      <c r="F136" s="115">
        <v>1090</v>
      </c>
      <c r="G136" s="115"/>
      <c r="H136" s="116"/>
      <c r="I136" s="114">
        <v>0</v>
      </c>
      <c r="J136" s="115">
        <v>250</v>
      </c>
      <c r="K136" s="115">
        <v>250</v>
      </c>
      <c r="L136" s="115"/>
      <c r="M136" s="116"/>
    </row>
    <row r="137" spans="1:13" x14ac:dyDescent="0.2">
      <c r="A137" t="s">
        <v>5</v>
      </c>
      <c r="B137" t="s">
        <v>111</v>
      </c>
      <c r="C137" t="s">
        <v>224</v>
      </c>
      <c r="D137" s="110">
        <v>0</v>
      </c>
      <c r="E137" s="111">
        <v>0</v>
      </c>
      <c r="F137" s="111"/>
      <c r="G137" s="111"/>
      <c r="H137" s="112"/>
      <c r="I137" s="110">
        <v>0</v>
      </c>
      <c r="J137" s="111">
        <v>0</v>
      </c>
      <c r="K137" s="111"/>
      <c r="L137" s="111"/>
      <c r="M137" s="112"/>
    </row>
    <row r="138" spans="1:13" x14ac:dyDescent="0.2">
      <c r="A138" s="117" t="s">
        <v>5</v>
      </c>
      <c r="B138" s="117" t="s">
        <v>111</v>
      </c>
      <c r="C138" s="117" t="s">
        <v>225</v>
      </c>
      <c r="D138" s="118">
        <v>0</v>
      </c>
      <c r="E138" s="119"/>
      <c r="F138" s="119"/>
      <c r="G138" s="119"/>
      <c r="H138" s="120"/>
      <c r="I138" s="118">
        <v>0</v>
      </c>
      <c r="J138" s="119"/>
      <c r="K138" s="119"/>
      <c r="L138" s="119"/>
      <c r="M138" s="120"/>
    </row>
    <row r="139" spans="1:13" x14ac:dyDescent="0.2">
      <c r="A139" s="124" t="s">
        <v>5</v>
      </c>
      <c r="B139" s="124" t="s">
        <v>109</v>
      </c>
      <c r="C139" s="124" t="s">
        <v>222</v>
      </c>
      <c r="D139" s="125">
        <v>36005.25</v>
      </c>
      <c r="E139" s="126">
        <v>35905.25</v>
      </c>
      <c r="F139" s="126">
        <v>35204</v>
      </c>
      <c r="G139" s="126">
        <v>34178</v>
      </c>
      <c r="H139" s="127"/>
      <c r="I139" s="125">
        <v>1926.5</v>
      </c>
      <c r="J139" s="126">
        <v>5925.5</v>
      </c>
      <c r="K139" s="126">
        <v>11569.99</v>
      </c>
      <c r="L139" s="126">
        <v>13979.75</v>
      </c>
      <c r="M139" s="127"/>
    </row>
    <row r="140" spans="1:13" x14ac:dyDescent="0.2">
      <c r="A140" s="113" t="s">
        <v>5</v>
      </c>
      <c r="B140" s="113" t="s">
        <v>109</v>
      </c>
      <c r="C140" s="113" t="s">
        <v>223</v>
      </c>
      <c r="D140" s="114">
        <v>28306</v>
      </c>
      <c r="E140" s="115">
        <v>28306</v>
      </c>
      <c r="F140" s="115">
        <v>28306</v>
      </c>
      <c r="G140" s="115"/>
      <c r="H140" s="116"/>
      <c r="I140" s="114">
        <v>3214</v>
      </c>
      <c r="J140" s="115">
        <v>5905.5</v>
      </c>
      <c r="K140" s="115">
        <v>7851.5</v>
      </c>
      <c r="L140" s="115"/>
      <c r="M140" s="116"/>
    </row>
    <row r="141" spans="1:13" x14ac:dyDescent="0.2">
      <c r="A141" t="s">
        <v>5</v>
      </c>
      <c r="B141" t="s">
        <v>109</v>
      </c>
      <c r="C141" t="s">
        <v>224</v>
      </c>
      <c r="D141" s="110">
        <v>10331.5</v>
      </c>
      <c r="E141" s="111">
        <v>10281.5</v>
      </c>
      <c r="F141" s="111"/>
      <c r="G141" s="111"/>
      <c r="H141" s="112"/>
      <c r="I141" s="110">
        <v>1532.75</v>
      </c>
      <c r="J141" s="111">
        <v>2781.25</v>
      </c>
      <c r="K141" s="111"/>
      <c r="L141" s="111"/>
      <c r="M141" s="112"/>
    </row>
    <row r="142" spans="1:13" x14ac:dyDescent="0.2">
      <c r="A142" s="117" t="s">
        <v>5</v>
      </c>
      <c r="B142" s="117" t="s">
        <v>109</v>
      </c>
      <c r="C142" s="117" t="s">
        <v>225</v>
      </c>
      <c r="D142" s="118">
        <v>34570</v>
      </c>
      <c r="E142" s="119"/>
      <c r="F142" s="119"/>
      <c r="G142" s="119"/>
      <c r="H142" s="120"/>
      <c r="I142" s="118">
        <v>4291</v>
      </c>
      <c r="J142" s="119"/>
      <c r="K142" s="119"/>
      <c r="L142" s="119"/>
      <c r="M142" s="120"/>
    </row>
    <row r="143" spans="1:13" x14ac:dyDescent="0.2">
      <c r="A143" t="s">
        <v>5</v>
      </c>
      <c r="B143" t="s">
        <v>106</v>
      </c>
      <c r="C143" t="s">
        <v>222</v>
      </c>
      <c r="D143" s="110">
        <v>23704</v>
      </c>
      <c r="E143" s="111">
        <v>23704</v>
      </c>
      <c r="F143" s="111">
        <v>23704</v>
      </c>
      <c r="G143" s="111">
        <v>23704</v>
      </c>
      <c r="H143" s="112"/>
      <c r="I143" s="110">
        <v>22881.09</v>
      </c>
      <c r="J143" s="111">
        <v>22904</v>
      </c>
      <c r="K143" s="111">
        <v>22904</v>
      </c>
      <c r="L143" s="111">
        <v>22904</v>
      </c>
      <c r="M143" s="112"/>
    </row>
    <row r="144" spans="1:13" x14ac:dyDescent="0.2">
      <c r="A144" s="113" t="s">
        <v>5</v>
      </c>
      <c r="B144" s="113" t="s">
        <v>106</v>
      </c>
      <c r="C144" s="113" t="s">
        <v>223</v>
      </c>
      <c r="D144" s="114">
        <v>26780</v>
      </c>
      <c r="E144" s="115">
        <v>26780</v>
      </c>
      <c r="F144" s="115">
        <v>26780</v>
      </c>
      <c r="G144" s="115"/>
      <c r="H144" s="116"/>
      <c r="I144" s="114">
        <v>25980</v>
      </c>
      <c r="J144" s="115">
        <v>25980</v>
      </c>
      <c r="K144" s="115">
        <v>25980</v>
      </c>
      <c r="L144" s="115"/>
      <c r="M144" s="116"/>
    </row>
    <row r="145" spans="1:13" x14ac:dyDescent="0.2">
      <c r="A145" t="s">
        <v>5</v>
      </c>
      <c r="B145" t="s">
        <v>106</v>
      </c>
      <c r="C145" t="s">
        <v>224</v>
      </c>
      <c r="D145" s="110">
        <v>17517</v>
      </c>
      <c r="E145" s="111">
        <v>17517</v>
      </c>
      <c r="F145" s="111"/>
      <c r="G145" s="111"/>
      <c r="H145" s="112"/>
      <c r="I145" s="110">
        <v>16317</v>
      </c>
      <c r="J145" s="111">
        <v>16317</v>
      </c>
      <c r="K145" s="111"/>
      <c r="L145" s="111"/>
      <c r="M145" s="112"/>
    </row>
    <row r="146" spans="1:13" x14ac:dyDescent="0.2">
      <c r="A146" s="117" t="s">
        <v>5</v>
      </c>
      <c r="B146" s="117" t="s">
        <v>106</v>
      </c>
      <c r="C146" s="117" t="s">
        <v>225</v>
      </c>
      <c r="D146" s="118">
        <v>21885</v>
      </c>
      <c r="E146" s="119"/>
      <c r="F146" s="119"/>
      <c r="G146" s="119"/>
      <c r="H146" s="120"/>
      <c r="I146" s="118">
        <v>21043</v>
      </c>
      <c r="J146" s="119"/>
      <c r="K146" s="119"/>
      <c r="L146" s="119"/>
      <c r="M146" s="120"/>
    </row>
    <row r="147" spans="1:13" x14ac:dyDescent="0.2">
      <c r="A147" t="s">
        <v>5</v>
      </c>
      <c r="B147" t="s">
        <v>107</v>
      </c>
      <c r="C147" t="s">
        <v>222</v>
      </c>
      <c r="D147" s="110">
        <v>38835</v>
      </c>
      <c r="E147" s="111">
        <v>38835</v>
      </c>
      <c r="F147" s="111">
        <v>38835</v>
      </c>
      <c r="G147" s="111">
        <v>38835</v>
      </c>
      <c r="H147" s="112"/>
      <c r="I147" s="110">
        <v>38270</v>
      </c>
      <c r="J147" s="111">
        <v>38835</v>
      </c>
      <c r="K147" s="111">
        <v>38835</v>
      </c>
      <c r="L147" s="111">
        <v>38835</v>
      </c>
      <c r="M147" s="112"/>
    </row>
    <row r="148" spans="1:13" x14ac:dyDescent="0.2">
      <c r="A148" s="113" t="s">
        <v>5</v>
      </c>
      <c r="B148" s="113" t="s">
        <v>107</v>
      </c>
      <c r="C148" s="113" t="s">
        <v>223</v>
      </c>
      <c r="D148" s="114">
        <v>36107</v>
      </c>
      <c r="E148" s="115">
        <v>36292</v>
      </c>
      <c r="F148" s="115">
        <v>36292</v>
      </c>
      <c r="G148" s="115"/>
      <c r="H148" s="116"/>
      <c r="I148" s="114">
        <v>35797</v>
      </c>
      <c r="J148" s="115">
        <v>36292</v>
      </c>
      <c r="K148" s="115">
        <v>36292</v>
      </c>
      <c r="L148" s="115"/>
      <c r="M148" s="116"/>
    </row>
    <row r="149" spans="1:13" x14ac:dyDescent="0.2">
      <c r="A149" t="s">
        <v>5</v>
      </c>
      <c r="B149" t="s">
        <v>107</v>
      </c>
      <c r="C149" t="s">
        <v>224</v>
      </c>
      <c r="D149" s="110">
        <v>19085</v>
      </c>
      <c r="E149" s="111">
        <v>19085</v>
      </c>
      <c r="F149" s="111"/>
      <c r="G149" s="111"/>
      <c r="H149" s="112"/>
      <c r="I149" s="110">
        <v>18590</v>
      </c>
      <c r="J149" s="111">
        <v>18900</v>
      </c>
      <c r="K149" s="111"/>
      <c r="L149" s="111"/>
      <c r="M149" s="112"/>
    </row>
    <row r="150" spans="1:13" x14ac:dyDescent="0.2">
      <c r="A150" s="117" t="s">
        <v>5</v>
      </c>
      <c r="B150" s="117" t="s">
        <v>107</v>
      </c>
      <c r="C150" s="117" t="s">
        <v>225</v>
      </c>
      <c r="D150" s="118">
        <v>25888</v>
      </c>
      <c r="E150" s="119"/>
      <c r="F150" s="119"/>
      <c r="G150" s="119"/>
      <c r="H150" s="120"/>
      <c r="I150" s="118">
        <v>25188</v>
      </c>
      <c r="J150" s="119"/>
      <c r="K150" s="119"/>
      <c r="L150" s="119"/>
      <c r="M150" s="120"/>
    </row>
    <row r="151" spans="1:13" x14ac:dyDescent="0.2">
      <c r="A151" t="s">
        <v>5</v>
      </c>
      <c r="B151" t="s">
        <v>108</v>
      </c>
      <c r="C151" t="s">
        <v>222</v>
      </c>
      <c r="D151" s="110">
        <v>9985</v>
      </c>
      <c r="E151" s="111">
        <v>9985</v>
      </c>
      <c r="F151" s="111">
        <v>9985</v>
      </c>
      <c r="G151" s="111">
        <v>9985</v>
      </c>
      <c r="H151" s="112"/>
      <c r="I151" s="110">
        <v>9973</v>
      </c>
      <c r="J151" s="111">
        <v>9973</v>
      </c>
      <c r="K151" s="111">
        <v>9973</v>
      </c>
      <c r="L151" s="111">
        <v>9973</v>
      </c>
      <c r="M151" s="112"/>
    </row>
    <row r="152" spans="1:13" x14ac:dyDescent="0.2">
      <c r="A152" s="113" t="s">
        <v>5</v>
      </c>
      <c r="B152" s="113" t="s">
        <v>108</v>
      </c>
      <c r="C152" s="113" t="s">
        <v>223</v>
      </c>
      <c r="D152" s="114">
        <v>10936</v>
      </c>
      <c r="E152" s="115">
        <v>10936</v>
      </c>
      <c r="F152" s="115">
        <v>10936</v>
      </c>
      <c r="G152" s="115"/>
      <c r="H152" s="116"/>
      <c r="I152" s="114">
        <v>10936</v>
      </c>
      <c r="J152" s="115">
        <v>10936</v>
      </c>
      <c r="K152" s="115">
        <v>10936</v>
      </c>
      <c r="L152" s="115"/>
      <c r="M152" s="116"/>
    </row>
    <row r="153" spans="1:13" x14ac:dyDescent="0.2">
      <c r="A153" t="s">
        <v>5</v>
      </c>
      <c r="B153" t="s">
        <v>108</v>
      </c>
      <c r="C153" t="s">
        <v>224</v>
      </c>
      <c r="D153" s="110">
        <v>5690</v>
      </c>
      <c r="E153" s="111">
        <v>5690</v>
      </c>
      <c r="F153" s="111"/>
      <c r="G153" s="111"/>
      <c r="H153" s="112"/>
      <c r="I153" s="110">
        <v>5690</v>
      </c>
      <c r="J153" s="111">
        <v>5690</v>
      </c>
      <c r="K153" s="111"/>
      <c r="L153" s="111"/>
      <c r="M153" s="112"/>
    </row>
    <row r="154" spans="1:13" x14ac:dyDescent="0.2">
      <c r="A154" s="117" t="s">
        <v>5</v>
      </c>
      <c r="B154" s="117" t="s">
        <v>108</v>
      </c>
      <c r="C154" s="117" t="s">
        <v>225</v>
      </c>
      <c r="D154" s="118">
        <v>7081.5</v>
      </c>
      <c r="E154" s="119"/>
      <c r="F154" s="119"/>
      <c r="G154" s="119"/>
      <c r="H154" s="120"/>
      <c r="I154" s="118">
        <v>6681.5</v>
      </c>
      <c r="J154" s="119"/>
      <c r="K154" s="119"/>
      <c r="L154" s="119"/>
      <c r="M154" s="120"/>
    </row>
    <row r="155" spans="1:13" x14ac:dyDescent="0.2">
      <c r="A155" t="s">
        <v>5</v>
      </c>
      <c r="B155" t="s">
        <v>70</v>
      </c>
      <c r="C155" t="s">
        <v>222</v>
      </c>
      <c r="D155" s="110">
        <v>16091</v>
      </c>
      <c r="E155" s="111">
        <v>16091</v>
      </c>
      <c r="F155" s="111">
        <v>16091</v>
      </c>
      <c r="G155" s="111">
        <v>16091</v>
      </c>
      <c r="H155" s="112"/>
      <c r="I155" s="110">
        <v>14516.5</v>
      </c>
      <c r="J155" s="111">
        <v>14516.5</v>
      </c>
      <c r="K155" s="111">
        <v>14516.5</v>
      </c>
      <c r="L155" s="111">
        <v>14516.5</v>
      </c>
      <c r="M155" s="112"/>
    </row>
    <row r="156" spans="1:13" x14ac:dyDescent="0.2">
      <c r="A156" s="113" t="s">
        <v>5</v>
      </c>
      <c r="B156" s="113" t="s">
        <v>70</v>
      </c>
      <c r="C156" s="113" t="s">
        <v>223</v>
      </c>
      <c r="D156" s="114">
        <v>16062.5</v>
      </c>
      <c r="E156" s="115">
        <v>16182.5</v>
      </c>
      <c r="F156" s="115">
        <v>16181.5</v>
      </c>
      <c r="G156" s="115"/>
      <c r="H156" s="116"/>
      <c r="I156" s="114">
        <v>13307</v>
      </c>
      <c r="J156" s="115">
        <v>13965</v>
      </c>
      <c r="K156" s="115">
        <v>13965</v>
      </c>
      <c r="L156" s="115"/>
      <c r="M156" s="116"/>
    </row>
    <row r="157" spans="1:13" x14ac:dyDescent="0.2">
      <c r="A157" t="s">
        <v>5</v>
      </c>
      <c r="B157" t="s">
        <v>70</v>
      </c>
      <c r="C157" t="s">
        <v>224</v>
      </c>
      <c r="D157" s="110">
        <v>12170.5</v>
      </c>
      <c r="E157" s="111">
        <v>11870.5</v>
      </c>
      <c r="F157" s="111"/>
      <c r="G157" s="111"/>
      <c r="H157" s="112"/>
      <c r="I157" s="110">
        <v>9626</v>
      </c>
      <c r="J157" s="111">
        <v>9626</v>
      </c>
      <c r="K157" s="111"/>
      <c r="L157" s="111"/>
      <c r="M157" s="112"/>
    </row>
    <row r="158" spans="1:13" x14ac:dyDescent="0.2">
      <c r="A158" s="117" t="s">
        <v>5</v>
      </c>
      <c r="B158" s="117" t="s">
        <v>70</v>
      </c>
      <c r="C158" s="117" t="s">
        <v>225</v>
      </c>
      <c r="D158" s="118">
        <v>15477</v>
      </c>
      <c r="E158" s="119"/>
      <c r="F158" s="119"/>
      <c r="G158" s="119"/>
      <c r="H158" s="120"/>
      <c r="I158" s="118">
        <v>12894.5</v>
      </c>
      <c r="J158" s="119"/>
      <c r="K158" s="119"/>
      <c r="L158" s="119"/>
      <c r="M158" s="120"/>
    </row>
    <row r="159" spans="1:13" x14ac:dyDescent="0.2">
      <c r="A159" t="s">
        <v>5</v>
      </c>
      <c r="B159" t="s">
        <v>110</v>
      </c>
      <c r="C159" t="s">
        <v>222</v>
      </c>
      <c r="D159" s="110">
        <v>393296.5</v>
      </c>
      <c r="E159" s="111">
        <v>385280</v>
      </c>
      <c r="F159" s="111">
        <v>384703.25</v>
      </c>
      <c r="G159" s="111">
        <v>383990.55</v>
      </c>
      <c r="H159" s="112"/>
      <c r="I159" s="110">
        <v>116383.25</v>
      </c>
      <c r="J159" s="111">
        <v>305625.95</v>
      </c>
      <c r="K159" s="111">
        <v>329829.95</v>
      </c>
      <c r="L159" s="111">
        <v>344571.25</v>
      </c>
      <c r="M159" s="112"/>
    </row>
    <row r="160" spans="1:13" x14ac:dyDescent="0.2">
      <c r="A160" s="113" t="s">
        <v>5</v>
      </c>
      <c r="B160" s="113" t="s">
        <v>110</v>
      </c>
      <c r="C160" s="113" t="s">
        <v>223</v>
      </c>
      <c r="D160" s="114">
        <v>392368.1</v>
      </c>
      <c r="E160" s="115">
        <v>394265.75</v>
      </c>
      <c r="F160" s="115">
        <v>392161</v>
      </c>
      <c r="G160" s="115"/>
      <c r="H160" s="116"/>
      <c r="I160" s="114">
        <v>128046.1</v>
      </c>
      <c r="J160" s="115">
        <v>274681.25</v>
      </c>
      <c r="K160" s="115">
        <v>336215.25</v>
      </c>
      <c r="L160" s="115"/>
      <c r="M160" s="116"/>
    </row>
    <row r="161" spans="1:13" x14ac:dyDescent="0.2">
      <c r="A161" t="s">
        <v>5</v>
      </c>
      <c r="B161" t="s">
        <v>110</v>
      </c>
      <c r="C161" t="s">
        <v>224</v>
      </c>
      <c r="D161" s="110">
        <v>353733.55</v>
      </c>
      <c r="E161" s="111">
        <v>357978.15</v>
      </c>
      <c r="F161" s="111"/>
      <c r="G161" s="111"/>
      <c r="H161" s="112"/>
      <c r="I161" s="110">
        <v>88309.3</v>
      </c>
      <c r="J161" s="111">
        <v>255885.05</v>
      </c>
      <c r="K161" s="111"/>
      <c r="L161" s="111"/>
      <c r="M161" s="112"/>
    </row>
    <row r="162" spans="1:13" ht="13.5" thickBot="1" x14ac:dyDescent="0.25">
      <c r="A162" s="128" t="s">
        <v>5</v>
      </c>
      <c r="B162" s="128" t="s">
        <v>110</v>
      </c>
      <c r="C162" s="128" t="s">
        <v>225</v>
      </c>
      <c r="D162" s="129">
        <v>441853.25</v>
      </c>
      <c r="E162" s="130"/>
      <c r="F162" s="130"/>
      <c r="G162" s="130"/>
      <c r="H162" s="131"/>
      <c r="I162" s="129">
        <v>138686.75</v>
      </c>
      <c r="J162" s="130"/>
      <c r="K162" s="130"/>
      <c r="L162" s="130"/>
      <c r="M162" s="131"/>
    </row>
    <row r="163" spans="1:13" x14ac:dyDescent="0.2">
      <c r="A163" s="132" t="s">
        <v>6</v>
      </c>
      <c r="B163" s="132" t="s">
        <v>104</v>
      </c>
      <c r="C163" s="132" t="s">
        <v>222</v>
      </c>
      <c r="D163" s="133">
        <v>898984.65</v>
      </c>
      <c r="E163" s="134">
        <v>844196.15</v>
      </c>
      <c r="F163" s="134">
        <v>843271.15</v>
      </c>
      <c r="G163" s="134">
        <v>842889.65</v>
      </c>
      <c r="H163" s="135"/>
      <c r="I163" s="133">
        <v>32986.14</v>
      </c>
      <c r="J163" s="134">
        <v>50676.160000000003</v>
      </c>
      <c r="K163" s="134">
        <v>71817.08</v>
      </c>
      <c r="L163" s="134">
        <v>88652.01</v>
      </c>
      <c r="M163" s="135"/>
    </row>
    <row r="164" spans="1:13" x14ac:dyDescent="0.2">
      <c r="A164" s="113" t="s">
        <v>6</v>
      </c>
      <c r="B164" s="113" t="s">
        <v>104</v>
      </c>
      <c r="C164" s="113" t="s">
        <v>223</v>
      </c>
      <c r="D164" s="114">
        <v>1620671.45</v>
      </c>
      <c r="E164" s="115">
        <v>1617622.45</v>
      </c>
      <c r="F164" s="115">
        <v>1617063.95</v>
      </c>
      <c r="G164" s="115"/>
      <c r="H164" s="116"/>
      <c r="I164" s="114">
        <v>45023.79</v>
      </c>
      <c r="J164" s="115">
        <v>58591.57</v>
      </c>
      <c r="K164" s="115">
        <v>67571.100000000006</v>
      </c>
      <c r="L164" s="115"/>
      <c r="M164" s="116"/>
    </row>
    <row r="165" spans="1:13" x14ac:dyDescent="0.2">
      <c r="A165" t="s">
        <v>6</v>
      </c>
      <c r="B165" t="s">
        <v>104</v>
      </c>
      <c r="C165" t="s">
        <v>224</v>
      </c>
      <c r="D165" s="110">
        <v>464169.55</v>
      </c>
      <c r="E165" s="111">
        <v>460410.05</v>
      </c>
      <c r="F165" s="111"/>
      <c r="G165" s="111"/>
      <c r="H165" s="112"/>
      <c r="I165" s="110">
        <v>26037.34</v>
      </c>
      <c r="J165" s="111">
        <v>29841.11</v>
      </c>
      <c r="K165" s="111"/>
      <c r="L165" s="111"/>
      <c r="M165" s="112"/>
    </row>
    <row r="166" spans="1:13" x14ac:dyDescent="0.2">
      <c r="A166" s="117" t="s">
        <v>6</v>
      </c>
      <c r="B166" s="117" t="s">
        <v>104</v>
      </c>
      <c r="C166" s="117" t="s">
        <v>225</v>
      </c>
      <c r="D166" s="118">
        <v>751321</v>
      </c>
      <c r="E166" s="119"/>
      <c r="F166" s="119"/>
      <c r="G166" s="119"/>
      <c r="H166" s="120"/>
      <c r="I166" s="118">
        <v>31843.22</v>
      </c>
      <c r="J166" s="119"/>
      <c r="K166" s="119"/>
      <c r="L166" s="119"/>
      <c r="M166" s="120"/>
    </row>
    <row r="167" spans="1:13" x14ac:dyDescent="0.2">
      <c r="A167" t="s">
        <v>6</v>
      </c>
      <c r="B167" t="s">
        <v>140</v>
      </c>
      <c r="C167" t="s">
        <v>222</v>
      </c>
      <c r="D167" s="110">
        <v>82148</v>
      </c>
      <c r="E167" s="111">
        <v>32148</v>
      </c>
      <c r="F167" s="111">
        <v>32148</v>
      </c>
      <c r="G167" s="111">
        <v>32148</v>
      </c>
      <c r="H167" s="112"/>
      <c r="I167" s="110">
        <v>247</v>
      </c>
      <c r="J167" s="111">
        <v>247</v>
      </c>
      <c r="K167" s="111">
        <v>247</v>
      </c>
      <c r="L167" s="111">
        <v>247</v>
      </c>
      <c r="M167" s="112"/>
    </row>
    <row r="168" spans="1:13" x14ac:dyDescent="0.2">
      <c r="A168" s="113" t="s">
        <v>6</v>
      </c>
      <c r="B168" s="113" t="s">
        <v>140</v>
      </c>
      <c r="C168" s="113" t="s">
        <v>223</v>
      </c>
      <c r="D168" s="114">
        <v>841075</v>
      </c>
      <c r="E168" s="115">
        <v>841075</v>
      </c>
      <c r="F168" s="115">
        <v>841075</v>
      </c>
      <c r="G168" s="115"/>
      <c r="H168" s="116"/>
      <c r="I168" s="114">
        <v>263</v>
      </c>
      <c r="J168" s="115">
        <v>263</v>
      </c>
      <c r="K168" s="115">
        <v>263</v>
      </c>
      <c r="L168" s="115"/>
      <c r="M168" s="116"/>
    </row>
    <row r="169" spans="1:13" x14ac:dyDescent="0.2">
      <c r="A169" t="s">
        <v>6</v>
      </c>
      <c r="B169" t="s">
        <v>140</v>
      </c>
      <c r="C169" t="s">
        <v>224</v>
      </c>
      <c r="D169" s="110">
        <v>105755</v>
      </c>
      <c r="E169" s="111">
        <v>105755</v>
      </c>
      <c r="F169" s="111"/>
      <c r="G169" s="111"/>
      <c r="H169" s="112"/>
      <c r="I169" s="110">
        <v>211</v>
      </c>
      <c r="J169" s="111">
        <v>211</v>
      </c>
      <c r="K169" s="111"/>
      <c r="L169" s="111"/>
      <c r="M169" s="112"/>
    </row>
    <row r="170" spans="1:13" x14ac:dyDescent="0.2">
      <c r="A170" s="117" t="s">
        <v>6</v>
      </c>
      <c r="B170" s="117" t="s">
        <v>140</v>
      </c>
      <c r="C170" s="117" t="s">
        <v>225</v>
      </c>
      <c r="D170" s="118">
        <v>173474</v>
      </c>
      <c r="E170" s="119"/>
      <c r="F170" s="119"/>
      <c r="G170" s="119"/>
      <c r="H170" s="120"/>
      <c r="I170" s="118">
        <v>166</v>
      </c>
      <c r="J170" s="119"/>
      <c r="K170" s="119"/>
      <c r="L170" s="119"/>
      <c r="M170" s="120"/>
    </row>
    <row r="171" spans="1:13" x14ac:dyDescent="0.2">
      <c r="A171" t="s">
        <v>6</v>
      </c>
      <c r="B171" t="s">
        <v>105</v>
      </c>
      <c r="C171" t="s">
        <v>222</v>
      </c>
      <c r="D171" s="110">
        <v>437097.7</v>
      </c>
      <c r="E171" s="111">
        <v>432292.2</v>
      </c>
      <c r="F171" s="111">
        <v>431867.2</v>
      </c>
      <c r="G171" s="111">
        <v>430870.2</v>
      </c>
      <c r="H171" s="112"/>
      <c r="I171" s="110">
        <v>81175.59</v>
      </c>
      <c r="J171" s="111">
        <v>102201.72</v>
      </c>
      <c r="K171" s="111">
        <v>126194.55</v>
      </c>
      <c r="L171" s="111">
        <v>143139.15</v>
      </c>
      <c r="M171" s="112"/>
    </row>
    <row r="172" spans="1:13" x14ac:dyDescent="0.2">
      <c r="A172" s="113" t="s">
        <v>6</v>
      </c>
      <c r="B172" s="113" t="s">
        <v>105</v>
      </c>
      <c r="C172" s="113" t="s">
        <v>223</v>
      </c>
      <c r="D172" s="114">
        <v>439055.9</v>
      </c>
      <c r="E172" s="115">
        <v>434306.9</v>
      </c>
      <c r="F172" s="115">
        <v>432490.9</v>
      </c>
      <c r="G172" s="115"/>
      <c r="H172" s="116"/>
      <c r="I172" s="114">
        <v>77127.429999999993</v>
      </c>
      <c r="J172" s="115">
        <v>104279.34</v>
      </c>
      <c r="K172" s="115">
        <v>124662.41</v>
      </c>
      <c r="L172" s="115"/>
      <c r="M172" s="116"/>
    </row>
    <row r="173" spans="1:13" x14ac:dyDescent="0.2">
      <c r="A173" t="s">
        <v>6</v>
      </c>
      <c r="B173" t="s">
        <v>105</v>
      </c>
      <c r="C173" t="s">
        <v>224</v>
      </c>
      <c r="D173" s="110">
        <v>228683.88</v>
      </c>
      <c r="E173" s="111">
        <v>223782.88</v>
      </c>
      <c r="F173" s="111"/>
      <c r="G173" s="111"/>
      <c r="H173" s="112"/>
      <c r="I173" s="110">
        <v>54757.66</v>
      </c>
      <c r="J173" s="111">
        <v>69999.240000000005</v>
      </c>
      <c r="K173" s="111"/>
      <c r="L173" s="111"/>
      <c r="M173" s="112"/>
    </row>
    <row r="174" spans="1:13" x14ac:dyDescent="0.2">
      <c r="A174" s="117" t="s">
        <v>6</v>
      </c>
      <c r="B174" s="117" t="s">
        <v>105</v>
      </c>
      <c r="C174" s="117" t="s">
        <v>225</v>
      </c>
      <c r="D174" s="118">
        <v>401132.71</v>
      </c>
      <c r="E174" s="119"/>
      <c r="F174" s="119"/>
      <c r="G174" s="119"/>
      <c r="H174" s="120"/>
      <c r="I174" s="118">
        <v>72301.58</v>
      </c>
      <c r="J174" s="119"/>
      <c r="K174" s="119"/>
      <c r="L174" s="119"/>
      <c r="M174" s="120"/>
    </row>
    <row r="175" spans="1:13" x14ac:dyDescent="0.2">
      <c r="A175" t="s">
        <v>6</v>
      </c>
      <c r="B175" t="s">
        <v>111</v>
      </c>
      <c r="C175" t="s">
        <v>222</v>
      </c>
      <c r="D175" s="110">
        <v>28571.05</v>
      </c>
      <c r="E175" s="111">
        <v>27971.05</v>
      </c>
      <c r="F175" s="111">
        <v>27671.05</v>
      </c>
      <c r="G175" s="111">
        <v>27171.05</v>
      </c>
      <c r="H175" s="112"/>
      <c r="I175" s="110">
        <v>550.54999999999995</v>
      </c>
      <c r="J175" s="111">
        <v>657.55</v>
      </c>
      <c r="K175" s="111">
        <v>757.55</v>
      </c>
      <c r="L175" s="111">
        <v>952.55</v>
      </c>
      <c r="M175" s="112"/>
    </row>
    <row r="176" spans="1:13" x14ac:dyDescent="0.2">
      <c r="A176" s="113" t="s">
        <v>6</v>
      </c>
      <c r="B176" s="113" t="s">
        <v>111</v>
      </c>
      <c r="C176" s="113" t="s">
        <v>223</v>
      </c>
      <c r="D176" s="114">
        <v>24149.200000000001</v>
      </c>
      <c r="E176" s="115">
        <v>23899.200000000001</v>
      </c>
      <c r="F176" s="115">
        <v>23149.200000000001</v>
      </c>
      <c r="G176" s="115"/>
      <c r="H176" s="116"/>
      <c r="I176" s="114">
        <v>901.2</v>
      </c>
      <c r="J176" s="115">
        <v>1001.2</v>
      </c>
      <c r="K176" s="115">
        <v>1419.2</v>
      </c>
      <c r="L176" s="115"/>
      <c r="M176" s="116"/>
    </row>
    <row r="177" spans="1:13" x14ac:dyDescent="0.2">
      <c r="A177" t="s">
        <v>6</v>
      </c>
      <c r="B177" t="s">
        <v>111</v>
      </c>
      <c r="C177" t="s">
        <v>224</v>
      </c>
      <c r="D177" s="110">
        <v>19468.849999999999</v>
      </c>
      <c r="E177" s="111">
        <v>19218.849999999999</v>
      </c>
      <c r="F177" s="111"/>
      <c r="G177" s="111"/>
      <c r="H177" s="112"/>
      <c r="I177" s="110">
        <v>281.35000000000002</v>
      </c>
      <c r="J177" s="111">
        <v>426.35</v>
      </c>
      <c r="K177" s="111"/>
      <c r="L177" s="111"/>
      <c r="M177" s="112"/>
    </row>
    <row r="178" spans="1:13" x14ac:dyDescent="0.2">
      <c r="A178" s="117" t="s">
        <v>6</v>
      </c>
      <c r="B178" s="117" t="s">
        <v>111</v>
      </c>
      <c r="C178" s="117" t="s">
        <v>225</v>
      </c>
      <c r="D178" s="118">
        <v>21650.5</v>
      </c>
      <c r="E178" s="119"/>
      <c r="F178" s="119"/>
      <c r="G178" s="119"/>
      <c r="H178" s="120"/>
      <c r="I178" s="118">
        <v>943</v>
      </c>
      <c r="J178" s="119"/>
      <c r="K178" s="119"/>
      <c r="L178" s="119"/>
      <c r="M178" s="120"/>
    </row>
    <row r="179" spans="1:13" x14ac:dyDescent="0.2">
      <c r="A179" s="124" t="s">
        <v>6</v>
      </c>
      <c r="B179" s="124" t="s">
        <v>109</v>
      </c>
      <c r="C179" s="124" t="s">
        <v>222</v>
      </c>
      <c r="D179" s="125">
        <v>590444.48</v>
      </c>
      <c r="E179" s="126">
        <v>580927.48</v>
      </c>
      <c r="F179" s="126">
        <v>572016.48</v>
      </c>
      <c r="G179" s="126">
        <v>570286.48</v>
      </c>
      <c r="H179" s="127"/>
      <c r="I179" s="125">
        <v>119041.13</v>
      </c>
      <c r="J179" s="126">
        <v>180912.42</v>
      </c>
      <c r="K179" s="126">
        <v>232894.27</v>
      </c>
      <c r="L179" s="126">
        <v>280352.07</v>
      </c>
      <c r="M179" s="127"/>
    </row>
    <row r="180" spans="1:13" x14ac:dyDescent="0.2">
      <c r="A180" s="113" t="s">
        <v>6</v>
      </c>
      <c r="B180" s="113" t="s">
        <v>109</v>
      </c>
      <c r="C180" s="113" t="s">
        <v>223</v>
      </c>
      <c r="D180" s="114">
        <v>535825.94999999995</v>
      </c>
      <c r="E180" s="115">
        <v>527155.55000000005</v>
      </c>
      <c r="F180" s="115">
        <v>520748.55</v>
      </c>
      <c r="G180" s="115"/>
      <c r="H180" s="116"/>
      <c r="I180" s="114">
        <v>122444.47</v>
      </c>
      <c r="J180" s="115">
        <v>168167.77</v>
      </c>
      <c r="K180" s="115">
        <v>211778.15</v>
      </c>
      <c r="L180" s="115"/>
      <c r="M180" s="116"/>
    </row>
    <row r="181" spans="1:13" x14ac:dyDescent="0.2">
      <c r="A181" t="s">
        <v>6</v>
      </c>
      <c r="B181" t="s">
        <v>109</v>
      </c>
      <c r="C181" t="s">
        <v>224</v>
      </c>
      <c r="D181" s="110">
        <v>225548.85</v>
      </c>
      <c r="E181" s="111">
        <v>224079.85</v>
      </c>
      <c r="F181" s="111"/>
      <c r="G181" s="111"/>
      <c r="H181" s="112"/>
      <c r="I181" s="110">
        <v>49961.67</v>
      </c>
      <c r="J181" s="111">
        <v>78170.289999999994</v>
      </c>
      <c r="K181" s="111"/>
      <c r="L181" s="111"/>
      <c r="M181" s="112"/>
    </row>
    <row r="182" spans="1:13" x14ac:dyDescent="0.2">
      <c r="A182" s="117" t="s">
        <v>6</v>
      </c>
      <c r="B182" s="117" t="s">
        <v>109</v>
      </c>
      <c r="C182" s="117" t="s">
        <v>225</v>
      </c>
      <c r="D182" s="118">
        <v>472364.5</v>
      </c>
      <c r="E182" s="119"/>
      <c r="F182" s="119"/>
      <c r="G182" s="119"/>
      <c r="H182" s="120"/>
      <c r="I182" s="118">
        <v>95922.73</v>
      </c>
      <c r="J182" s="119"/>
      <c r="K182" s="119"/>
      <c r="L182" s="119"/>
      <c r="M182" s="120"/>
    </row>
    <row r="183" spans="1:13" x14ac:dyDescent="0.2">
      <c r="A183" t="s">
        <v>6</v>
      </c>
      <c r="B183" t="s">
        <v>106</v>
      </c>
      <c r="C183" t="s">
        <v>222</v>
      </c>
      <c r="D183" s="110">
        <v>738344.55</v>
      </c>
      <c r="E183" s="111">
        <v>738259.55</v>
      </c>
      <c r="F183" s="111">
        <v>738259.55</v>
      </c>
      <c r="G183" s="111">
        <v>738259.55</v>
      </c>
      <c r="H183" s="112"/>
      <c r="I183" s="110">
        <v>671123.59</v>
      </c>
      <c r="J183" s="111">
        <v>731441.73</v>
      </c>
      <c r="K183" s="111">
        <v>731443.66</v>
      </c>
      <c r="L183" s="111">
        <v>731443.71</v>
      </c>
      <c r="M183" s="112"/>
    </row>
    <row r="184" spans="1:13" x14ac:dyDescent="0.2">
      <c r="A184" s="113" t="s">
        <v>6</v>
      </c>
      <c r="B184" s="113" t="s">
        <v>106</v>
      </c>
      <c r="C184" s="113" t="s">
        <v>223</v>
      </c>
      <c r="D184" s="114">
        <v>683096</v>
      </c>
      <c r="E184" s="115">
        <v>683096</v>
      </c>
      <c r="F184" s="115">
        <v>683046</v>
      </c>
      <c r="G184" s="115"/>
      <c r="H184" s="116"/>
      <c r="I184" s="114">
        <v>658796.32999999996</v>
      </c>
      <c r="J184" s="115">
        <v>672461.84</v>
      </c>
      <c r="K184" s="115">
        <v>673263.92</v>
      </c>
      <c r="L184" s="115"/>
      <c r="M184" s="116"/>
    </row>
    <row r="185" spans="1:13" x14ac:dyDescent="0.2">
      <c r="A185" t="s">
        <v>6</v>
      </c>
      <c r="B185" t="s">
        <v>106</v>
      </c>
      <c r="C185" t="s">
        <v>224</v>
      </c>
      <c r="D185" s="110">
        <v>431648.85</v>
      </c>
      <c r="E185" s="111">
        <v>431233.85</v>
      </c>
      <c r="F185" s="111"/>
      <c r="G185" s="111"/>
      <c r="H185" s="112"/>
      <c r="I185" s="110">
        <v>418295.79</v>
      </c>
      <c r="J185" s="111">
        <v>427180.88</v>
      </c>
      <c r="K185" s="111"/>
      <c r="L185" s="111"/>
      <c r="M185" s="112"/>
    </row>
    <row r="186" spans="1:13" x14ac:dyDescent="0.2">
      <c r="A186" s="117" t="s">
        <v>6</v>
      </c>
      <c r="B186" s="117" t="s">
        <v>106</v>
      </c>
      <c r="C186" s="117" t="s">
        <v>225</v>
      </c>
      <c r="D186" s="118">
        <v>501100.31</v>
      </c>
      <c r="E186" s="119"/>
      <c r="F186" s="119"/>
      <c r="G186" s="119"/>
      <c r="H186" s="120"/>
      <c r="I186" s="118">
        <v>472214.19</v>
      </c>
      <c r="J186" s="119"/>
      <c r="K186" s="119"/>
      <c r="L186" s="119"/>
      <c r="M186" s="120"/>
    </row>
    <row r="187" spans="1:13" x14ac:dyDescent="0.2">
      <c r="A187" t="s">
        <v>6</v>
      </c>
      <c r="B187" t="s">
        <v>107</v>
      </c>
      <c r="C187" t="s">
        <v>222</v>
      </c>
      <c r="D187" s="110">
        <v>823890.25</v>
      </c>
      <c r="E187" s="111">
        <v>823795.25</v>
      </c>
      <c r="F187" s="111">
        <v>823795.25</v>
      </c>
      <c r="G187" s="111">
        <v>823795.25</v>
      </c>
      <c r="H187" s="112"/>
      <c r="I187" s="110">
        <v>735447.75</v>
      </c>
      <c r="J187" s="111">
        <v>819126.75</v>
      </c>
      <c r="K187" s="111">
        <v>819331.75</v>
      </c>
      <c r="L187" s="111">
        <v>819331.75</v>
      </c>
      <c r="M187" s="112"/>
    </row>
    <row r="188" spans="1:13" x14ac:dyDescent="0.2">
      <c r="A188" s="113" t="s">
        <v>6</v>
      </c>
      <c r="B188" s="113" t="s">
        <v>107</v>
      </c>
      <c r="C188" s="113" t="s">
        <v>223</v>
      </c>
      <c r="D188" s="114">
        <v>673565.15</v>
      </c>
      <c r="E188" s="115">
        <v>673555.15</v>
      </c>
      <c r="F188" s="115">
        <v>673370.15</v>
      </c>
      <c r="G188" s="115"/>
      <c r="H188" s="116"/>
      <c r="I188" s="114">
        <v>656100.15</v>
      </c>
      <c r="J188" s="115">
        <v>670705.15</v>
      </c>
      <c r="K188" s="115">
        <v>670250.15</v>
      </c>
      <c r="L188" s="115"/>
      <c r="M188" s="116"/>
    </row>
    <row r="189" spans="1:13" x14ac:dyDescent="0.2">
      <c r="A189" t="s">
        <v>6</v>
      </c>
      <c r="B189" t="s">
        <v>107</v>
      </c>
      <c r="C189" t="s">
        <v>224</v>
      </c>
      <c r="D189" s="110">
        <v>316305.3</v>
      </c>
      <c r="E189" s="111">
        <v>316220.3</v>
      </c>
      <c r="F189" s="111"/>
      <c r="G189" s="111"/>
      <c r="H189" s="112"/>
      <c r="I189" s="110">
        <v>305634.92</v>
      </c>
      <c r="J189" s="111">
        <v>314504.92</v>
      </c>
      <c r="K189" s="111"/>
      <c r="L189" s="111"/>
      <c r="M189" s="112"/>
    </row>
    <row r="190" spans="1:13" x14ac:dyDescent="0.2">
      <c r="A190" s="117" t="s">
        <v>6</v>
      </c>
      <c r="B190" s="117" t="s">
        <v>107</v>
      </c>
      <c r="C190" s="117" t="s">
        <v>225</v>
      </c>
      <c r="D190" s="118">
        <v>395525.3</v>
      </c>
      <c r="E190" s="119"/>
      <c r="F190" s="119"/>
      <c r="G190" s="119"/>
      <c r="H190" s="120"/>
      <c r="I190" s="118">
        <v>373284.28</v>
      </c>
      <c r="J190" s="119"/>
      <c r="K190" s="119"/>
      <c r="L190" s="119"/>
      <c r="M190" s="120"/>
    </row>
    <row r="191" spans="1:13" x14ac:dyDescent="0.2">
      <c r="A191" t="s">
        <v>6</v>
      </c>
      <c r="B191" t="s">
        <v>108</v>
      </c>
      <c r="C191" t="s">
        <v>222</v>
      </c>
      <c r="D191" s="110">
        <v>203167.1</v>
      </c>
      <c r="E191" s="111">
        <v>203167.1</v>
      </c>
      <c r="F191" s="111">
        <v>203167.1</v>
      </c>
      <c r="G191" s="111">
        <v>203167.1</v>
      </c>
      <c r="H191" s="112"/>
      <c r="I191" s="110">
        <v>195067.96</v>
      </c>
      <c r="J191" s="111">
        <v>201508.96</v>
      </c>
      <c r="K191" s="111">
        <v>201908.96</v>
      </c>
      <c r="L191" s="111">
        <v>201908.96</v>
      </c>
      <c r="M191" s="112"/>
    </row>
    <row r="192" spans="1:13" x14ac:dyDescent="0.2">
      <c r="A192" s="113" t="s">
        <v>6</v>
      </c>
      <c r="B192" s="113" t="s">
        <v>108</v>
      </c>
      <c r="C192" s="113" t="s">
        <v>223</v>
      </c>
      <c r="D192" s="114">
        <v>235667</v>
      </c>
      <c r="E192" s="115">
        <v>235667</v>
      </c>
      <c r="F192" s="115">
        <v>235667</v>
      </c>
      <c r="G192" s="115"/>
      <c r="H192" s="116"/>
      <c r="I192" s="114">
        <v>225189.96</v>
      </c>
      <c r="J192" s="115">
        <v>230962.92</v>
      </c>
      <c r="K192" s="115">
        <v>231073.53</v>
      </c>
      <c r="L192" s="115"/>
      <c r="M192" s="116"/>
    </row>
    <row r="193" spans="1:13" x14ac:dyDescent="0.2">
      <c r="A193" t="s">
        <v>6</v>
      </c>
      <c r="B193" t="s">
        <v>108</v>
      </c>
      <c r="C193" t="s">
        <v>224</v>
      </c>
      <c r="D193" s="110">
        <v>229845.4</v>
      </c>
      <c r="E193" s="111">
        <v>229845.4</v>
      </c>
      <c r="F193" s="111"/>
      <c r="G193" s="111"/>
      <c r="H193" s="112"/>
      <c r="I193" s="110">
        <v>218932.13</v>
      </c>
      <c r="J193" s="111">
        <v>228809.8</v>
      </c>
      <c r="K193" s="111"/>
      <c r="L193" s="111"/>
      <c r="M193" s="112"/>
    </row>
    <row r="194" spans="1:13" x14ac:dyDescent="0.2">
      <c r="A194" s="117" t="s">
        <v>6</v>
      </c>
      <c r="B194" s="117" t="s">
        <v>108</v>
      </c>
      <c r="C194" s="117" t="s">
        <v>225</v>
      </c>
      <c r="D194" s="118">
        <v>261363.45</v>
      </c>
      <c r="E194" s="119"/>
      <c r="F194" s="119"/>
      <c r="G194" s="119"/>
      <c r="H194" s="120"/>
      <c r="I194" s="118">
        <v>244681.44</v>
      </c>
      <c r="J194" s="119"/>
      <c r="K194" s="119"/>
      <c r="L194" s="119"/>
      <c r="M194" s="120"/>
    </row>
    <row r="195" spans="1:13" x14ac:dyDescent="0.2">
      <c r="A195" t="s">
        <v>6</v>
      </c>
      <c r="B195" t="s">
        <v>70</v>
      </c>
      <c r="C195" t="s">
        <v>222</v>
      </c>
      <c r="D195" s="110">
        <v>318508.84999999998</v>
      </c>
      <c r="E195" s="111">
        <v>317913.84999999998</v>
      </c>
      <c r="F195" s="111">
        <v>317384.84999999998</v>
      </c>
      <c r="G195" s="111">
        <v>317324.84999999998</v>
      </c>
      <c r="H195" s="112"/>
      <c r="I195" s="110">
        <v>276858.93</v>
      </c>
      <c r="J195" s="111">
        <v>292426.21000000002</v>
      </c>
      <c r="K195" s="111">
        <v>294342.55</v>
      </c>
      <c r="L195" s="111">
        <v>295756.55</v>
      </c>
      <c r="M195" s="112"/>
    </row>
    <row r="196" spans="1:13" x14ac:dyDescent="0.2">
      <c r="A196" s="113" t="s">
        <v>6</v>
      </c>
      <c r="B196" s="113" t="s">
        <v>70</v>
      </c>
      <c r="C196" s="113" t="s">
        <v>223</v>
      </c>
      <c r="D196" s="114">
        <v>310336.8</v>
      </c>
      <c r="E196" s="115">
        <v>310336.8</v>
      </c>
      <c r="F196" s="115">
        <v>310336.8</v>
      </c>
      <c r="G196" s="115"/>
      <c r="H196" s="116"/>
      <c r="I196" s="114">
        <v>279725.38</v>
      </c>
      <c r="J196" s="115">
        <v>288153.28000000003</v>
      </c>
      <c r="K196" s="115">
        <v>289829.81</v>
      </c>
      <c r="L196" s="115"/>
      <c r="M196" s="116"/>
    </row>
    <row r="197" spans="1:13" x14ac:dyDescent="0.2">
      <c r="A197" t="s">
        <v>6</v>
      </c>
      <c r="B197" t="s">
        <v>70</v>
      </c>
      <c r="C197" t="s">
        <v>224</v>
      </c>
      <c r="D197" s="110">
        <v>281267.25</v>
      </c>
      <c r="E197" s="111">
        <v>280858.25</v>
      </c>
      <c r="F197" s="111"/>
      <c r="G197" s="111"/>
      <c r="H197" s="112"/>
      <c r="I197" s="110">
        <v>258137.24</v>
      </c>
      <c r="J197" s="111">
        <v>265197.24</v>
      </c>
      <c r="K197" s="111"/>
      <c r="L197" s="111"/>
      <c r="M197" s="112"/>
    </row>
    <row r="198" spans="1:13" x14ac:dyDescent="0.2">
      <c r="A198" s="117" t="s">
        <v>6</v>
      </c>
      <c r="B198" s="117" t="s">
        <v>70</v>
      </c>
      <c r="C198" s="117" t="s">
        <v>225</v>
      </c>
      <c r="D198" s="118">
        <v>341167.5</v>
      </c>
      <c r="E198" s="119"/>
      <c r="F198" s="119"/>
      <c r="G198" s="119"/>
      <c r="H198" s="120"/>
      <c r="I198" s="118">
        <v>310291.48</v>
      </c>
      <c r="J198" s="119"/>
      <c r="K198" s="119"/>
      <c r="L198" s="119"/>
      <c r="M198" s="120"/>
    </row>
    <row r="199" spans="1:13" x14ac:dyDescent="0.2">
      <c r="A199" t="s">
        <v>6</v>
      </c>
      <c r="B199" t="s">
        <v>110</v>
      </c>
      <c r="C199" t="s">
        <v>222</v>
      </c>
      <c r="D199" s="110">
        <v>1547621.48</v>
      </c>
      <c r="E199" s="111">
        <v>1474773.83</v>
      </c>
      <c r="F199" s="111">
        <v>1473911.58</v>
      </c>
      <c r="G199" s="111">
        <v>1462832.08</v>
      </c>
      <c r="H199" s="112"/>
      <c r="I199" s="110">
        <v>799423.83</v>
      </c>
      <c r="J199" s="111">
        <v>1181159</v>
      </c>
      <c r="K199" s="111">
        <v>1258207.05</v>
      </c>
      <c r="L199" s="111">
        <v>1288595.8500000001</v>
      </c>
      <c r="M199" s="112"/>
    </row>
    <row r="200" spans="1:13" x14ac:dyDescent="0.2">
      <c r="A200" s="113" t="s">
        <v>6</v>
      </c>
      <c r="B200" s="113" t="s">
        <v>110</v>
      </c>
      <c r="C200" s="113" t="s">
        <v>223</v>
      </c>
      <c r="D200" s="114">
        <v>1549893.32</v>
      </c>
      <c r="E200" s="115">
        <v>1533074.32</v>
      </c>
      <c r="F200" s="115">
        <v>1478369.72</v>
      </c>
      <c r="G200" s="115"/>
      <c r="H200" s="116"/>
      <c r="I200" s="114">
        <v>839065.4</v>
      </c>
      <c r="J200" s="115">
        <v>1133690.8799999999</v>
      </c>
      <c r="K200" s="115">
        <v>1215047.6399999999</v>
      </c>
      <c r="L200" s="115"/>
      <c r="M200" s="116"/>
    </row>
    <row r="201" spans="1:13" x14ac:dyDescent="0.2">
      <c r="A201" t="s">
        <v>6</v>
      </c>
      <c r="B201" t="s">
        <v>110</v>
      </c>
      <c r="C201" t="s">
        <v>224</v>
      </c>
      <c r="D201" s="110">
        <v>1030603.06</v>
      </c>
      <c r="E201" s="111">
        <v>962994.86</v>
      </c>
      <c r="F201" s="111"/>
      <c r="G201" s="111"/>
      <c r="H201" s="112"/>
      <c r="I201" s="110">
        <v>434719.36</v>
      </c>
      <c r="J201" s="111">
        <v>693382.91</v>
      </c>
      <c r="K201" s="111"/>
      <c r="L201" s="111"/>
      <c r="M201" s="112"/>
    </row>
    <row r="202" spans="1:13" ht="13.5" thickBot="1" x14ac:dyDescent="0.25">
      <c r="A202" s="128" t="s">
        <v>6</v>
      </c>
      <c r="B202" s="128" t="s">
        <v>110</v>
      </c>
      <c r="C202" s="128" t="s">
        <v>225</v>
      </c>
      <c r="D202" s="129">
        <v>1484265.91</v>
      </c>
      <c r="E202" s="130"/>
      <c r="F202" s="130"/>
      <c r="G202" s="130"/>
      <c r="H202" s="131"/>
      <c r="I202" s="129">
        <v>708833.39</v>
      </c>
      <c r="J202" s="130"/>
      <c r="K202" s="130"/>
      <c r="L202" s="130"/>
      <c r="M202" s="131"/>
    </row>
    <row r="203" spans="1:13" x14ac:dyDescent="0.2">
      <c r="A203" s="132" t="s">
        <v>7</v>
      </c>
      <c r="B203" s="132" t="s">
        <v>104</v>
      </c>
      <c r="C203" s="132" t="s">
        <v>222</v>
      </c>
      <c r="D203" s="133">
        <v>2968981.64</v>
      </c>
      <c r="E203" s="134">
        <v>2952106.43</v>
      </c>
      <c r="F203" s="134">
        <v>2955293.23</v>
      </c>
      <c r="G203" s="134">
        <v>2953048.03</v>
      </c>
      <c r="H203" s="135"/>
      <c r="I203" s="133">
        <v>103760.25</v>
      </c>
      <c r="J203" s="134">
        <v>146467.9</v>
      </c>
      <c r="K203" s="134">
        <v>180254.58</v>
      </c>
      <c r="L203" s="134">
        <v>209754.27</v>
      </c>
      <c r="M203" s="135"/>
    </row>
    <row r="204" spans="1:13" x14ac:dyDescent="0.2">
      <c r="A204" s="113" t="s">
        <v>7</v>
      </c>
      <c r="B204" s="113" t="s">
        <v>104</v>
      </c>
      <c r="C204" s="113" t="s">
        <v>223</v>
      </c>
      <c r="D204" s="114">
        <v>3892266.81</v>
      </c>
      <c r="E204" s="115">
        <v>3877872.81</v>
      </c>
      <c r="F204" s="115">
        <v>3879299.81</v>
      </c>
      <c r="G204" s="115"/>
      <c r="H204" s="116"/>
      <c r="I204" s="114">
        <v>73788.03</v>
      </c>
      <c r="J204" s="115">
        <v>112549.36</v>
      </c>
      <c r="K204" s="115">
        <v>136610.32</v>
      </c>
      <c r="L204" s="115"/>
      <c r="M204" s="116"/>
    </row>
    <row r="205" spans="1:13" x14ac:dyDescent="0.2">
      <c r="A205" t="s">
        <v>7</v>
      </c>
      <c r="B205" t="s">
        <v>104</v>
      </c>
      <c r="C205" t="s">
        <v>224</v>
      </c>
      <c r="D205" s="110">
        <v>1204076.8</v>
      </c>
      <c r="E205" s="111">
        <v>1228647.8</v>
      </c>
      <c r="F205" s="111"/>
      <c r="G205" s="111"/>
      <c r="H205" s="112"/>
      <c r="I205" s="110">
        <v>25170.29</v>
      </c>
      <c r="J205" s="111">
        <v>34895.74</v>
      </c>
      <c r="K205" s="111"/>
      <c r="L205" s="111"/>
      <c r="M205" s="112"/>
    </row>
    <row r="206" spans="1:13" x14ac:dyDescent="0.2">
      <c r="A206" s="117" t="s">
        <v>7</v>
      </c>
      <c r="B206" s="117" t="s">
        <v>104</v>
      </c>
      <c r="C206" s="117" t="s">
        <v>225</v>
      </c>
      <c r="D206" s="118">
        <v>1419352.75</v>
      </c>
      <c r="E206" s="119"/>
      <c r="F206" s="119"/>
      <c r="G206" s="119"/>
      <c r="H206" s="120"/>
      <c r="I206" s="118">
        <v>82249.08</v>
      </c>
      <c r="J206" s="119"/>
      <c r="K206" s="119"/>
      <c r="L206" s="119"/>
      <c r="M206" s="120"/>
    </row>
    <row r="207" spans="1:13" x14ac:dyDescent="0.2">
      <c r="A207" t="s">
        <v>7</v>
      </c>
      <c r="B207" t="s">
        <v>140</v>
      </c>
      <c r="C207" t="s">
        <v>222</v>
      </c>
      <c r="D207" s="110">
        <v>543546.36</v>
      </c>
      <c r="E207" s="111">
        <v>543129.36</v>
      </c>
      <c r="F207" s="111">
        <v>543129.36</v>
      </c>
      <c r="G207" s="111">
        <v>543129.36</v>
      </c>
      <c r="H207" s="112"/>
      <c r="I207" s="110">
        <v>950</v>
      </c>
      <c r="J207" s="111">
        <v>1735.36</v>
      </c>
      <c r="K207" s="111">
        <v>2178.54</v>
      </c>
      <c r="L207" s="111">
        <v>3074.06</v>
      </c>
      <c r="M207" s="112"/>
    </row>
    <row r="208" spans="1:13" x14ac:dyDescent="0.2">
      <c r="A208" s="113" t="s">
        <v>7</v>
      </c>
      <c r="B208" s="113" t="s">
        <v>140</v>
      </c>
      <c r="C208" s="113" t="s">
        <v>223</v>
      </c>
      <c r="D208" s="114">
        <v>1540489.6</v>
      </c>
      <c r="E208" s="115">
        <v>1540489.6</v>
      </c>
      <c r="F208" s="115">
        <v>1540489.6</v>
      </c>
      <c r="G208" s="115"/>
      <c r="H208" s="116"/>
      <c r="I208" s="114">
        <v>691.03</v>
      </c>
      <c r="J208" s="115">
        <v>1850.92</v>
      </c>
      <c r="K208" s="115">
        <v>2485.9499999999998</v>
      </c>
      <c r="L208" s="115"/>
      <c r="M208" s="116"/>
    </row>
    <row r="209" spans="1:13" x14ac:dyDescent="0.2">
      <c r="A209" t="s">
        <v>7</v>
      </c>
      <c r="B209" t="s">
        <v>140</v>
      </c>
      <c r="C209" t="s">
        <v>224</v>
      </c>
      <c r="D209" s="110">
        <v>819852.74</v>
      </c>
      <c r="E209" s="111">
        <v>844852.74</v>
      </c>
      <c r="F209" s="111"/>
      <c r="G209" s="111"/>
      <c r="H209" s="112"/>
      <c r="I209" s="110">
        <v>243.8</v>
      </c>
      <c r="J209" s="111">
        <v>594.74</v>
      </c>
      <c r="K209" s="111"/>
      <c r="L209" s="111"/>
      <c r="M209" s="112"/>
    </row>
    <row r="210" spans="1:13" x14ac:dyDescent="0.2">
      <c r="A210" s="117" t="s">
        <v>7</v>
      </c>
      <c r="B210" s="117" t="s">
        <v>140</v>
      </c>
      <c r="C210" s="117" t="s">
        <v>225</v>
      </c>
      <c r="D210" s="118">
        <v>937281.05</v>
      </c>
      <c r="E210" s="119"/>
      <c r="F210" s="119"/>
      <c r="G210" s="119"/>
      <c r="H210" s="120"/>
      <c r="I210" s="118">
        <v>1294.67</v>
      </c>
      <c r="J210" s="119"/>
      <c r="K210" s="119"/>
      <c r="L210" s="119"/>
      <c r="M210" s="120"/>
    </row>
    <row r="211" spans="1:13" x14ac:dyDescent="0.2">
      <c r="A211" t="s">
        <v>7</v>
      </c>
      <c r="B211" t="s">
        <v>105</v>
      </c>
      <c r="C211" t="s">
        <v>222</v>
      </c>
      <c r="D211" s="110">
        <v>1613581.68</v>
      </c>
      <c r="E211" s="111">
        <v>1583414.98</v>
      </c>
      <c r="F211" s="111">
        <v>1576661.76</v>
      </c>
      <c r="G211" s="111">
        <v>1561108.76</v>
      </c>
      <c r="H211" s="112"/>
      <c r="I211" s="110">
        <v>361580.11</v>
      </c>
      <c r="J211" s="111">
        <v>501939.32</v>
      </c>
      <c r="K211" s="111">
        <v>584551.77</v>
      </c>
      <c r="L211" s="111">
        <v>654471.27</v>
      </c>
      <c r="M211" s="112"/>
    </row>
    <row r="212" spans="1:13" x14ac:dyDescent="0.2">
      <c r="A212" s="113" t="s">
        <v>7</v>
      </c>
      <c r="B212" s="113" t="s">
        <v>105</v>
      </c>
      <c r="C212" s="113" t="s">
        <v>223</v>
      </c>
      <c r="D212" s="114">
        <v>1568931.26</v>
      </c>
      <c r="E212" s="115">
        <v>1559077.1</v>
      </c>
      <c r="F212" s="115">
        <v>1545071.46</v>
      </c>
      <c r="G212" s="115"/>
      <c r="H212" s="116"/>
      <c r="I212" s="114">
        <v>339364.76</v>
      </c>
      <c r="J212" s="115">
        <v>466513.47</v>
      </c>
      <c r="K212" s="115">
        <v>595982.71</v>
      </c>
      <c r="L212" s="115"/>
      <c r="M212" s="116"/>
    </row>
    <row r="213" spans="1:13" x14ac:dyDescent="0.2">
      <c r="A213" t="s">
        <v>7</v>
      </c>
      <c r="B213" t="s">
        <v>105</v>
      </c>
      <c r="C213" t="s">
        <v>224</v>
      </c>
      <c r="D213" s="110">
        <v>255125.35</v>
      </c>
      <c r="E213" s="111">
        <v>249011.85</v>
      </c>
      <c r="F213" s="111"/>
      <c r="G213" s="111"/>
      <c r="H213" s="112"/>
      <c r="I213" s="110">
        <v>71775.350000000006</v>
      </c>
      <c r="J213" s="111">
        <v>86547.35</v>
      </c>
      <c r="K213" s="111"/>
      <c r="L213" s="111"/>
      <c r="M213" s="112"/>
    </row>
    <row r="214" spans="1:13" x14ac:dyDescent="0.2">
      <c r="A214" s="117" t="s">
        <v>7</v>
      </c>
      <c r="B214" s="117" t="s">
        <v>105</v>
      </c>
      <c r="C214" s="117" t="s">
        <v>225</v>
      </c>
      <c r="D214" s="118">
        <v>724618.35</v>
      </c>
      <c r="E214" s="119"/>
      <c r="F214" s="119"/>
      <c r="G214" s="119"/>
      <c r="H214" s="120"/>
      <c r="I214" s="118">
        <v>160869.73000000001</v>
      </c>
      <c r="J214" s="119"/>
      <c r="K214" s="119"/>
      <c r="L214" s="119"/>
      <c r="M214" s="120"/>
    </row>
    <row r="215" spans="1:13" x14ac:dyDescent="0.2">
      <c r="A215" t="s">
        <v>7</v>
      </c>
      <c r="B215" t="s">
        <v>111</v>
      </c>
      <c r="C215" t="s">
        <v>222</v>
      </c>
      <c r="D215" s="110">
        <v>125107</v>
      </c>
      <c r="E215" s="111">
        <v>125057</v>
      </c>
      <c r="F215" s="111">
        <v>125007</v>
      </c>
      <c r="G215" s="111">
        <v>124957</v>
      </c>
      <c r="H215" s="112"/>
      <c r="I215" s="110">
        <v>1280</v>
      </c>
      <c r="J215" s="111">
        <v>2280</v>
      </c>
      <c r="K215" s="111">
        <v>3085</v>
      </c>
      <c r="L215" s="111">
        <v>4170</v>
      </c>
      <c r="M215" s="112"/>
    </row>
    <row r="216" spans="1:13" x14ac:dyDescent="0.2">
      <c r="A216" s="113" t="s">
        <v>7</v>
      </c>
      <c r="B216" s="113" t="s">
        <v>111</v>
      </c>
      <c r="C216" s="113" t="s">
        <v>223</v>
      </c>
      <c r="D216" s="114">
        <v>136944</v>
      </c>
      <c r="E216" s="115">
        <v>134544</v>
      </c>
      <c r="F216" s="115">
        <v>134322</v>
      </c>
      <c r="G216" s="115"/>
      <c r="H216" s="116"/>
      <c r="I216" s="114">
        <v>3977</v>
      </c>
      <c r="J216" s="115">
        <v>4990</v>
      </c>
      <c r="K216" s="115">
        <v>6178</v>
      </c>
      <c r="L216" s="115"/>
      <c r="M216" s="116"/>
    </row>
    <row r="217" spans="1:13" x14ac:dyDescent="0.2">
      <c r="A217" t="s">
        <v>7</v>
      </c>
      <c r="B217" t="s">
        <v>111</v>
      </c>
      <c r="C217" t="s">
        <v>224</v>
      </c>
      <c r="D217" s="110">
        <v>15610</v>
      </c>
      <c r="E217" s="111">
        <v>15610</v>
      </c>
      <c r="F217" s="111"/>
      <c r="G217" s="111"/>
      <c r="H217" s="112"/>
      <c r="I217" s="110">
        <v>113</v>
      </c>
      <c r="J217" s="111">
        <v>213</v>
      </c>
      <c r="K217" s="111"/>
      <c r="L217" s="111"/>
      <c r="M217" s="112"/>
    </row>
    <row r="218" spans="1:13" x14ac:dyDescent="0.2">
      <c r="A218" s="117" t="s">
        <v>7</v>
      </c>
      <c r="B218" s="117" t="s">
        <v>111</v>
      </c>
      <c r="C218" s="117" t="s">
        <v>225</v>
      </c>
      <c r="D218" s="118">
        <v>36087</v>
      </c>
      <c r="E218" s="119"/>
      <c r="F218" s="119"/>
      <c r="G218" s="119"/>
      <c r="H218" s="120"/>
      <c r="I218" s="118">
        <v>1654</v>
      </c>
      <c r="J218" s="119"/>
      <c r="K218" s="119"/>
      <c r="L218" s="119"/>
      <c r="M218" s="120"/>
    </row>
    <row r="219" spans="1:13" x14ac:dyDescent="0.2">
      <c r="A219" s="124" t="s">
        <v>7</v>
      </c>
      <c r="B219" s="124" t="s">
        <v>109</v>
      </c>
      <c r="C219" s="124" t="s">
        <v>222</v>
      </c>
      <c r="D219" s="125">
        <v>1146491.05</v>
      </c>
      <c r="E219" s="126">
        <v>1014927.9</v>
      </c>
      <c r="F219" s="126">
        <v>993627.4</v>
      </c>
      <c r="G219" s="126">
        <v>949021.4</v>
      </c>
      <c r="H219" s="127"/>
      <c r="I219" s="125">
        <v>121246.3</v>
      </c>
      <c r="J219" s="126">
        <v>274811.25</v>
      </c>
      <c r="K219" s="126">
        <v>336398.75</v>
      </c>
      <c r="L219" s="126">
        <v>377755.75</v>
      </c>
      <c r="M219" s="127"/>
    </row>
    <row r="220" spans="1:13" x14ac:dyDescent="0.2">
      <c r="A220" s="113" t="s">
        <v>7</v>
      </c>
      <c r="B220" s="113" t="s">
        <v>109</v>
      </c>
      <c r="C220" s="113" t="s">
        <v>223</v>
      </c>
      <c r="D220" s="114">
        <v>1092566.95</v>
      </c>
      <c r="E220" s="115">
        <v>1025842.45</v>
      </c>
      <c r="F220" s="115">
        <v>932265.95</v>
      </c>
      <c r="G220" s="115"/>
      <c r="H220" s="116"/>
      <c r="I220" s="114">
        <v>136992.79999999999</v>
      </c>
      <c r="J220" s="115">
        <v>242094.8</v>
      </c>
      <c r="K220" s="115">
        <v>319771.8</v>
      </c>
      <c r="L220" s="115"/>
      <c r="M220" s="116"/>
    </row>
    <row r="221" spans="1:13" x14ac:dyDescent="0.2">
      <c r="A221" t="s">
        <v>7</v>
      </c>
      <c r="B221" t="s">
        <v>109</v>
      </c>
      <c r="C221" t="s">
        <v>224</v>
      </c>
      <c r="D221" s="110">
        <v>265732.09999999998</v>
      </c>
      <c r="E221" s="111">
        <v>225490.5</v>
      </c>
      <c r="F221" s="111"/>
      <c r="G221" s="111"/>
      <c r="H221" s="112"/>
      <c r="I221" s="110">
        <v>28134.1</v>
      </c>
      <c r="J221" s="111">
        <v>58600</v>
      </c>
      <c r="K221" s="111"/>
      <c r="L221" s="111"/>
      <c r="M221" s="112"/>
    </row>
    <row r="222" spans="1:13" x14ac:dyDescent="0.2">
      <c r="A222" s="117" t="s">
        <v>7</v>
      </c>
      <c r="B222" s="117" t="s">
        <v>109</v>
      </c>
      <c r="C222" s="117" t="s">
        <v>225</v>
      </c>
      <c r="D222" s="118">
        <v>715586.1</v>
      </c>
      <c r="E222" s="119"/>
      <c r="F222" s="119"/>
      <c r="G222" s="119"/>
      <c r="H222" s="120"/>
      <c r="I222" s="118">
        <v>90219.9</v>
      </c>
      <c r="J222" s="119"/>
      <c r="K222" s="119"/>
      <c r="L222" s="119"/>
      <c r="M222" s="120"/>
    </row>
    <row r="223" spans="1:13" x14ac:dyDescent="0.2">
      <c r="A223" t="s">
        <v>7</v>
      </c>
      <c r="B223" t="s">
        <v>106</v>
      </c>
      <c r="C223" t="s">
        <v>222</v>
      </c>
      <c r="D223" s="110">
        <v>4332554</v>
      </c>
      <c r="E223" s="111">
        <v>4331247</v>
      </c>
      <c r="F223" s="111">
        <v>4331247</v>
      </c>
      <c r="G223" s="111">
        <v>4331187</v>
      </c>
      <c r="H223" s="112"/>
      <c r="I223" s="110">
        <v>4321770</v>
      </c>
      <c r="J223" s="111">
        <v>4322171</v>
      </c>
      <c r="K223" s="111">
        <v>4322171</v>
      </c>
      <c r="L223" s="111">
        <v>4322163</v>
      </c>
      <c r="M223" s="112"/>
    </row>
    <row r="224" spans="1:13" x14ac:dyDescent="0.2">
      <c r="A224" s="113" t="s">
        <v>7</v>
      </c>
      <c r="B224" s="113" t="s">
        <v>106</v>
      </c>
      <c r="C224" s="113" t="s">
        <v>223</v>
      </c>
      <c r="D224" s="114">
        <v>6811531</v>
      </c>
      <c r="E224" s="115">
        <v>6809224</v>
      </c>
      <c r="F224" s="115">
        <v>6809181</v>
      </c>
      <c r="G224" s="115"/>
      <c r="H224" s="116"/>
      <c r="I224" s="114">
        <v>6561680</v>
      </c>
      <c r="J224" s="115">
        <v>6560064</v>
      </c>
      <c r="K224" s="115">
        <v>6560081</v>
      </c>
      <c r="L224" s="115"/>
      <c r="M224" s="116"/>
    </row>
    <row r="225" spans="1:13" x14ac:dyDescent="0.2">
      <c r="A225" t="s">
        <v>7</v>
      </c>
      <c r="B225" t="s">
        <v>106</v>
      </c>
      <c r="C225" t="s">
        <v>224</v>
      </c>
      <c r="D225" s="110">
        <v>2372194</v>
      </c>
      <c r="E225" s="111">
        <v>2371650</v>
      </c>
      <c r="F225" s="111"/>
      <c r="G225" s="111"/>
      <c r="H225" s="112"/>
      <c r="I225" s="110">
        <v>2368000</v>
      </c>
      <c r="J225" s="111">
        <v>2368146</v>
      </c>
      <c r="K225" s="111"/>
      <c r="L225" s="111"/>
      <c r="M225" s="112"/>
    </row>
    <row r="226" spans="1:13" x14ac:dyDescent="0.2">
      <c r="A226" s="117" t="s">
        <v>7</v>
      </c>
      <c r="B226" s="117" t="s">
        <v>106</v>
      </c>
      <c r="C226" s="117" t="s">
        <v>225</v>
      </c>
      <c r="D226" s="118">
        <v>2908418</v>
      </c>
      <c r="E226" s="119"/>
      <c r="F226" s="119"/>
      <c r="G226" s="119"/>
      <c r="H226" s="120"/>
      <c r="I226" s="118">
        <v>2770756</v>
      </c>
      <c r="J226" s="119"/>
      <c r="K226" s="119"/>
      <c r="L226" s="119"/>
      <c r="M226" s="120"/>
    </row>
    <row r="227" spans="1:13" x14ac:dyDescent="0.2">
      <c r="A227" t="s">
        <v>7</v>
      </c>
      <c r="B227" t="s">
        <v>107</v>
      </c>
      <c r="C227" t="s">
        <v>222</v>
      </c>
      <c r="D227" s="110">
        <v>4507666</v>
      </c>
      <c r="E227" s="111">
        <v>4506401</v>
      </c>
      <c r="F227" s="111">
        <v>4505206</v>
      </c>
      <c r="G227" s="111">
        <v>4504966</v>
      </c>
      <c r="H227" s="112"/>
      <c r="I227" s="110">
        <v>4506532</v>
      </c>
      <c r="J227" s="111">
        <v>4505387</v>
      </c>
      <c r="K227" s="111">
        <v>4504362</v>
      </c>
      <c r="L227" s="111">
        <v>4504122</v>
      </c>
      <c r="M227" s="112"/>
    </row>
    <row r="228" spans="1:13" x14ac:dyDescent="0.2">
      <c r="A228" s="113" t="s">
        <v>7</v>
      </c>
      <c r="B228" s="113" t="s">
        <v>107</v>
      </c>
      <c r="C228" s="113" t="s">
        <v>223</v>
      </c>
      <c r="D228" s="114">
        <v>5578348</v>
      </c>
      <c r="E228" s="115">
        <v>5572818</v>
      </c>
      <c r="F228" s="115">
        <v>5572763</v>
      </c>
      <c r="G228" s="115"/>
      <c r="H228" s="116"/>
      <c r="I228" s="114">
        <v>5535869</v>
      </c>
      <c r="J228" s="115">
        <v>5535299</v>
      </c>
      <c r="K228" s="115">
        <v>5535299</v>
      </c>
      <c r="L228" s="115"/>
      <c r="M228" s="116"/>
    </row>
    <row r="229" spans="1:13" x14ac:dyDescent="0.2">
      <c r="A229" t="s">
        <v>7</v>
      </c>
      <c r="B229" t="s">
        <v>107</v>
      </c>
      <c r="C229" t="s">
        <v>224</v>
      </c>
      <c r="D229" s="110">
        <v>3427113</v>
      </c>
      <c r="E229" s="111">
        <v>3426069</v>
      </c>
      <c r="F229" s="111"/>
      <c r="G229" s="111"/>
      <c r="H229" s="112"/>
      <c r="I229" s="110">
        <v>3424929</v>
      </c>
      <c r="J229" s="111">
        <v>3424628</v>
      </c>
      <c r="K229" s="111"/>
      <c r="L229" s="111"/>
      <c r="M229" s="112"/>
    </row>
    <row r="230" spans="1:13" x14ac:dyDescent="0.2">
      <c r="A230" s="117" t="s">
        <v>7</v>
      </c>
      <c r="B230" s="117" t="s">
        <v>107</v>
      </c>
      <c r="C230" s="117" t="s">
        <v>225</v>
      </c>
      <c r="D230" s="118">
        <v>4210553</v>
      </c>
      <c r="E230" s="119"/>
      <c r="F230" s="119"/>
      <c r="G230" s="119"/>
      <c r="H230" s="120"/>
      <c r="I230" s="118">
        <v>4208223</v>
      </c>
      <c r="J230" s="119"/>
      <c r="K230" s="119"/>
      <c r="L230" s="119"/>
      <c r="M230" s="120"/>
    </row>
    <row r="231" spans="1:13" x14ac:dyDescent="0.2">
      <c r="A231" t="s">
        <v>7</v>
      </c>
      <c r="B231" t="s">
        <v>108</v>
      </c>
      <c r="C231" t="s">
        <v>222</v>
      </c>
      <c r="D231" s="110">
        <v>591015</v>
      </c>
      <c r="E231" s="111">
        <v>587300</v>
      </c>
      <c r="F231" s="111">
        <v>586428</v>
      </c>
      <c r="G231" s="111">
        <v>584131</v>
      </c>
      <c r="H231" s="112"/>
      <c r="I231" s="110">
        <v>583838</v>
      </c>
      <c r="J231" s="111">
        <v>581384</v>
      </c>
      <c r="K231" s="111">
        <v>580598</v>
      </c>
      <c r="L231" s="111">
        <v>578303</v>
      </c>
      <c r="M231" s="112"/>
    </row>
    <row r="232" spans="1:13" x14ac:dyDescent="0.2">
      <c r="A232" s="113" t="s">
        <v>7</v>
      </c>
      <c r="B232" s="113" t="s">
        <v>108</v>
      </c>
      <c r="C232" s="113" t="s">
        <v>223</v>
      </c>
      <c r="D232" s="114">
        <v>526452</v>
      </c>
      <c r="E232" s="115">
        <v>525870</v>
      </c>
      <c r="F232" s="115">
        <v>525870</v>
      </c>
      <c r="G232" s="115"/>
      <c r="H232" s="116"/>
      <c r="I232" s="114">
        <v>524284</v>
      </c>
      <c r="J232" s="115">
        <v>523796</v>
      </c>
      <c r="K232" s="115">
        <v>523796</v>
      </c>
      <c r="L232" s="115"/>
      <c r="M232" s="116"/>
    </row>
    <row r="233" spans="1:13" x14ac:dyDescent="0.2">
      <c r="A233" t="s">
        <v>7</v>
      </c>
      <c r="B233" t="s">
        <v>108</v>
      </c>
      <c r="C233" t="s">
        <v>224</v>
      </c>
      <c r="D233" s="110">
        <v>475964</v>
      </c>
      <c r="E233" s="111">
        <v>475327</v>
      </c>
      <c r="F233" s="111"/>
      <c r="G233" s="111"/>
      <c r="H233" s="112"/>
      <c r="I233" s="110">
        <v>473433</v>
      </c>
      <c r="J233" s="111">
        <v>472768</v>
      </c>
      <c r="K233" s="111"/>
      <c r="L233" s="111"/>
      <c r="M233" s="112"/>
    </row>
    <row r="234" spans="1:13" x14ac:dyDescent="0.2">
      <c r="A234" s="117" t="s">
        <v>7</v>
      </c>
      <c r="B234" s="117" t="s">
        <v>108</v>
      </c>
      <c r="C234" s="117" t="s">
        <v>225</v>
      </c>
      <c r="D234" s="118">
        <v>549231</v>
      </c>
      <c r="E234" s="119"/>
      <c r="F234" s="119"/>
      <c r="G234" s="119"/>
      <c r="H234" s="120"/>
      <c r="I234" s="118">
        <v>543831</v>
      </c>
      <c r="J234" s="119"/>
      <c r="K234" s="119"/>
      <c r="L234" s="119"/>
      <c r="M234" s="120"/>
    </row>
    <row r="235" spans="1:13" x14ac:dyDescent="0.2">
      <c r="A235" t="s">
        <v>7</v>
      </c>
      <c r="B235" t="s">
        <v>70</v>
      </c>
      <c r="C235" t="s">
        <v>222</v>
      </c>
      <c r="D235" s="110">
        <v>1064185</v>
      </c>
      <c r="E235" s="111">
        <v>1063081</v>
      </c>
      <c r="F235" s="111">
        <v>1063081</v>
      </c>
      <c r="G235" s="111">
        <v>1063081</v>
      </c>
      <c r="H235" s="112"/>
      <c r="I235" s="110">
        <v>1045108</v>
      </c>
      <c r="J235" s="111">
        <v>1045583</v>
      </c>
      <c r="K235" s="111">
        <v>1045583</v>
      </c>
      <c r="L235" s="111">
        <v>1045583</v>
      </c>
      <c r="M235" s="112"/>
    </row>
    <row r="236" spans="1:13" x14ac:dyDescent="0.2">
      <c r="A236" s="113" t="s">
        <v>7</v>
      </c>
      <c r="B236" s="113" t="s">
        <v>70</v>
      </c>
      <c r="C236" s="113" t="s">
        <v>223</v>
      </c>
      <c r="D236" s="114">
        <v>1061678</v>
      </c>
      <c r="E236" s="115">
        <v>1061675</v>
      </c>
      <c r="F236" s="115">
        <v>1061068</v>
      </c>
      <c r="G236" s="115"/>
      <c r="H236" s="116"/>
      <c r="I236" s="114">
        <v>1039752</v>
      </c>
      <c r="J236" s="115">
        <v>1039833</v>
      </c>
      <c r="K236" s="115">
        <v>1039301</v>
      </c>
      <c r="L236" s="115"/>
      <c r="M236" s="116"/>
    </row>
    <row r="237" spans="1:13" x14ac:dyDescent="0.2">
      <c r="A237" t="s">
        <v>7</v>
      </c>
      <c r="B237" t="s">
        <v>70</v>
      </c>
      <c r="C237" t="s">
        <v>224</v>
      </c>
      <c r="D237" s="110">
        <v>685021</v>
      </c>
      <c r="E237" s="111">
        <v>684611</v>
      </c>
      <c r="F237" s="111"/>
      <c r="G237" s="111"/>
      <c r="H237" s="112"/>
      <c r="I237" s="110">
        <v>681197</v>
      </c>
      <c r="J237" s="111">
        <v>681389</v>
      </c>
      <c r="K237" s="111"/>
      <c r="L237" s="111"/>
      <c r="M237" s="112"/>
    </row>
    <row r="238" spans="1:13" x14ac:dyDescent="0.2">
      <c r="A238" s="117" t="s">
        <v>7</v>
      </c>
      <c r="B238" s="117" t="s">
        <v>70</v>
      </c>
      <c r="C238" s="117" t="s">
        <v>225</v>
      </c>
      <c r="D238" s="118">
        <v>1137763</v>
      </c>
      <c r="E238" s="119"/>
      <c r="F238" s="119"/>
      <c r="G238" s="119"/>
      <c r="H238" s="120"/>
      <c r="I238" s="118">
        <v>1123129</v>
      </c>
      <c r="J238" s="119"/>
      <c r="K238" s="119"/>
      <c r="L238" s="119"/>
      <c r="M238" s="120"/>
    </row>
    <row r="239" spans="1:13" x14ac:dyDescent="0.2">
      <c r="A239" t="s">
        <v>7</v>
      </c>
      <c r="B239" t="s">
        <v>110</v>
      </c>
      <c r="C239" t="s">
        <v>222</v>
      </c>
      <c r="D239" s="110">
        <v>10772339.279999999</v>
      </c>
      <c r="E239" s="111">
        <v>8783069.1199999992</v>
      </c>
      <c r="F239" s="111">
        <v>8730031.9800000004</v>
      </c>
      <c r="G239" s="111">
        <v>8460067.9000000004</v>
      </c>
      <c r="H239" s="112"/>
      <c r="I239" s="110">
        <v>2668469.08</v>
      </c>
      <c r="J239" s="111">
        <v>5086580.13</v>
      </c>
      <c r="K239" s="111">
        <v>6024974.8499999996</v>
      </c>
      <c r="L239" s="111">
        <v>6458763.9400000004</v>
      </c>
      <c r="M239" s="112"/>
    </row>
    <row r="240" spans="1:13" x14ac:dyDescent="0.2">
      <c r="A240" s="113" t="s">
        <v>7</v>
      </c>
      <c r="B240" s="113" t="s">
        <v>110</v>
      </c>
      <c r="C240" s="113" t="s">
        <v>223</v>
      </c>
      <c r="D240" s="114">
        <v>10909953.18</v>
      </c>
      <c r="E240" s="115">
        <v>10251373.060000001</v>
      </c>
      <c r="F240" s="115">
        <v>9258773.7400000002</v>
      </c>
      <c r="G240" s="115"/>
      <c r="H240" s="116"/>
      <c r="I240" s="114">
        <v>2572126.37</v>
      </c>
      <c r="J240" s="115">
        <v>3494056.48</v>
      </c>
      <c r="K240" s="115">
        <v>4158237.27</v>
      </c>
      <c r="L240" s="115"/>
      <c r="M240" s="116"/>
    </row>
    <row r="241" spans="1:13" x14ac:dyDescent="0.2">
      <c r="A241" t="s">
        <v>7</v>
      </c>
      <c r="B241" t="s">
        <v>110</v>
      </c>
      <c r="C241" t="s">
        <v>224</v>
      </c>
      <c r="D241" s="110">
        <v>3576757.36</v>
      </c>
      <c r="E241" s="111">
        <v>3193940.82</v>
      </c>
      <c r="F241" s="111"/>
      <c r="G241" s="111"/>
      <c r="H241" s="112"/>
      <c r="I241" s="110">
        <v>799787.46</v>
      </c>
      <c r="J241" s="111">
        <v>1142439.22</v>
      </c>
      <c r="K241" s="111"/>
      <c r="L241" s="111"/>
      <c r="M241" s="112"/>
    </row>
    <row r="242" spans="1:13" ht="13.5" thickBot="1" x14ac:dyDescent="0.25">
      <c r="A242" s="128" t="s">
        <v>7</v>
      </c>
      <c r="B242" s="128" t="s">
        <v>110</v>
      </c>
      <c r="C242" s="128" t="s">
        <v>225</v>
      </c>
      <c r="D242" s="129">
        <v>4183193.91</v>
      </c>
      <c r="E242" s="130"/>
      <c r="F242" s="130"/>
      <c r="G242" s="130"/>
      <c r="H242" s="131"/>
      <c r="I242" s="129">
        <v>957598.09</v>
      </c>
      <c r="J242" s="130"/>
      <c r="K242" s="130"/>
      <c r="L242" s="130"/>
      <c r="M242" s="131"/>
    </row>
    <row r="243" spans="1:13" x14ac:dyDescent="0.2">
      <c r="A243" s="132" t="s">
        <v>8</v>
      </c>
      <c r="B243" s="132" t="s">
        <v>104</v>
      </c>
      <c r="C243" s="132" t="s">
        <v>222</v>
      </c>
      <c r="D243" s="133">
        <v>42208</v>
      </c>
      <c r="E243" s="134">
        <v>42208</v>
      </c>
      <c r="F243" s="134">
        <v>42208</v>
      </c>
      <c r="G243" s="134">
        <v>42208</v>
      </c>
      <c r="H243" s="135"/>
      <c r="I243" s="133">
        <v>211</v>
      </c>
      <c r="J243" s="134">
        <v>425</v>
      </c>
      <c r="K243" s="134">
        <v>571</v>
      </c>
      <c r="L243" s="134">
        <v>728</v>
      </c>
      <c r="M243" s="135"/>
    </row>
    <row r="244" spans="1:13" x14ac:dyDescent="0.2">
      <c r="A244" s="113" t="s">
        <v>8</v>
      </c>
      <c r="B244" s="113" t="s">
        <v>104</v>
      </c>
      <c r="C244" s="113" t="s">
        <v>223</v>
      </c>
      <c r="D244" s="114">
        <v>240100</v>
      </c>
      <c r="E244" s="115">
        <v>240100</v>
      </c>
      <c r="F244" s="115">
        <v>238334</v>
      </c>
      <c r="G244" s="115"/>
      <c r="H244" s="116"/>
      <c r="I244" s="114">
        <v>2104</v>
      </c>
      <c r="J244" s="115">
        <v>4416</v>
      </c>
      <c r="K244" s="115">
        <v>6562</v>
      </c>
      <c r="L244" s="115"/>
      <c r="M244" s="116"/>
    </row>
    <row r="245" spans="1:13" x14ac:dyDescent="0.2">
      <c r="A245" t="s">
        <v>8</v>
      </c>
      <c r="B245" t="s">
        <v>104</v>
      </c>
      <c r="C245" t="s">
        <v>224</v>
      </c>
      <c r="D245" s="110">
        <v>30782</v>
      </c>
      <c r="E245" s="111">
        <v>30782</v>
      </c>
      <c r="F245" s="111"/>
      <c r="G245" s="111"/>
      <c r="H245" s="112"/>
      <c r="I245" s="110">
        <v>454</v>
      </c>
      <c r="J245" s="111">
        <v>1152</v>
      </c>
      <c r="K245" s="111"/>
      <c r="L245" s="111"/>
      <c r="M245" s="112"/>
    </row>
    <row r="246" spans="1:13" x14ac:dyDescent="0.2">
      <c r="A246" s="117" t="s">
        <v>8</v>
      </c>
      <c r="B246" s="117" t="s">
        <v>104</v>
      </c>
      <c r="C246" s="117" t="s">
        <v>225</v>
      </c>
      <c r="D246" s="118">
        <v>68597</v>
      </c>
      <c r="E246" s="119"/>
      <c r="F246" s="119"/>
      <c r="G246" s="119"/>
      <c r="H246" s="120"/>
      <c r="I246" s="118">
        <v>1334</v>
      </c>
      <c r="J246" s="119"/>
      <c r="K246" s="119"/>
      <c r="L246" s="119"/>
      <c r="M246" s="120"/>
    </row>
    <row r="247" spans="1:13" x14ac:dyDescent="0.2">
      <c r="A247" t="s">
        <v>8</v>
      </c>
      <c r="B247" t="s">
        <v>140</v>
      </c>
      <c r="C247" t="s">
        <v>222</v>
      </c>
      <c r="D247" s="110">
        <v>0</v>
      </c>
      <c r="E247" s="111">
        <v>0</v>
      </c>
      <c r="F247" s="111">
        <v>0</v>
      </c>
      <c r="G247" s="111"/>
      <c r="H247" s="112"/>
      <c r="I247" s="110">
        <v>0</v>
      </c>
      <c r="J247" s="111">
        <v>0</v>
      </c>
      <c r="K247" s="111">
        <v>0</v>
      </c>
      <c r="L247" s="111"/>
      <c r="M247" s="112"/>
    </row>
    <row r="248" spans="1:13" x14ac:dyDescent="0.2">
      <c r="A248" s="113" t="s">
        <v>8</v>
      </c>
      <c r="B248" s="113" t="s">
        <v>140</v>
      </c>
      <c r="C248" s="113" t="s">
        <v>223</v>
      </c>
      <c r="D248" s="114">
        <v>100000</v>
      </c>
      <c r="E248" s="115">
        <v>100000</v>
      </c>
      <c r="F248" s="115">
        <v>100000</v>
      </c>
      <c r="G248" s="115"/>
      <c r="H248" s="116"/>
      <c r="I248" s="114">
        <v>0</v>
      </c>
      <c r="J248" s="115">
        <v>0</v>
      </c>
      <c r="K248" s="115"/>
      <c r="L248" s="115"/>
      <c r="M248" s="116"/>
    </row>
    <row r="249" spans="1:13" x14ac:dyDescent="0.2">
      <c r="A249" t="s">
        <v>8</v>
      </c>
      <c r="B249" t="s">
        <v>140</v>
      </c>
      <c r="C249" t="s">
        <v>224</v>
      </c>
      <c r="D249" s="110">
        <v>0</v>
      </c>
      <c r="E249" s="111">
        <v>0</v>
      </c>
      <c r="F249" s="111"/>
      <c r="G249" s="111"/>
      <c r="H249" s="112"/>
      <c r="I249" s="110">
        <v>0</v>
      </c>
      <c r="J249" s="111">
        <v>0</v>
      </c>
      <c r="K249" s="111"/>
      <c r="L249" s="111"/>
      <c r="M249" s="112"/>
    </row>
    <row r="250" spans="1:13" x14ac:dyDescent="0.2">
      <c r="A250" s="117" t="s">
        <v>8</v>
      </c>
      <c r="B250" s="117" t="s">
        <v>140</v>
      </c>
      <c r="C250" s="117" t="s">
        <v>225</v>
      </c>
      <c r="D250" s="118">
        <v>0</v>
      </c>
      <c r="E250" s="119"/>
      <c r="F250" s="119"/>
      <c r="G250" s="119"/>
      <c r="H250" s="120"/>
      <c r="I250" s="118">
        <v>0</v>
      </c>
      <c r="J250" s="119"/>
      <c r="K250" s="119"/>
      <c r="L250" s="119"/>
      <c r="M250" s="120"/>
    </row>
    <row r="251" spans="1:13" x14ac:dyDescent="0.2">
      <c r="A251" t="s">
        <v>8</v>
      </c>
      <c r="B251" t="s">
        <v>105</v>
      </c>
      <c r="C251" t="s">
        <v>222</v>
      </c>
      <c r="D251" s="110">
        <v>25296</v>
      </c>
      <c r="E251" s="111">
        <v>24726</v>
      </c>
      <c r="F251" s="111">
        <v>24701</v>
      </c>
      <c r="G251" s="111">
        <v>24701</v>
      </c>
      <c r="H251" s="112"/>
      <c r="I251" s="110">
        <v>5246</v>
      </c>
      <c r="J251" s="111">
        <v>9789</v>
      </c>
      <c r="K251" s="111">
        <v>11449</v>
      </c>
      <c r="L251" s="111">
        <v>12589</v>
      </c>
      <c r="M251" s="112"/>
    </row>
    <row r="252" spans="1:13" x14ac:dyDescent="0.2">
      <c r="A252" s="113" t="s">
        <v>8</v>
      </c>
      <c r="B252" s="113" t="s">
        <v>105</v>
      </c>
      <c r="C252" s="113" t="s">
        <v>223</v>
      </c>
      <c r="D252" s="114">
        <v>16703</v>
      </c>
      <c r="E252" s="115">
        <v>16223</v>
      </c>
      <c r="F252" s="115">
        <v>16223</v>
      </c>
      <c r="G252" s="115"/>
      <c r="H252" s="116"/>
      <c r="I252" s="114">
        <v>4917</v>
      </c>
      <c r="J252" s="115">
        <v>6812</v>
      </c>
      <c r="K252" s="115">
        <v>7879</v>
      </c>
      <c r="L252" s="115"/>
      <c r="M252" s="116"/>
    </row>
    <row r="253" spans="1:13" x14ac:dyDescent="0.2">
      <c r="A253" t="s">
        <v>8</v>
      </c>
      <c r="B253" t="s">
        <v>105</v>
      </c>
      <c r="C253" t="s">
        <v>224</v>
      </c>
      <c r="D253" s="110">
        <v>1454</v>
      </c>
      <c r="E253" s="111">
        <v>1454</v>
      </c>
      <c r="F253" s="111"/>
      <c r="G253" s="111"/>
      <c r="H253" s="112"/>
      <c r="I253" s="110">
        <v>732</v>
      </c>
      <c r="J253" s="111">
        <v>761</v>
      </c>
      <c r="K253" s="111"/>
      <c r="L253" s="111"/>
      <c r="M253" s="112"/>
    </row>
    <row r="254" spans="1:13" x14ac:dyDescent="0.2">
      <c r="A254" s="117" t="s">
        <v>8</v>
      </c>
      <c r="B254" s="117" t="s">
        <v>105</v>
      </c>
      <c r="C254" s="117" t="s">
        <v>225</v>
      </c>
      <c r="D254" s="118">
        <v>9622</v>
      </c>
      <c r="E254" s="119"/>
      <c r="F254" s="119"/>
      <c r="G254" s="119"/>
      <c r="H254" s="120"/>
      <c r="I254" s="118">
        <v>1526</v>
      </c>
      <c r="J254" s="119"/>
      <c r="K254" s="119"/>
      <c r="L254" s="119"/>
      <c r="M254" s="120"/>
    </row>
    <row r="255" spans="1:13" x14ac:dyDescent="0.2">
      <c r="A255" t="s">
        <v>8</v>
      </c>
      <c r="B255" t="s">
        <v>111</v>
      </c>
      <c r="C255" t="s">
        <v>222</v>
      </c>
      <c r="D255" s="110">
        <v>468</v>
      </c>
      <c r="E255" s="111">
        <v>468</v>
      </c>
      <c r="F255" s="111">
        <v>468</v>
      </c>
      <c r="G255" s="111">
        <v>468</v>
      </c>
      <c r="H255" s="112"/>
      <c r="I255" s="110">
        <v>468</v>
      </c>
      <c r="J255" s="111">
        <v>468</v>
      </c>
      <c r="K255" s="111">
        <v>468</v>
      </c>
      <c r="L255" s="111">
        <v>468</v>
      </c>
      <c r="M255" s="112"/>
    </row>
    <row r="256" spans="1:13" x14ac:dyDescent="0.2">
      <c r="A256" s="113" t="s">
        <v>8</v>
      </c>
      <c r="B256" s="113" t="s">
        <v>111</v>
      </c>
      <c r="C256" s="113" t="s">
        <v>223</v>
      </c>
      <c r="D256" s="114">
        <v>532</v>
      </c>
      <c r="E256" s="115">
        <v>386</v>
      </c>
      <c r="F256" s="115">
        <v>386</v>
      </c>
      <c r="G256" s="115"/>
      <c r="H256" s="116"/>
      <c r="I256" s="114">
        <v>0</v>
      </c>
      <c r="J256" s="115">
        <v>73</v>
      </c>
      <c r="K256" s="115">
        <v>80</v>
      </c>
      <c r="L256" s="115"/>
      <c r="M256" s="116"/>
    </row>
    <row r="257" spans="1:13" x14ac:dyDescent="0.2">
      <c r="A257" t="s">
        <v>8</v>
      </c>
      <c r="B257" t="s">
        <v>111</v>
      </c>
      <c r="C257" t="s">
        <v>224</v>
      </c>
      <c r="D257" s="110">
        <v>0</v>
      </c>
      <c r="E257" s="111">
        <v>0</v>
      </c>
      <c r="F257" s="111"/>
      <c r="G257" s="111"/>
      <c r="H257" s="112"/>
      <c r="I257" s="110">
        <v>0</v>
      </c>
      <c r="J257" s="111">
        <v>0</v>
      </c>
      <c r="K257" s="111"/>
      <c r="L257" s="111"/>
      <c r="M257" s="112"/>
    </row>
    <row r="258" spans="1:13" x14ac:dyDescent="0.2">
      <c r="A258" s="117" t="s">
        <v>8</v>
      </c>
      <c r="B258" s="117" t="s">
        <v>111</v>
      </c>
      <c r="C258" s="117" t="s">
        <v>225</v>
      </c>
      <c r="D258" s="118">
        <v>73</v>
      </c>
      <c r="E258" s="119"/>
      <c r="F258" s="119"/>
      <c r="G258" s="119"/>
      <c r="H258" s="120"/>
      <c r="I258" s="118">
        <v>0</v>
      </c>
      <c r="J258" s="119"/>
      <c r="K258" s="119"/>
      <c r="L258" s="119"/>
      <c r="M258" s="120"/>
    </row>
    <row r="259" spans="1:13" x14ac:dyDescent="0.2">
      <c r="A259" s="124" t="s">
        <v>8</v>
      </c>
      <c r="B259" s="124" t="s">
        <v>109</v>
      </c>
      <c r="C259" s="124" t="s">
        <v>222</v>
      </c>
      <c r="D259" s="125">
        <v>2904</v>
      </c>
      <c r="E259" s="126">
        <v>2904</v>
      </c>
      <c r="F259" s="126">
        <v>2904</v>
      </c>
      <c r="G259" s="126">
        <v>2854</v>
      </c>
      <c r="H259" s="127"/>
      <c r="I259" s="125">
        <v>1711</v>
      </c>
      <c r="J259" s="126">
        <v>1928</v>
      </c>
      <c r="K259" s="126">
        <v>2250</v>
      </c>
      <c r="L259" s="126">
        <v>2312</v>
      </c>
      <c r="M259" s="127"/>
    </row>
    <row r="260" spans="1:13" x14ac:dyDescent="0.2">
      <c r="A260" s="113" t="s">
        <v>8</v>
      </c>
      <c r="B260" s="113" t="s">
        <v>109</v>
      </c>
      <c r="C260" s="113" t="s">
        <v>223</v>
      </c>
      <c r="D260" s="114">
        <v>6038</v>
      </c>
      <c r="E260" s="115">
        <v>6038</v>
      </c>
      <c r="F260" s="115">
        <v>6038</v>
      </c>
      <c r="G260" s="115"/>
      <c r="H260" s="116"/>
      <c r="I260" s="114">
        <v>1924</v>
      </c>
      <c r="J260" s="115">
        <v>2743</v>
      </c>
      <c r="K260" s="115">
        <v>2943</v>
      </c>
      <c r="L260" s="115"/>
      <c r="M260" s="116"/>
    </row>
    <row r="261" spans="1:13" x14ac:dyDescent="0.2">
      <c r="A261" t="s">
        <v>8</v>
      </c>
      <c r="B261" t="s">
        <v>109</v>
      </c>
      <c r="C261" t="s">
        <v>224</v>
      </c>
      <c r="D261" s="110">
        <v>2848</v>
      </c>
      <c r="E261" s="111">
        <v>2848</v>
      </c>
      <c r="F261" s="111"/>
      <c r="G261" s="111"/>
      <c r="H261" s="112"/>
      <c r="I261" s="110">
        <v>1747</v>
      </c>
      <c r="J261" s="111">
        <v>2481</v>
      </c>
      <c r="K261" s="111"/>
      <c r="L261" s="111"/>
      <c r="M261" s="112"/>
    </row>
    <row r="262" spans="1:13" x14ac:dyDescent="0.2">
      <c r="A262" s="117" t="s">
        <v>8</v>
      </c>
      <c r="B262" s="117" t="s">
        <v>109</v>
      </c>
      <c r="C262" s="117" t="s">
        <v>225</v>
      </c>
      <c r="D262" s="118">
        <v>3326</v>
      </c>
      <c r="E262" s="119"/>
      <c r="F262" s="119"/>
      <c r="G262" s="119"/>
      <c r="H262" s="120"/>
      <c r="I262" s="118">
        <v>357</v>
      </c>
      <c r="J262" s="119"/>
      <c r="K262" s="119"/>
      <c r="L262" s="119"/>
      <c r="M262" s="120"/>
    </row>
    <row r="263" spans="1:13" x14ac:dyDescent="0.2">
      <c r="A263" t="s">
        <v>8</v>
      </c>
      <c r="B263" t="s">
        <v>106</v>
      </c>
      <c r="C263" t="s">
        <v>222</v>
      </c>
      <c r="D263" s="110">
        <v>22017</v>
      </c>
      <c r="E263" s="111">
        <v>22017</v>
      </c>
      <c r="F263" s="111">
        <v>22017</v>
      </c>
      <c r="G263" s="111">
        <v>22017</v>
      </c>
      <c r="H263" s="112"/>
      <c r="I263" s="110">
        <v>20672</v>
      </c>
      <c r="J263" s="111">
        <v>22017</v>
      </c>
      <c r="K263" s="111">
        <v>22017</v>
      </c>
      <c r="L263" s="111">
        <v>22017</v>
      </c>
      <c r="M263" s="112"/>
    </row>
    <row r="264" spans="1:13" x14ac:dyDescent="0.2">
      <c r="A264" s="113" t="s">
        <v>8</v>
      </c>
      <c r="B264" s="113" t="s">
        <v>106</v>
      </c>
      <c r="C264" s="113" t="s">
        <v>223</v>
      </c>
      <c r="D264" s="114">
        <v>16305</v>
      </c>
      <c r="E264" s="115">
        <v>16305</v>
      </c>
      <c r="F264" s="115">
        <v>16305</v>
      </c>
      <c r="G264" s="115"/>
      <c r="H264" s="116"/>
      <c r="I264" s="114">
        <v>16305</v>
      </c>
      <c r="J264" s="115">
        <v>16305</v>
      </c>
      <c r="K264" s="115">
        <v>16305</v>
      </c>
      <c r="L264" s="115"/>
      <c r="M264" s="116"/>
    </row>
    <row r="265" spans="1:13" x14ac:dyDescent="0.2">
      <c r="A265" t="s">
        <v>8</v>
      </c>
      <c r="B265" t="s">
        <v>106</v>
      </c>
      <c r="C265" t="s">
        <v>224</v>
      </c>
      <c r="D265" s="110">
        <v>8866</v>
      </c>
      <c r="E265" s="111">
        <v>8866</v>
      </c>
      <c r="F265" s="111"/>
      <c r="G265" s="111"/>
      <c r="H265" s="112"/>
      <c r="I265" s="110">
        <v>8466</v>
      </c>
      <c r="J265" s="111">
        <v>8866</v>
      </c>
      <c r="K265" s="111"/>
      <c r="L265" s="111"/>
      <c r="M265" s="112"/>
    </row>
    <row r="266" spans="1:13" x14ac:dyDescent="0.2">
      <c r="A266" s="117" t="s">
        <v>8</v>
      </c>
      <c r="B266" s="117" t="s">
        <v>106</v>
      </c>
      <c r="C266" s="117" t="s">
        <v>225</v>
      </c>
      <c r="D266" s="118">
        <v>8648</v>
      </c>
      <c r="E266" s="119"/>
      <c r="F266" s="119"/>
      <c r="G266" s="119"/>
      <c r="H266" s="120"/>
      <c r="I266" s="118">
        <v>8248</v>
      </c>
      <c r="J266" s="119"/>
      <c r="K266" s="119"/>
      <c r="L266" s="119"/>
      <c r="M266" s="120"/>
    </row>
    <row r="267" spans="1:13" x14ac:dyDescent="0.2">
      <c r="A267" t="s">
        <v>8</v>
      </c>
      <c r="B267" t="s">
        <v>107</v>
      </c>
      <c r="C267" t="s">
        <v>222</v>
      </c>
      <c r="D267" s="110">
        <v>13878</v>
      </c>
      <c r="E267" s="111">
        <v>13878</v>
      </c>
      <c r="F267" s="111">
        <v>13878</v>
      </c>
      <c r="G267" s="111">
        <v>13878</v>
      </c>
      <c r="H267" s="112"/>
      <c r="I267" s="110">
        <v>13878</v>
      </c>
      <c r="J267" s="111">
        <v>13878</v>
      </c>
      <c r="K267" s="111">
        <v>13878</v>
      </c>
      <c r="L267" s="111">
        <v>13878</v>
      </c>
      <c r="M267" s="112"/>
    </row>
    <row r="268" spans="1:13" x14ac:dyDescent="0.2">
      <c r="A268" s="113" t="s">
        <v>8</v>
      </c>
      <c r="B268" s="113" t="s">
        <v>107</v>
      </c>
      <c r="C268" s="113" t="s">
        <v>223</v>
      </c>
      <c r="D268" s="114">
        <v>13520</v>
      </c>
      <c r="E268" s="115">
        <v>13520</v>
      </c>
      <c r="F268" s="115">
        <v>13520</v>
      </c>
      <c r="G268" s="115"/>
      <c r="H268" s="116"/>
      <c r="I268" s="114">
        <v>13520</v>
      </c>
      <c r="J268" s="115">
        <v>13520</v>
      </c>
      <c r="K268" s="115">
        <v>13520</v>
      </c>
      <c r="L268" s="115"/>
      <c r="M268" s="116"/>
    </row>
    <row r="269" spans="1:13" x14ac:dyDescent="0.2">
      <c r="A269" t="s">
        <v>8</v>
      </c>
      <c r="B269" t="s">
        <v>107</v>
      </c>
      <c r="C269" t="s">
        <v>224</v>
      </c>
      <c r="D269" s="110">
        <v>7735</v>
      </c>
      <c r="E269" s="111">
        <v>7735</v>
      </c>
      <c r="F269" s="111"/>
      <c r="G269" s="111"/>
      <c r="H269" s="112"/>
      <c r="I269" s="110">
        <v>7735</v>
      </c>
      <c r="J269" s="111">
        <v>7735</v>
      </c>
      <c r="K269" s="111"/>
      <c r="L269" s="111"/>
      <c r="M269" s="112"/>
    </row>
    <row r="270" spans="1:13" x14ac:dyDescent="0.2">
      <c r="A270" s="117" t="s">
        <v>8</v>
      </c>
      <c r="B270" s="117" t="s">
        <v>107</v>
      </c>
      <c r="C270" s="117" t="s">
        <v>225</v>
      </c>
      <c r="D270" s="118">
        <v>13184</v>
      </c>
      <c r="E270" s="119"/>
      <c r="F270" s="119"/>
      <c r="G270" s="119"/>
      <c r="H270" s="120"/>
      <c r="I270" s="118">
        <v>13174</v>
      </c>
      <c r="J270" s="119"/>
      <c r="K270" s="119"/>
      <c r="L270" s="119"/>
      <c r="M270" s="120"/>
    </row>
    <row r="271" spans="1:13" x14ac:dyDescent="0.2">
      <c r="A271" t="s">
        <v>8</v>
      </c>
      <c r="B271" t="s">
        <v>108</v>
      </c>
      <c r="C271" t="s">
        <v>222</v>
      </c>
      <c r="D271" s="110">
        <v>2987</v>
      </c>
      <c r="E271" s="111">
        <v>2987</v>
      </c>
      <c r="F271" s="111">
        <v>2987</v>
      </c>
      <c r="G271" s="111">
        <v>2987</v>
      </c>
      <c r="H271" s="112"/>
      <c r="I271" s="110">
        <v>2987</v>
      </c>
      <c r="J271" s="111">
        <v>2987</v>
      </c>
      <c r="K271" s="111">
        <v>2987</v>
      </c>
      <c r="L271" s="111">
        <v>2987</v>
      </c>
      <c r="M271" s="112"/>
    </row>
    <row r="272" spans="1:13" x14ac:dyDescent="0.2">
      <c r="A272" s="113" t="s">
        <v>8</v>
      </c>
      <c r="B272" s="113" t="s">
        <v>108</v>
      </c>
      <c r="C272" s="113" t="s">
        <v>223</v>
      </c>
      <c r="D272" s="114">
        <v>5272</v>
      </c>
      <c r="E272" s="115">
        <v>5272</v>
      </c>
      <c r="F272" s="115">
        <v>5272</v>
      </c>
      <c r="G272" s="115"/>
      <c r="H272" s="116"/>
      <c r="I272" s="114">
        <v>5272</v>
      </c>
      <c r="J272" s="115">
        <v>5272</v>
      </c>
      <c r="K272" s="115">
        <v>5272</v>
      </c>
      <c r="L272" s="115"/>
      <c r="M272" s="116"/>
    </row>
    <row r="273" spans="1:13" x14ac:dyDescent="0.2">
      <c r="A273" t="s">
        <v>8</v>
      </c>
      <c r="B273" t="s">
        <v>108</v>
      </c>
      <c r="C273" t="s">
        <v>224</v>
      </c>
      <c r="D273" s="110">
        <v>2507</v>
      </c>
      <c r="E273" s="111">
        <v>2507</v>
      </c>
      <c r="F273" s="111"/>
      <c r="G273" s="111"/>
      <c r="H273" s="112"/>
      <c r="I273" s="110">
        <v>2507</v>
      </c>
      <c r="J273" s="111">
        <v>2507</v>
      </c>
      <c r="K273" s="111"/>
      <c r="L273" s="111"/>
      <c r="M273" s="112"/>
    </row>
    <row r="274" spans="1:13" x14ac:dyDescent="0.2">
      <c r="A274" s="117" t="s">
        <v>8</v>
      </c>
      <c r="B274" s="117" t="s">
        <v>108</v>
      </c>
      <c r="C274" s="117" t="s">
        <v>225</v>
      </c>
      <c r="D274" s="118">
        <v>3087</v>
      </c>
      <c r="E274" s="119"/>
      <c r="F274" s="119"/>
      <c r="G274" s="119"/>
      <c r="H274" s="120"/>
      <c r="I274" s="118">
        <v>3087</v>
      </c>
      <c r="J274" s="119"/>
      <c r="K274" s="119"/>
      <c r="L274" s="119"/>
      <c r="M274" s="120"/>
    </row>
    <row r="275" spans="1:13" x14ac:dyDescent="0.2">
      <c r="A275" t="s">
        <v>8</v>
      </c>
      <c r="B275" t="s">
        <v>70</v>
      </c>
      <c r="C275" t="s">
        <v>222</v>
      </c>
      <c r="D275" s="110">
        <v>9080</v>
      </c>
      <c r="E275" s="111">
        <v>9080</v>
      </c>
      <c r="F275" s="111">
        <v>9080</v>
      </c>
      <c r="G275" s="111">
        <v>9080</v>
      </c>
      <c r="H275" s="112"/>
      <c r="I275" s="110">
        <v>8776</v>
      </c>
      <c r="J275" s="111">
        <v>8776</v>
      </c>
      <c r="K275" s="111">
        <v>8776</v>
      </c>
      <c r="L275" s="111">
        <v>8776</v>
      </c>
      <c r="M275" s="112"/>
    </row>
    <row r="276" spans="1:13" x14ac:dyDescent="0.2">
      <c r="A276" s="113" t="s">
        <v>8</v>
      </c>
      <c r="B276" s="113" t="s">
        <v>70</v>
      </c>
      <c r="C276" s="113" t="s">
        <v>223</v>
      </c>
      <c r="D276" s="114">
        <v>6523</v>
      </c>
      <c r="E276" s="115">
        <v>6423</v>
      </c>
      <c r="F276" s="115">
        <v>6423</v>
      </c>
      <c r="G276" s="115"/>
      <c r="H276" s="116"/>
      <c r="I276" s="114">
        <v>5515</v>
      </c>
      <c r="J276" s="115">
        <v>5815</v>
      </c>
      <c r="K276" s="115">
        <v>5815</v>
      </c>
      <c r="L276" s="115"/>
      <c r="M276" s="116"/>
    </row>
    <row r="277" spans="1:13" x14ac:dyDescent="0.2">
      <c r="A277" t="s">
        <v>8</v>
      </c>
      <c r="B277" t="s">
        <v>70</v>
      </c>
      <c r="C277" t="s">
        <v>224</v>
      </c>
      <c r="D277" s="110">
        <v>4735</v>
      </c>
      <c r="E277" s="111">
        <v>4735</v>
      </c>
      <c r="F277" s="111"/>
      <c r="G277" s="111"/>
      <c r="H277" s="112"/>
      <c r="I277" s="110">
        <v>4735</v>
      </c>
      <c r="J277" s="111">
        <v>4735</v>
      </c>
      <c r="K277" s="111"/>
      <c r="L277" s="111"/>
      <c r="M277" s="112"/>
    </row>
    <row r="278" spans="1:13" x14ac:dyDescent="0.2">
      <c r="A278" s="117" t="s">
        <v>8</v>
      </c>
      <c r="B278" s="117" t="s">
        <v>70</v>
      </c>
      <c r="C278" s="117" t="s">
        <v>225</v>
      </c>
      <c r="D278" s="118">
        <v>5483</v>
      </c>
      <c r="E278" s="119"/>
      <c r="F278" s="119"/>
      <c r="G278" s="119"/>
      <c r="H278" s="120"/>
      <c r="I278" s="118">
        <v>5003</v>
      </c>
      <c r="J278" s="119"/>
      <c r="K278" s="119"/>
      <c r="L278" s="119"/>
      <c r="M278" s="120"/>
    </row>
    <row r="279" spans="1:13" x14ac:dyDescent="0.2">
      <c r="A279" t="s">
        <v>8</v>
      </c>
      <c r="B279" t="s">
        <v>110</v>
      </c>
      <c r="C279" t="s">
        <v>222</v>
      </c>
      <c r="D279" s="110">
        <v>23776</v>
      </c>
      <c r="E279" s="111">
        <v>21237</v>
      </c>
      <c r="F279" s="111">
        <v>20478</v>
      </c>
      <c r="G279" s="111">
        <v>18863</v>
      </c>
      <c r="H279" s="112"/>
      <c r="I279" s="110">
        <v>9579</v>
      </c>
      <c r="J279" s="111">
        <v>15466</v>
      </c>
      <c r="K279" s="111">
        <v>15818</v>
      </c>
      <c r="L279" s="111">
        <v>15917</v>
      </c>
      <c r="M279" s="112"/>
    </row>
    <row r="280" spans="1:13" x14ac:dyDescent="0.2">
      <c r="A280" s="113" t="s">
        <v>8</v>
      </c>
      <c r="B280" s="113" t="s">
        <v>110</v>
      </c>
      <c r="C280" s="113" t="s">
        <v>223</v>
      </c>
      <c r="D280" s="114">
        <v>14612</v>
      </c>
      <c r="E280" s="115">
        <v>13631</v>
      </c>
      <c r="F280" s="115">
        <v>12468</v>
      </c>
      <c r="G280" s="115"/>
      <c r="H280" s="116"/>
      <c r="I280" s="114">
        <v>5688</v>
      </c>
      <c r="J280" s="115">
        <v>9059</v>
      </c>
      <c r="K280" s="115">
        <v>9528</v>
      </c>
      <c r="L280" s="115"/>
      <c r="M280" s="116"/>
    </row>
    <row r="281" spans="1:13" x14ac:dyDescent="0.2">
      <c r="A281" t="s">
        <v>8</v>
      </c>
      <c r="B281" t="s">
        <v>110</v>
      </c>
      <c r="C281" t="s">
        <v>224</v>
      </c>
      <c r="D281" s="110">
        <v>15313</v>
      </c>
      <c r="E281" s="111">
        <v>13796</v>
      </c>
      <c r="F281" s="111"/>
      <c r="G281" s="111"/>
      <c r="H281" s="112"/>
      <c r="I281" s="110">
        <v>5304</v>
      </c>
      <c r="J281" s="111">
        <v>9314</v>
      </c>
      <c r="K281" s="111"/>
      <c r="L281" s="111"/>
      <c r="M281" s="112"/>
    </row>
    <row r="282" spans="1:13" ht="13.5" thickBot="1" x14ac:dyDescent="0.25">
      <c r="A282" s="128" t="s">
        <v>8</v>
      </c>
      <c r="B282" s="128" t="s">
        <v>110</v>
      </c>
      <c r="C282" s="128" t="s">
        <v>225</v>
      </c>
      <c r="D282" s="129">
        <v>14197</v>
      </c>
      <c r="E282" s="130"/>
      <c r="F282" s="130"/>
      <c r="G282" s="130"/>
      <c r="H282" s="131"/>
      <c r="I282" s="129">
        <v>6488</v>
      </c>
      <c r="J282" s="130"/>
      <c r="K282" s="130"/>
      <c r="L282" s="130"/>
      <c r="M282" s="131"/>
    </row>
    <row r="283" spans="1:13" x14ac:dyDescent="0.2">
      <c r="A283" s="132" t="s">
        <v>9</v>
      </c>
      <c r="B283" s="132" t="s">
        <v>104</v>
      </c>
      <c r="C283" s="132" t="s">
        <v>222</v>
      </c>
      <c r="D283" s="133">
        <v>561257.56000000006</v>
      </c>
      <c r="E283" s="134">
        <v>560950.56000000006</v>
      </c>
      <c r="F283" s="134">
        <v>560140.56000000006</v>
      </c>
      <c r="G283" s="134">
        <v>558900.56000000006</v>
      </c>
      <c r="H283" s="135"/>
      <c r="I283" s="133">
        <v>26028.26</v>
      </c>
      <c r="J283" s="134">
        <v>51562.07</v>
      </c>
      <c r="K283" s="134">
        <v>65366.71</v>
      </c>
      <c r="L283" s="134">
        <v>77881.66</v>
      </c>
      <c r="M283" s="135"/>
    </row>
    <row r="284" spans="1:13" x14ac:dyDescent="0.2">
      <c r="A284" s="113" t="s">
        <v>9</v>
      </c>
      <c r="B284" s="113" t="s">
        <v>104</v>
      </c>
      <c r="C284" s="113" t="s">
        <v>223</v>
      </c>
      <c r="D284" s="114">
        <v>570571.44999999995</v>
      </c>
      <c r="E284" s="115">
        <v>570571.44999999995</v>
      </c>
      <c r="F284" s="115">
        <v>570296.76</v>
      </c>
      <c r="G284" s="115"/>
      <c r="H284" s="116"/>
      <c r="I284" s="114">
        <v>25121.46</v>
      </c>
      <c r="J284" s="115">
        <v>46580.87</v>
      </c>
      <c r="K284" s="115">
        <v>62350.98</v>
      </c>
      <c r="L284" s="115"/>
      <c r="M284" s="116"/>
    </row>
    <row r="285" spans="1:13" x14ac:dyDescent="0.2">
      <c r="A285" t="s">
        <v>9</v>
      </c>
      <c r="B285" t="s">
        <v>104</v>
      </c>
      <c r="C285" t="s">
        <v>224</v>
      </c>
      <c r="D285" s="110">
        <v>195028.26</v>
      </c>
      <c r="E285" s="111">
        <v>194378.26</v>
      </c>
      <c r="F285" s="111"/>
      <c r="G285" s="111"/>
      <c r="H285" s="112"/>
      <c r="I285" s="110">
        <v>13242.41</v>
      </c>
      <c r="J285" s="111">
        <v>26776.83</v>
      </c>
      <c r="K285" s="111"/>
      <c r="L285" s="111"/>
      <c r="M285" s="112"/>
    </row>
    <row r="286" spans="1:13" x14ac:dyDescent="0.2">
      <c r="A286" s="117" t="s">
        <v>9</v>
      </c>
      <c r="B286" s="117" t="s">
        <v>104</v>
      </c>
      <c r="C286" s="117" t="s">
        <v>225</v>
      </c>
      <c r="D286" s="118">
        <v>404615.35</v>
      </c>
      <c r="E286" s="119"/>
      <c r="F286" s="119"/>
      <c r="G286" s="119"/>
      <c r="H286" s="120"/>
      <c r="I286" s="118">
        <v>16734.669999999998</v>
      </c>
      <c r="J286" s="119"/>
      <c r="K286" s="119"/>
      <c r="L286" s="119"/>
      <c r="M286" s="120"/>
    </row>
    <row r="287" spans="1:13" x14ac:dyDescent="0.2">
      <c r="A287" t="s">
        <v>9</v>
      </c>
      <c r="B287" t="s">
        <v>140</v>
      </c>
      <c r="C287" t="s">
        <v>222</v>
      </c>
      <c r="D287" s="110">
        <v>212544</v>
      </c>
      <c r="E287" s="111">
        <v>212544</v>
      </c>
      <c r="F287" s="111">
        <v>212544</v>
      </c>
      <c r="G287" s="111">
        <v>212544</v>
      </c>
      <c r="H287" s="112"/>
      <c r="I287" s="110">
        <v>0</v>
      </c>
      <c r="J287" s="111">
        <v>0</v>
      </c>
      <c r="K287" s="111">
        <v>0</v>
      </c>
      <c r="L287" s="111">
        <v>0</v>
      </c>
      <c r="M287" s="112"/>
    </row>
    <row r="288" spans="1:13" x14ac:dyDescent="0.2">
      <c r="A288" s="113" t="s">
        <v>9</v>
      </c>
      <c r="B288" s="113" t="s">
        <v>140</v>
      </c>
      <c r="C288" s="113" t="s">
        <v>223</v>
      </c>
      <c r="D288" s="114">
        <v>268280</v>
      </c>
      <c r="E288" s="115">
        <v>268280</v>
      </c>
      <c r="F288" s="115">
        <v>268280</v>
      </c>
      <c r="G288" s="115"/>
      <c r="H288" s="116"/>
      <c r="I288" s="114">
        <v>0</v>
      </c>
      <c r="J288" s="115">
        <v>0</v>
      </c>
      <c r="K288" s="115">
        <v>0</v>
      </c>
      <c r="L288" s="115"/>
      <c r="M288" s="116"/>
    </row>
    <row r="289" spans="1:13" x14ac:dyDescent="0.2">
      <c r="A289" t="s">
        <v>9</v>
      </c>
      <c r="B289" t="s">
        <v>140</v>
      </c>
      <c r="C289" t="s">
        <v>224</v>
      </c>
      <c r="D289" s="110">
        <v>0</v>
      </c>
      <c r="E289" s="111">
        <v>0</v>
      </c>
      <c r="F289" s="111"/>
      <c r="G289" s="111"/>
      <c r="H289" s="112"/>
      <c r="I289" s="110">
        <v>0</v>
      </c>
      <c r="J289" s="111">
        <v>0</v>
      </c>
      <c r="K289" s="111"/>
      <c r="L289" s="111"/>
      <c r="M289" s="112"/>
    </row>
    <row r="290" spans="1:13" x14ac:dyDescent="0.2">
      <c r="A290" s="117" t="s">
        <v>9</v>
      </c>
      <c r="B290" s="117" t="s">
        <v>140</v>
      </c>
      <c r="C290" s="117" t="s">
        <v>225</v>
      </c>
      <c r="D290" s="118">
        <v>105728</v>
      </c>
      <c r="E290" s="119"/>
      <c r="F290" s="119"/>
      <c r="G290" s="119"/>
      <c r="H290" s="120"/>
      <c r="I290" s="118">
        <v>0</v>
      </c>
      <c r="J290" s="119"/>
      <c r="K290" s="119"/>
      <c r="L290" s="119"/>
      <c r="M290" s="120"/>
    </row>
    <row r="291" spans="1:13" x14ac:dyDescent="0.2">
      <c r="A291" t="s">
        <v>9</v>
      </c>
      <c r="B291" t="s">
        <v>105</v>
      </c>
      <c r="C291" t="s">
        <v>222</v>
      </c>
      <c r="D291" s="110">
        <v>211527.8</v>
      </c>
      <c r="E291" s="111">
        <v>193706.8</v>
      </c>
      <c r="F291" s="111">
        <v>193706.8</v>
      </c>
      <c r="G291" s="111">
        <v>192705.8</v>
      </c>
      <c r="H291" s="112"/>
      <c r="I291" s="110">
        <v>38727.230000000003</v>
      </c>
      <c r="J291" s="111">
        <v>61183.23</v>
      </c>
      <c r="K291" s="111">
        <v>77730.929999999993</v>
      </c>
      <c r="L291" s="111">
        <v>82416.929999999993</v>
      </c>
      <c r="M291" s="112"/>
    </row>
    <row r="292" spans="1:13" x14ac:dyDescent="0.2">
      <c r="A292" s="113" t="s">
        <v>9</v>
      </c>
      <c r="B292" s="113" t="s">
        <v>105</v>
      </c>
      <c r="C292" s="113" t="s">
        <v>223</v>
      </c>
      <c r="D292" s="114">
        <v>156658.25</v>
      </c>
      <c r="E292" s="115">
        <v>153266.26999999999</v>
      </c>
      <c r="F292" s="115">
        <v>146785.26999999999</v>
      </c>
      <c r="G292" s="115"/>
      <c r="H292" s="116"/>
      <c r="I292" s="114">
        <v>32208</v>
      </c>
      <c r="J292" s="115">
        <v>46461.52</v>
      </c>
      <c r="K292" s="115">
        <v>50140.52</v>
      </c>
      <c r="L292" s="115"/>
      <c r="M292" s="116"/>
    </row>
    <row r="293" spans="1:13" x14ac:dyDescent="0.2">
      <c r="A293" t="s">
        <v>9</v>
      </c>
      <c r="B293" t="s">
        <v>105</v>
      </c>
      <c r="C293" t="s">
        <v>224</v>
      </c>
      <c r="D293" s="110">
        <v>76042.5</v>
      </c>
      <c r="E293" s="111">
        <v>73127.5</v>
      </c>
      <c r="F293" s="111"/>
      <c r="G293" s="111"/>
      <c r="H293" s="112"/>
      <c r="I293" s="110">
        <v>9835</v>
      </c>
      <c r="J293" s="111">
        <v>14533.5</v>
      </c>
      <c r="K293" s="111"/>
      <c r="L293" s="111"/>
      <c r="M293" s="112"/>
    </row>
    <row r="294" spans="1:13" x14ac:dyDescent="0.2">
      <c r="A294" s="117" t="s">
        <v>9</v>
      </c>
      <c r="B294" s="117" t="s">
        <v>105</v>
      </c>
      <c r="C294" s="117" t="s">
        <v>225</v>
      </c>
      <c r="D294" s="118">
        <v>121393.67</v>
      </c>
      <c r="E294" s="119"/>
      <c r="F294" s="119"/>
      <c r="G294" s="119"/>
      <c r="H294" s="120"/>
      <c r="I294" s="118">
        <v>17171.57</v>
      </c>
      <c r="J294" s="119"/>
      <c r="K294" s="119"/>
      <c r="L294" s="119"/>
      <c r="M294" s="120"/>
    </row>
    <row r="295" spans="1:13" x14ac:dyDescent="0.2">
      <c r="A295" t="s">
        <v>9</v>
      </c>
      <c r="B295" t="s">
        <v>111</v>
      </c>
      <c r="C295" t="s">
        <v>222</v>
      </c>
      <c r="D295" s="110">
        <v>4726</v>
      </c>
      <c r="E295" s="111">
        <v>4316</v>
      </c>
      <c r="F295" s="111">
        <v>4316</v>
      </c>
      <c r="G295" s="111">
        <v>4182.67</v>
      </c>
      <c r="H295" s="112"/>
      <c r="I295" s="110">
        <v>92</v>
      </c>
      <c r="J295" s="111">
        <v>242</v>
      </c>
      <c r="K295" s="111">
        <v>275.33</v>
      </c>
      <c r="L295" s="111">
        <v>275.33</v>
      </c>
      <c r="M295" s="112"/>
    </row>
    <row r="296" spans="1:13" x14ac:dyDescent="0.2">
      <c r="A296" s="113" t="s">
        <v>9</v>
      </c>
      <c r="B296" s="113" t="s">
        <v>111</v>
      </c>
      <c r="C296" s="113" t="s">
        <v>223</v>
      </c>
      <c r="D296" s="114">
        <v>7249</v>
      </c>
      <c r="E296" s="115">
        <v>6509</v>
      </c>
      <c r="F296" s="115">
        <v>5552.33</v>
      </c>
      <c r="G296" s="115"/>
      <c r="H296" s="116"/>
      <c r="I296" s="114">
        <v>219</v>
      </c>
      <c r="J296" s="115">
        <v>285.67</v>
      </c>
      <c r="K296" s="115">
        <v>450.67</v>
      </c>
      <c r="L296" s="115"/>
      <c r="M296" s="116"/>
    </row>
    <row r="297" spans="1:13" x14ac:dyDescent="0.2">
      <c r="A297" t="s">
        <v>9</v>
      </c>
      <c r="B297" t="s">
        <v>111</v>
      </c>
      <c r="C297" t="s">
        <v>224</v>
      </c>
      <c r="D297" s="110">
        <v>2350</v>
      </c>
      <c r="E297" s="111">
        <v>2350</v>
      </c>
      <c r="F297" s="111"/>
      <c r="G297" s="111"/>
      <c r="H297" s="112"/>
      <c r="I297" s="110">
        <v>0</v>
      </c>
      <c r="J297" s="111">
        <v>0</v>
      </c>
      <c r="K297" s="111"/>
      <c r="L297" s="111"/>
      <c r="M297" s="112"/>
    </row>
    <row r="298" spans="1:13" x14ac:dyDescent="0.2">
      <c r="A298" s="117" t="s">
        <v>9</v>
      </c>
      <c r="B298" s="117" t="s">
        <v>111</v>
      </c>
      <c r="C298" s="117" t="s">
        <v>225</v>
      </c>
      <c r="D298" s="118">
        <v>4762</v>
      </c>
      <c r="E298" s="119"/>
      <c r="F298" s="119"/>
      <c r="G298" s="119"/>
      <c r="H298" s="120"/>
      <c r="I298" s="118">
        <v>55</v>
      </c>
      <c r="J298" s="119"/>
      <c r="K298" s="119"/>
      <c r="L298" s="119"/>
      <c r="M298" s="120"/>
    </row>
    <row r="299" spans="1:13" x14ac:dyDescent="0.2">
      <c r="A299" s="124" t="s">
        <v>9</v>
      </c>
      <c r="B299" s="124" t="s">
        <v>109</v>
      </c>
      <c r="C299" s="124" t="s">
        <v>222</v>
      </c>
      <c r="D299" s="125">
        <v>265606.3</v>
      </c>
      <c r="E299" s="126">
        <v>256109.3</v>
      </c>
      <c r="F299" s="126">
        <v>252111.3</v>
      </c>
      <c r="G299" s="126">
        <v>250112.8</v>
      </c>
      <c r="H299" s="127"/>
      <c r="I299" s="125">
        <v>52600.2</v>
      </c>
      <c r="J299" s="126">
        <v>98695.5</v>
      </c>
      <c r="K299" s="126">
        <v>129569.75</v>
      </c>
      <c r="L299" s="126">
        <v>150700.75</v>
      </c>
      <c r="M299" s="127"/>
    </row>
    <row r="300" spans="1:13" x14ac:dyDescent="0.2">
      <c r="A300" s="113" t="s">
        <v>9</v>
      </c>
      <c r="B300" s="113" t="s">
        <v>109</v>
      </c>
      <c r="C300" s="113" t="s">
        <v>223</v>
      </c>
      <c r="D300" s="114">
        <v>254856.5</v>
      </c>
      <c r="E300" s="115">
        <v>253783</v>
      </c>
      <c r="F300" s="115">
        <v>247337</v>
      </c>
      <c r="G300" s="115"/>
      <c r="H300" s="116"/>
      <c r="I300" s="114">
        <v>64922.62</v>
      </c>
      <c r="J300" s="115">
        <v>104168.25</v>
      </c>
      <c r="K300" s="115">
        <v>146301.75</v>
      </c>
      <c r="L300" s="115"/>
      <c r="M300" s="116"/>
    </row>
    <row r="301" spans="1:13" x14ac:dyDescent="0.2">
      <c r="A301" t="s">
        <v>9</v>
      </c>
      <c r="B301" t="s">
        <v>109</v>
      </c>
      <c r="C301" t="s">
        <v>224</v>
      </c>
      <c r="D301" s="110">
        <v>96137.5</v>
      </c>
      <c r="E301" s="111">
        <v>94880</v>
      </c>
      <c r="F301" s="111"/>
      <c r="G301" s="111"/>
      <c r="H301" s="112"/>
      <c r="I301" s="110">
        <v>25649.5</v>
      </c>
      <c r="J301" s="111">
        <v>38582.5</v>
      </c>
      <c r="K301" s="111"/>
      <c r="L301" s="111"/>
      <c r="M301" s="112"/>
    </row>
    <row r="302" spans="1:13" x14ac:dyDescent="0.2">
      <c r="A302" s="117" t="s">
        <v>9</v>
      </c>
      <c r="B302" s="117" t="s">
        <v>109</v>
      </c>
      <c r="C302" s="117" t="s">
        <v>225</v>
      </c>
      <c r="D302" s="118">
        <v>261056.88</v>
      </c>
      <c r="E302" s="119"/>
      <c r="F302" s="119"/>
      <c r="G302" s="119"/>
      <c r="H302" s="120"/>
      <c r="I302" s="118">
        <v>70112.63</v>
      </c>
      <c r="J302" s="119"/>
      <c r="K302" s="119"/>
      <c r="L302" s="119"/>
      <c r="M302" s="120"/>
    </row>
    <row r="303" spans="1:13" x14ac:dyDescent="0.2">
      <c r="A303" t="s">
        <v>9</v>
      </c>
      <c r="B303" t="s">
        <v>106</v>
      </c>
      <c r="C303" t="s">
        <v>222</v>
      </c>
      <c r="D303" s="110">
        <v>240025</v>
      </c>
      <c r="E303" s="111">
        <v>240005</v>
      </c>
      <c r="F303" s="111">
        <v>240005</v>
      </c>
      <c r="G303" s="111">
        <v>239905</v>
      </c>
      <c r="H303" s="112"/>
      <c r="I303" s="110">
        <v>238180</v>
      </c>
      <c r="J303" s="111">
        <v>238280</v>
      </c>
      <c r="K303" s="111">
        <v>238280</v>
      </c>
      <c r="L303" s="111">
        <v>238280</v>
      </c>
      <c r="M303" s="112"/>
    </row>
    <row r="304" spans="1:13" x14ac:dyDescent="0.2">
      <c r="A304" s="113" t="s">
        <v>9</v>
      </c>
      <c r="B304" s="113" t="s">
        <v>106</v>
      </c>
      <c r="C304" s="113" t="s">
        <v>223</v>
      </c>
      <c r="D304" s="114">
        <v>187210.48</v>
      </c>
      <c r="E304" s="115">
        <v>187160.48</v>
      </c>
      <c r="F304" s="115">
        <v>186860.48</v>
      </c>
      <c r="G304" s="115"/>
      <c r="H304" s="116"/>
      <c r="I304" s="114">
        <v>185300.48000000001</v>
      </c>
      <c r="J304" s="115">
        <v>186510.48</v>
      </c>
      <c r="K304" s="115">
        <v>186510.48</v>
      </c>
      <c r="L304" s="115"/>
      <c r="M304" s="116"/>
    </row>
    <row r="305" spans="1:13" x14ac:dyDescent="0.2">
      <c r="A305" t="s">
        <v>9</v>
      </c>
      <c r="B305" t="s">
        <v>106</v>
      </c>
      <c r="C305" t="s">
        <v>224</v>
      </c>
      <c r="D305" s="110">
        <v>110969.4</v>
      </c>
      <c r="E305" s="111">
        <v>110819.4</v>
      </c>
      <c r="F305" s="111"/>
      <c r="G305" s="111"/>
      <c r="H305" s="112"/>
      <c r="I305" s="110">
        <v>109504.4</v>
      </c>
      <c r="J305" s="111">
        <v>109889.4</v>
      </c>
      <c r="K305" s="111"/>
      <c r="L305" s="111"/>
      <c r="M305" s="112"/>
    </row>
    <row r="306" spans="1:13" x14ac:dyDescent="0.2">
      <c r="A306" s="117" t="s">
        <v>9</v>
      </c>
      <c r="B306" s="117" t="s">
        <v>106</v>
      </c>
      <c r="C306" s="117" t="s">
        <v>225</v>
      </c>
      <c r="D306" s="118">
        <v>172681.13</v>
      </c>
      <c r="E306" s="119"/>
      <c r="F306" s="119"/>
      <c r="G306" s="119"/>
      <c r="H306" s="120"/>
      <c r="I306" s="118">
        <v>167408.63</v>
      </c>
      <c r="J306" s="119"/>
      <c r="K306" s="119"/>
      <c r="L306" s="119"/>
      <c r="M306" s="120"/>
    </row>
    <row r="307" spans="1:13" x14ac:dyDescent="0.2">
      <c r="A307" t="s">
        <v>9</v>
      </c>
      <c r="B307" t="s">
        <v>107</v>
      </c>
      <c r="C307" t="s">
        <v>222</v>
      </c>
      <c r="D307" s="110">
        <v>206343.42</v>
      </c>
      <c r="E307" s="111">
        <v>206168.42</v>
      </c>
      <c r="F307" s="111">
        <v>206168.42</v>
      </c>
      <c r="G307" s="111">
        <v>206168.42</v>
      </c>
      <c r="H307" s="112"/>
      <c r="I307" s="110">
        <v>205697.42</v>
      </c>
      <c r="J307" s="111">
        <v>205747.42</v>
      </c>
      <c r="K307" s="111">
        <v>205747.42</v>
      </c>
      <c r="L307" s="111">
        <v>205747.42</v>
      </c>
      <c r="M307" s="112"/>
    </row>
    <row r="308" spans="1:13" x14ac:dyDescent="0.2">
      <c r="A308" s="113" t="s">
        <v>9</v>
      </c>
      <c r="B308" s="113" t="s">
        <v>107</v>
      </c>
      <c r="C308" s="113" t="s">
        <v>223</v>
      </c>
      <c r="D308" s="114">
        <v>233036.45</v>
      </c>
      <c r="E308" s="115">
        <v>232041.45</v>
      </c>
      <c r="F308" s="115">
        <v>232041.45</v>
      </c>
      <c r="G308" s="115"/>
      <c r="H308" s="116"/>
      <c r="I308" s="114">
        <v>232551.45</v>
      </c>
      <c r="J308" s="115">
        <v>232041.45</v>
      </c>
      <c r="K308" s="115">
        <v>232041.45</v>
      </c>
      <c r="L308" s="115"/>
      <c r="M308" s="116"/>
    </row>
    <row r="309" spans="1:13" x14ac:dyDescent="0.2">
      <c r="A309" t="s">
        <v>9</v>
      </c>
      <c r="B309" t="s">
        <v>107</v>
      </c>
      <c r="C309" t="s">
        <v>224</v>
      </c>
      <c r="D309" s="110">
        <v>121211</v>
      </c>
      <c r="E309" s="111">
        <v>120911</v>
      </c>
      <c r="F309" s="111"/>
      <c r="G309" s="111"/>
      <c r="H309" s="112"/>
      <c r="I309" s="110">
        <v>118285</v>
      </c>
      <c r="J309" s="111">
        <v>119890</v>
      </c>
      <c r="K309" s="111"/>
      <c r="L309" s="111"/>
      <c r="M309" s="112"/>
    </row>
    <row r="310" spans="1:13" x14ac:dyDescent="0.2">
      <c r="A310" s="117" t="s">
        <v>9</v>
      </c>
      <c r="B310" s="117" t="s">
        <v>107</v>
      </c>
      <c r="C310" s="117" t="s">
        <v>225</v>
      </c>
      <c r="D310" s="118">
        <v>214782.5</v>
      </c>
      <c r="E310" s="119"/>
      <c r="F310" s="119"/>
      <c r="G310" s="119"/>
      <c r="H310" s="120"/>
      <c r="I310" s="118">
        <v>211996.5</v>
      </c>
      <c r="J310" s="119"/>
      <c r="K310" s="119"/>
      <c r="L310" s="119"/>
      <c r="M310" s="120"/>
    </row>
    <row r="311" spans="1:13" x14ac:dyDescent="0.2">
      <c r="A311" t="s">
        <v>9</v>
      </c>
      <c r="B311" t="s">
        <v>108</v>
      </c>
      <c r="C311" t="s">
        <v>222</v>
      </c>
      <c r="D311" s="110">
        <v>89252.21</v>
      </c>
      <c r="E311" s="111">
        <v>89107.21</v>
      </c>
      <c r="F311" s="111">
        <v>89107.21</v>
      </c>
      <c r="G311" s="111">
        <v>89107.21</v>
      </c>
      <c r="H311" s="112"/>
      <c r="I311" s="110">
        <v>85310.21</v>
      </c>
      <c r="J311" s="111">
        <v>86822.71</v>
      </c>
      <c r="K311" s="111">
        <v>86852.71</v>
      </c>
      <c r="L311" s="111">
        <v>86912.71</v>
      </c>
      <c r="M311" s="112"/>
    </row>
    <row r="312" spans="1:13" x14ac:dyDescent="0.2">
      <c r="A312" s="113" t="s">
        <v>9</v>
      </c>
      <c r="B312" s="113" t="s">
        <v>108</v>
      </c>
      <c r="C312" s="113" t="s">
        <v>223</v>
      </c>
      <c r="D312" s="114">
        <v>97579.22</v>
      </c>
      <c r="E312" s="115">
        <v>97579.22</v>
      </c>
      <c r="F312" s="115">
        <v>97328.72</v>
      </c>
      <c r="G312" s="115"/>
      <c r="H312" s="116"/>
      <c r="I312" s="114">
        <v>95747.22</v>
      </c>
      <c r="J312" s="115">
        <v>96312.72</v>
      </c>
      <c r="K312" s="115">
        <v>96342.720000000001</v>
      </c>
      <c r="L312" s="115"/>
      <c r="M312" s="116"/>
    </row>
    <row r="313" spans="1:13" x14ac:dyDescent="0.2">
      <c r="A313" t="s">
        <v>9</v>
      </c>
      <c r="B313" t="s">
        <v>108</v>
      </c>
      <c r="C313" t="s">
        <v>224</v>
      </c>
      <c r="D313" s="110">
        <v>104238.2</v>
      </c>
      <c r="E313" s="111">
        <v>103863.2</v>
      </c>
      <c r="F313" s="111"/>
      <c r="G313" s="111"/>
      <c r="H313" s="112"/>
      <c r="I313" s="110">
        <v>101938.2</v>
      </c>
      <c r="J313" s="111">
        <v>102755.2</v>
      </c>
      <c r="K313" s="111"/>
      <c r="L313" s="111"/>
      <c r="M313" s="112"/>
    </row>
    <row r="314" spans="1:13" x14ac:dyDescent="0.2">
      <c r="A314" s="117" t="s">
        <v>9</v>
      </c>
      <c r="B314" s="117" t="s">
        <v>108</v>
      </c>
      <c r="C314" s="117" t="s">
        <v>225</v>
      </c>
      <c r="D314" s="118">
        <v>115686.59</v>
      </c>
      <c r="E314" s="119"/>
      <c r="F314" s="119"/>
      <c r="G314" s="119"/>
      <c r="H314" s="120"/>
      <c r="I314" s="118">
        <v>112363.59</v>
      </c>
      <c r="J314" s="119"/>
      <c r="K314" s="119"/>
      <c r="L314" s="119"/>
      <c r="M314" s="120"/>
    </row>
    <row r="315" spans="1:13" x14ac:dyDescent="0.2">
      <c r="A315" t="s">
        <v>9</v>
      </c>
      <c r="B315" t="s">
        <v>70</v>
      </c>
      <c r="C315" t="s">
        <v>222</v>
      </c>
      <c r="D315" s="110">
        <v>90739</v>
      </c>
      <c r="E315" s="111">
        <v>89690</v>
      </c>
      <c r="F315" s="111">
        <v>89690</v>
      </c>
      <c r="G315" s="111">
        <v>89690</v>
      </c>
      <c r="H315" s="112"/>
      <c r="I315" s="110">
        <v>89513</v>
      </c>
      <c r="J315" s="111">
        <v>89513</v>
      </c>
      <c r="K315" s="111">
        <v>89513</v>
      </c>
      <c r="L315" s="111">
        <v>89513</v>
      </c>
      <c r="M315" s="112"/>
    </row>
    <row r="316" spans="1:13" x14ac:dyDescent="0.2">
      <c r="A316" s="113" t="s">
        <v>9</v>
      </c>
      <c r="B316" s="113" t="s">
        <v>70</v>
      </c>
      <c r="C316" s="113" t="s">
        <v>223</v>
      </c>
      <c r="D316" s="114">
        <v>83131.009999999995</v>
      </c>
      <c r="E316" s="115">
        <v>83131.009999999995</v>
      </c>
      <c r="F316" s="115">
        <v>83131.009999999995</v>
      </c>
      <c r="G316" s="115"/>
      <c r="H316" s="116"/>
      <c r="I316" s="114">
        <v>80269.009999999995</v>
      </c>
      <c r="J316" s="115">
        <v>80991.009999999995</v>
      </c>
      <c r="K316" s="115">
        <v>81108.009999999995</v>
      </c>
      <c r="L316" s="115"/>
      <c r="M316" s="116"/>
    </row>
    <row r="317" spans="1:13" x14ac:dyDescent="0.2">
      <c r="A317" t="s">
        <v>9</v>
      </c>
      <c r="B317" t="s">
        <v>70</v>
      </c>
      <c r="C317" t="s">
        <v>224</v>
      </c>
      <c r="D317" s="110">
        <v>87239</v>
      </c>
      <c r="E317" s="111">
        <v>87239</v>
      </c>
      <c r="F317" s="111"/>
      <c r="G317" s="111"/>
      <c r="H317" s="112"/>
      <c r="I317" s="110">
        <v>84419</v>
      </c>
      <c r="J317" s="111">
        <v>86263</v>
      </c>
      <c r="K317" s="111"/>
      <c r="L317" s="111"/>
      <c r="M317" s="112"/>
    </row>
    <row r="318" spans="1:13" x14ac:dyDescent="0.2">
      <c r="A318" s="117" t="s">
        <v>9</v>
      </c>
      <c r="B318" s="117" t="s">
        <v>70</v>
      </c>
      <c r="C318" s="117" t="s">
        <v>225</v>
      </c>
      <c r="D318" s="118">
        <v>99926.29</v>
      </c>
      <c r="E318" s="119"/>
      <c r="F318" s="119"/>
      <c r="G318" s="119"/>
      <c r="H318" s="120"/>
      <c r="I318" s="118">
        <v>92370.29</v>
      </c>
      <c r="J318" s="119"/>
      <c r="K318" s="119"/>
      <c r="L318" s="119"/>
      <c r="M318" s="120"/>
    </row>
    <row r="319" spans="1:13" x14ac:dyDescent="0.2">
      <c r="A319" t="s">
        <v>9</v>
      </c>
      <c r="B319" t="s">
        <v>110</v>
      </c>
      <c r="C319" t="s">
        <v>222</v>
      </c>
      <c r="D319" s="110">
        <v>609296.53</v>
      </c>
      <c r="E319" s="111">
        <v>540746.19999999995</v>
      </c>
      <c r="F319" s="111">
        <v>538016.19999999995</v>
      </c>
      <c r="G319" s="111">
        <v>532473.06000000006</v>
      </c>
      <c r="H319" s="112"/>
      <c r="I319" s="110">
        <v>288426.28999999998</v>
      </c>
      <c r="J319" s="111">
        <v>446336.05</v>
      </c>
      <c r="K319" s="111">
        <v>466476.49</v>
      </c>
      <c r="L319" s="111">
        <v>477270.16</v>
      </c>
      <c r="M319" s="112"/>
    </row>
    <row r="320" spans="1:13" x14ac:dyDescent="0.2">
      <c r="A320" s="113" t="s">
        <v>9</v>
      </c>
      <c r="B320" s="113" t="s">
        <v>110</v>
      </c>
      <c r="C320" s="113" t="s">
        <v>223</v>
      </c>
      <c r="D320" s="114">
        <v>524921.21</v>
      </c>
      <c r="E320" s="115">
        <v>503990.71</v>
      </c>
      <c r="F320" s="115">
        <v>476970.21</v>
      </c>
      <c r="G320" s="115"/>
      <c r="H320" s="116"/>
      <c r="I320" s="114">
        <v>301503.40999999997</v>
      </c>
      <c r="J320" s="115">
        <v>392003.62</v>
      </c>
      <c r="K320" s="115">
        <v>404240.62</v>
      </c>
      <c r="L320" s="115"/>
      <c r="M320" s="116"/>
    </row>
    <row r="321" spans="1:13" x14ac:dyDescent="0.2">
      <c r="A321" t="s">
        <v>9</v>
      </c>
      <c r="B321" t="s">
        <v>110</v>
      </c>
      <c r="C321" t="s">
        <v>224</v>
      </c>
      <c r="D321" s="110">
        <v>311074.28000000003</v>
      </c>
      <c r="E321" s="111">
        <v>257741.94</v>
      </c>
      <c r="F321" s="111"/>
      <c r="G321" s="111"/>
      <c r="H321" s="112"/>
      <c r="I321" s="110">
        <v>126744.46</v>
      </c>
      <c r="J321" s="111">
        <v>186290.54</v>
      </c>
      <c r="K321" s="111"/>
      <c r="L321" s="111"/>
      <c r="M321" s="112"/>
    </row>
    <row r="322" spans="1:13" ht="13.5" thickBot="1" x14ac:dyDescent="0.25">
      <c r="A322" s="128" t="s">
        <v>9</v>
      </c>
      <c r="B322" s="128" t="s">
        <v>110</v>
      </c>
      <c r="C322" s="128" t="s">
        <v>225</v>
      </c>
      <c r="D322" s="129">
        <v>516112.22</v>
      </c>
      <c r="E322" s="130"/>
      <c r="F322" s="130"/>
      <c r="G322" s="130"/>
      <c r="H322" s="131"/>
      <c r="I322" s="129">
        <v>222916.8</v>
      </c>
      <c r="J322" s="130"/>
      <c r="K322" s="130"/>
      <c r="L322" s="130"/>
      <c r="M322" s="131"/>
    </row>
    <row r="323" spans="1:13" x14ac:dyDescent="0.2">
      <c r="A323" s="132" t="s">
        <v>10</v>
      </c>
      <c r="B323" s="132" t="s">
        <v>104</v>
      </c>
      <c r="C323" s="132" t="s">
        <v>222</v>
      </c>
      <c r="D323" s="133">
        <v>757366.5</v>
      </c>
      <c r="E323" s="134">
        <v>755893.5</v>
      </c>
      <c r="F323" s="134">
        <v>754758.5</v>
      </c>
      <c r="G323" s="134">
        <v>753467.5</v>
      </c>
      <c r="H323" s="135"/>
      <c r="I323" s="133">
        <v>26244.42</v>
      </c>
      <c r="J323" s="134">
        <v>39967.910000000003</v>
      </c>
      <c r="K323" s="134">
        <v>49265.4</v>
      </c>
      <c r="L323" s="134">
        <v>59578.18</v>
      </c>
      <c r="M323" s="135"/>
    </row>
    <row r="324" spans="1:13" x14ac:dyDescent="0.2">
      <c r="A324" s="113" t="s">
        <v>10</v>
      </c>
      <c r="B324" s="113" t="s">
        <v>104</v>
      </c>
      <c r="C324" s="113" t="s">
        <v>223</v>
      </c>
      <c r="D324" s="114">
        <v>1309954.5</v>
      </c>
      <c r="E324" s="115">
        <v>1308145.5</v>
      </c>
      <c r="F324" s="115">
        <v>1306855.5</v>
      </c>
      <c r="G324" s="115"/>
      <c r="H324" s="116"/>
      <c r="I324" s="114">
        <v>24593.119999999999</v>
      </c>
      <c r="J324" s="115">
        <v>37494.99</v>
      </c>
      <c r="K324" s="115">
        <v>44899.74</v>
      </c>
      <c r="L324" s="115"/>
      <c r="M324" s="116"/>
    </row>
    <row r="325" spans="1:13" x14ac:dyDescent="0.2">
      <c r="A325" t="s">
        <v>10</v>
      </c>
      <c r="B325" t="s">
        <v>104</v>
      </c>
      <c r="C325" t="s">
        <v>224</v>
      </c>
      <c r="D325" s="110">
        <v>286346.5</v>
      </c>
      <c r="E325" s="111">
        <v>286527.5</v>
      </c>
      <c r="F325" s="111"/>
      <c r="G325" s="111"/>
      <c r="H325" s="112"/>
      <c r="I325" s="110">
        <v>16838.490000000002</v>
      </c>
      <c r="J325" s="111">
        <v>20830.02</v>
      </c>
      <c r="K325" s="111"/>
      <c r="L325" s="111"/>
      <c r="M325" s="112"/>
    </row>
    <row r="326" spans="1:13" x14ac:dyDescent="0.2">
      <c r="A326" s="117" t="s">
        <v>10</v>
      </c>
      <c r="B326" s="117" t="s">
        <v>104</v>
      </c>
      <c r="C326" s="117" t="s">
        <v>225</v>
      </c>
      <c r="D326" s="118">
        <v>388235.5</v>
      </c>
      <c r="E326" s="119"/>
      <c r="F326" s="119"/>
      <c r="G326" s="119"/>
      <c r="H326" s="120"/>
      <c r="I326" s="118">
        <v>24043.07</v>
      </c>
      <c r="J326" s="119"/>
      <c r="K326" s="119"/>
      <c r="L326" s="119"/>
      <c r="M326" s="120"/>
    </row>
    <row r="327" spans="1:13" x14ac:dyDescent="0.2">
      <c r="A327" t="s">
        <v>10</v>
      </c>
      <c r="B327" t="s">
        <v>140</v>
      </c>
      <c r="C327" t="s">
        <v>222</v>
      </c>
      <c r="D327" s="110">
        <v>321158</v>
      </c>
      <c r="E327" s="111">
        <v>320808</v>
      </c>
      <c r="F327" s="111">
        <v>320808</v>
      </c>
      <c r="G327" s="111">
        <v>320808</v>
      </c>
      <c r="H327" s="112"/>
      <c r="I327" s="110">
        <v>50</v>
      </c>
      <c r="J327" s="111">
        <v>107</v>
      </c>
      <c r="K327" s="111">
        <v>107</v>
      </c>
      <c r="L327" s="111">
        <v>107</v>
      </c>
      <c r="M327" s="112"/>
    </row>
    <row r="328" spans="1:13" x14ac:dyDescent="0.2">
      <c r="A328" s="113" t="s">
        <v>10</v>
      </c>
      <c r="B328" s="113" t="s">
        <v>140</v>
      </c>
      <c r="C328" s="113" t="s">
        <v>223</v>
      </c>
      <c r="D328" s="114">
        <v>985941</v>
      </c>
      <c r="E328" s="115">
        <v>985641</v>
      </c>
      <c r="F328" s="115">
        <v>985641</v>
      </c>
      <c r="G328" s="115"/>
      <c r="H328" s="116"/>
      <c r="I328" s="114">
        <v>57</v>
      </c>
      <c r="J328" s="115">
        <v>57</v>
      </c>
      <c r="K328" s="115">
        <v>57</v>
      </c>
      <c r="L328" s="115"/>
      <c r="M328" s="116"/>
    </row>
    <row r="329" spans="1:13" x14ac:dyDescent="0.2">
      <c r="A329" t="s">
        <v>10</v>
      </c>
      <c r="B329" t="s">
        <v>140</v>
      </c>
      <c r="C329" t="s">
        <v>224</v>
      </c>
      <c r="D329" s="110">
        <v>106780</v>
      </c>
      <c r="E329" s="111">
        <v>106730</v>
      </c>
      <c r="F329" s="111"/>
      <c r="G329" s="111"/>
      <c r="H329" s="112"/>
      <c r="I329" s="110">
        <v>50</v>
      </c>
      <c r="J329" s="111">
        <v>50</v>
      </c>
      <c r="K329" s="111"/>
      <c r="L329" s="111"/>
      <c r="M329" s="112"/>
    </row>
    <row r="330" spans="1:13" x14ac:dyDescent="0.2">
      <c r="A330" s="117" t="s">
        <v>10</v>
      </c>
      <c r="B330" s="117" t="s">
        <v>140</v>
      </c>
      <c r="C330" s="117" t="s">
        <v>225</v>
      </c>
      <c r="D330" s="118">
        <v>157297</v>
      </c>
      <c r="E330" s="119"/>
      <c r="F330" s="119"/>
      <c r="G330" s="119"/>
      <c r="H330" s="120"/>
      <c r="I330" s="118">
        <v>392.5</v>
      </c>
      <c r="J330" s="119"/>
      <c r="K330" s="119"/>
      <c r="L330" s="119"/>
      <c r="M330" s="120"/>
    </row>
    <row r="331" spans="1:13" x14ac:dyDescent="0.2">
      <c r="A331" t="s">
        <v>10</v>
      </c>
      <c r="B331" t="s">
        <v>105</v>
      </c>
      <c r="C331" t="s">
        <v>222</v>
      </c>
      <c r="D331" s="110">
        <v>218426.51</v>
      </c>
      <c r="E331" s="111">
        <v>215888.51</v>
      </c>
      <c r="F331" s="111">
        <v>215717.51</v>
      </c>
      <c r="G331" s="111">
        <v>214976.51</v>
      </c>
      <c r="H331" s="112"/>
      <c r="I331" s="110">
        <v>42051.44</v>
      </c>
      <c r="J331" s="111">
        <v>59703.3</v>
      </c>
      <c r="K331" s="111">
        <v>70771.520000000004</v>
      </c>
      <c r="L331" s="111">
        <v>77835.23</v>
      </c>
      <c r="M331" s="112"/>
    </row>
    <row r="332" spans="1:13" x14ac:dyDescent="0.2">
      <c r="A332" s="113" t="s">
        <v>10</v>
      </c>
      <c r="B332" s="113" t="s">
        <v>105</v>
      </c>
      <c r="C332" s="113" t="s">
        <v>223</v>
      </c>
      <c r="D332" s="114">
        <v>219502</v>
      </c>
      <c r="E332" s="115">
        <v>218807</v>
      </c>
      <c r="F332" s="115">
        <v>217903</v>
      </c>
      <c r="G332" s="115"/>
      <c r="H332" s="116"/>
      <c r="I332" s="114">
        <v>45029.06</v>
      </c>
      <c r="J332" s="115">
        <v>60430.77</v>
      </c>
      <c r="K332" s="115">
        <v>73504.77</v>
      </c>
      <c r="L332" s="115"/>
      <c r="M332" s="116"/>
    </row>
    <row r="333" spans="1:13" x14ac:dyDescent="0.2">
      <c r="A333" t="s">
        <v>10</v>
      </c>
      <c r="B333" t="s">
        <v>105</v>
      </c>
      <c r="C333" t="s">
        <v>224</v>
      </c>
      <c r="D333" s="110">
        <v>110249.5</v>
      </c>
      <c r="E333" s="111">
        <v>107750.5</v>
      </c>
      <c r="F333" s="111"/>
      <c r="G333" s="111"/>
      <c r="H333" s="112"/>
      <c r="I333" s="110">
        <v>30059.68</v>
      </c>
      <c r="J333" s="111">
        <v>41870.160000000003</v>
      </c>
      <c r="K333" s="111"/>
      <c r="L333" s="111"/>
      <c r="M333" s="112"/>
    </row>
    <row r="334" spans="1:13" x14ac:dyDescent="0.2">
      <c r="A334" s="117" t="s">
        <v>10</v>
      </c>
      <c r="B334" s="117" t="s">
        <v>105</v>
      </c>
      <c r="C334" s="117" t="s">
        <v>225</v>
      </c>
      <c r="D334" s="118">
        <v>174977.75</v>
      </c>
      <c r="E334" s="119"/>
      <c r="F334" s="119"/>
      <c r="G334" s="119"/>
      <c r="H334" s="120"/>
      <c r="I334" s="118">
        <v>50071.8</v>
      </c>
      <c r="J334" s="119"/>
      <c r="K334" s="119"/>
      <c r="L334" s="119"/>
      <c r="M334" s="120"/>
    </row>
    <row r="335" spans="1:13" x14ac:dyDescent="0.2">
      <c r="A335" t="s">
        <v>10</v>
      </c>
      <c r="B335" t="s">
        <v>111</v>
      </c>
      <c r="C335" t="s">
        <v>222</v>
      </c>
      <c r="D335" s="110">
        <v>5597</v>
      </c>
      <c r="E335" s="111">
        <v>5472</v>
      </c>
      <c r="F335" s="111">
        <v>5322</v>
      </c>
      <c r="G335" s="111">
        <v>5222</v>
      </c>
      <c r="H335" s="112"/>
      <c r="I335" s="110">
        <v>294</v>
      </c>
      <c r="J335" s="111">
        <v>375</v>
      </c>
      <c r="K335" s="111">
        <v>375</v>
      </c>
      <c r="L335" s="111">
        <v>432</v>
      </c>
      <c r="M335" s="112"/>
    </row>
    <row r="336" spans="1:13" x14ac:dyDescent="0.2">
      <c r="A336" s="113" t="s">
        <v>10</v>
      </c>
      <c r="B336" s="113" t="s">
        <v>111</v>
      </c>
      <c r="C336" s="113" t="s">
        <v>223</v>
      </c>
      <c r="D336" s="114">
        <v>10287</v>
      </c>
      <c r="E336" s="115">
        <v>10280</v>
      </c>
      <c r="F336" s="115">
        <v>10230</v>
      </c>
      <c r="G336" s="115"/>
      <c r="H336" s="116"/>
      <c r="I336" s="114">
        <v>906</v>
      </c>
      <c r="J336" s="115">
        <v>1056</v>
      </c>
      <c r="K336" s="115">
        <v>1252</v>
      </c>
      <c r="L336" s="115"/>
      <c r="M336" s="116"/>
    </row>
    <row r="337" spans="1:13" x14ac:dyDescent="0.2">
      <c r="A337" t="s">
        <v>10</v>
      </c>
      <c r="B337" t="s">
        <v>111</v>
      </c>
      <c r="C337" t="s">
        <v>224</v>
      </c>
      <c r="D337" s="110">
        <v>1571</v>
      </c>
      <c r="E337" s="111">
        <v>1571</v>
      </c>
      <c r="F337" s="111"/>
      <c r="G337" s="111"/>
      <c r="H337" s="112"/>
      <c r="I337" s="110">
        <v>100</v>
      </c>
      <c r="J337" s="111">
        <v>100</v>
      </c>
      <c r="K337" s="111"/>
      <c r="L337" s="111"/>
      <c r="M337" s="112"/>
    </row>
    <row r="338" spans="1:13" x14ac:dyDescent="0.2">
      <c r="A338" s="117" t="s">
        <v>10</v>
      </c>
      <c r="B338" s="117" t="s">
        <v>111</v>
      </c>
      <c r="C338" s="117" t="s">
        <v>225</v>
      </c>
      <c r="D338" s="118">
        <v>11016</v>
      </c>
      <c r="E338" s="119"/>
      <c r="F338" s="119"/>
      <c r="G338" s="119"/>
      <c r="H338" s="120"/>
      <c r="I338" s="118">
        <v>735.75</v>
      </c>
      <c r="J338" s="119"/>
      <c r="K338" s="119"/>
      <c r="L338" s="119"/>
      <c r="M338" s="120"/>
    </row>
    <row r="339" spans="1:13" x14ac:dyDescent="0.2">
      <c r="A339" s="124" t="s">
        <v>10</v>
      </c>
      <c r="B339" s="124" t="s">
        <v>109</v>
      </c>
      <c r="C339" s="124" t="s">
        <v>222</v>
      </c>
      <c r="D339" s="125">
        <v>154000.5</v>
      </c>
      <c r="E339" s="126">
        <v>153926.5</v>
      </c>
      <c r="F339" s="126">
        <v>153901.5</v>
      </c>
      <c r="G339" s="126">
        <v>153851.5</v>
      </c>
      <c r="H339" s="127"/>
      <c r="I339" s="125">
        <v>38120.25</v>
      </c>
      <c r="J339" s="126">
        <v>52014.75</v>
      </c>
      <c r="K339" s="126">
        <v>58358.75</v>
      </c>
      <c r="L339" s="126">
        <v>64301.46</v>
      </c>
      <c r="M339" s="127"/>
    </row>
    <row r="340" spans="1:13" x14ac:dyDescent="0.2">
      <c r="A340" s="113" t="s">
        <v>10</v>
      </c>
      <c r="B340" s="113" t="s">
        <v>109</v>
      </c>
      <c r="C340" s="113" t="s">
        <v>223</v>
      </c>
      <c r="D340" s="114">
        <v>133858.70000000001</v>
      </c>
      <c r="E340" s="115">
        <v>133655.70000000001</v>
      </c>
      <c r="F340" s="115">
        <v>133605.70000000001</v>
      </c>
      <c r="G340" s="115"/>
      <c r="H340" s="116"/>
      <c r="I340" s="114">
        <v>45627.519999999997</v>
      </c>
      <c r="J340" s="115">
        <v>52866.14</v>
      </c>
      <c r="K340" s="115">
        <v>57919.6</v>
      </c>
      <c r="L340" s="115"/>
      <c r="M340" s="116"/>
    </row>
    <row r="341" spans="1:13" x14ac:dyDescent="0.2">
      <c r="A341" t="s">
        <v>10</v>
      </c>
      <c r="B341" t="s">
        <v>109</v>
      </c>
      <c r="C341" t="s">
        <v>224</v>
      </c>
      <c r="D341" s="110">
        <v>62385.599999999999</v>
      </c>
      <c r="E341" s="111">
        <v>60999.6</v>
      </c>
      <c r="F341" s="111"/>
      <c r="G341" s="111"/>
      <c r="H341" s="112"/>
      <c r="I341" s="110">
        <v>17353.240000000002</v>
      </c>
      <c r="J341" s="111">
        <v>25587.11</v>
      </c>
      <c r="K341" s="111"/>
      <c r="L341" s="111"/>
      <c r="M341" s="112"/>
    </row>
    <row r="342" spans="1:13" x14ac:dyDescent="0.2">
      <c r="A342" s="117" t="s">
        <v>10</v>
      </c>
      <c r="B342" s="117" t="s">
        <v>109</v>
      </c>
      <c r="C342" s="117" t="s">
        <v>225</v>
      </c>
      <c r="D342" s="118">
        <v>162906.1</v>
      </c>
      <c r="E342" s="119"/>
      <c r="F342" s="119"/>
      <c r="G342" s="119"/>
      <c r="H342" s="120"/>
      <c r="I342" s="118">
        <v>41183.120000000003</v>
      </c>
      <c r="J342" s="119"/>
      <c r="K342" s="119"/>
      <c r="L342" s="119"/>
      <c r="M342" s="120"/>
    </row>
    <row r="343" spans="1:13" x14ac:dyDescent="0.2">
      <c r="A343" t="s">
        <v>10</v>
      </c>
      <c r="B343" t="s">
        <v>106</v>
      </c>
      <c r="C343" t="s">
        <v>222</v>
      </c>
      <c r="D343" s="110">
        <v>200401.37</v>
      </c>
      <c r="E343" s="111">
        <v>200323.37</v>
      </c>
      <c r="F343" s="111">
        <v>200373.37</v>
      </c>
      <c r="G343" s="111">
        <v>200373.37</v>
      </c>
      <c r="H343" s="112"/>
      <c r="I343" s="110">
        <v>197901.37</v>
      </c>
      <c r="J343" s="111">
        <v>199968.37</v>
      </c>
      <c r="K343" s="111">
        <v>200038.37</v>
      </c>
      <c r="L343" s="111">
        <v>200098.37</v>
      </c>
      <c r="M343" s="112"/>
    </row>
    <row r="344" spans="1:13" x14ac:dyDescent="0.2">
      <c r="A344" s="113" t="s">
        <v>10</v>
      </c>
      <c r="B344" s="113" t="s">
        <v>106</v>
      </c>
      <c r="C344" s="113" t="s">
        <v>223</v>
      </c>
      <c r="D344" s="114">
        <v>169790.54</v>
      </c>
      <c r="E344" s="115">
        <v>169720.54</v>
      </c>
      <c r="F344" s="115">
        <v>169575.54</v>
      </c>
      <c r="G344" s="115"/>
      <c r="H344" s="116"/>
      <c r="I344" s="114">
        <v>166372.04</v>
      </c>
      <c r="J344" s="115">
        <v>168964.54</v>
      </c>
      <c r="K344" s="115">
        <v>169384.54</v>
      </c>
      <c r="L344" s="115"/>
      <c r="M344" s="116"/>
    </row>
    <row r="345" spans="1:13" x14ac:dyDescent="0.2">
      <c r="A345" t="s">
        <v>10</v>
      </c>
      <c r="B345" t="s">
        <v>106</v>
      </c>
      <c r="C345" t="s">
        <v>224</v>
      </c>
      <c r="D345" s="110">
        <v>79019.12</v>
      </c>
      <c r="E345" s="111">
        <v>78469.119999999995</v>
      </c>
      <c r="F345" s="111"/>
      <c r="G345" s="111"/>
      <c r="H345" s="112"/>
      <c r="I345" s="110">
        <v>75171.12</v>
      </c>
      <c r="J345" s="111">
        <v>77748.62</v>
      </c>
      <c r="K345" s="111"/>
      <c r="L345" s="111"/>
      <c r="M345" s="112"/>
    </row>
    <row r="346" spans="1:13" x14ac:dyDescent="0.2">
      <c r="A346" s="117" t="s">
        <v>10</v>
      </c>
      <c r="B346" s="117" t="s">
        <v>106</v>
      </c>
      <c r="C346" s="117" t="s">
        <v>225</v>
      </c>
      <c r="D346" s="118">
        <v>122441.97</v>
      </c>
      <c r="E346" s="119"/>
      <c r="F346" s="119"/>
      <c r="G346" s="119"/>
      <c r="H346" s="120"/>
      <c r="I346" s="118">
        <v>118652.97</v>
      </c>
      <c r="J346" s="119"/>
      <c r="K346" s="119"/>
      <c r="L346" s="119"/>
      <c r="M346" s="120"/>
    </row>
    <row r="347" spans="1:13" x14ac:dyDescent="0.2">
      <c r="A347" t="s">
        <v>10</v>
      </c>
      <c r="B347" t="s">
        <v>107</v>
      </c>
      <c r="C347" t="s">
        <v>222</v>
      </c>
      <c r="D347" s="110">
        <v>175194.93</v>
      </c>
      <c r="E347" s="111">
        <v>174708.93</v>
      </c>
      <c r="F347" s="111">
        <v>174708.93</v>
      </c>
      <c r="G347" s="111">
        <v>174703.93</v>
      </c>
      <c r="H347" s="112"/>
      <c r="I347" s="110">
        <v>174258.6</v>
      </c>
      <c r="J347" s="111">
        <v>174653.93</v>
      </c>
      <c r="K347" s="111">
        <v>174653.93</v>
      </c>
      <c r="L347" s="111">
        <v>174653.93</v>
      </c>
      <c r="M347" s="112"/>
    </row>
    <row r="348" spans="1:13" x14ac:dyDescent="0.2">
      <c r="A348" s="113" t="s">
        <v>10</v>
      </c>
      <c r="B348" s="113" t="s">
        <v>107</v>
      </c>
      <c r="C348" s="113" t="s">
        <v>223</v>
      </c>
      <c r="D348" s="114">
        <v>205846.96</v>
      </c>
      <c r="E348" s="115">
        <v>205546.96</v>
      </c>
      <c r="F348" s="115">
        <v>205426.96</v>
      </c>
      <c r="G348" s="115"/>
      <c r="H348" s="116"/>
      <c r="I348" s="114">
        <v>204781.46</v>
      </c>
      <c r="J348" s="115">
        <v>205179.96</v>
      </c>
      <c r="K348" s="115">
        <v>205224.95999999999</v>
      </c>
      <c r="L348" s="115"/>
      <c r="M348" s="116"/>
    </row>
    <row r="349" spans="1:13" x14ac:dyDescent="0.2">
      <c r="A349" t="s">
        <v>10</v>
      </c>
      <c r="B349" t="s">
        <v>107</v>
      </c>
      <c r="C349" t="s">
        <v>224</v>
      </c>
      <c r="D349" s="110">
        <v>100832</v>
      </c>
      <c r="E349" s="111">
        <v>100621</v>
      </c>
      <c r="F349" s="111"/>
      <c r="G349" s="111"/>
      <c r="H349" s="112"/>
      <c r="I349" s="110">
        <v>99711</v>
      </c>
      <c r="J349" s="111">
        <v>100326</v>
      </c>
      <c r="K349" s="111"/>
      <c r="L349" s="111"/>
      <c r="M349" s="112"/>
    </row>
    <row r="350" spans="1:13" x14ac:dyDescent="0.2">
      <c r="A350" s="117" t="s">
        <v>10</v>
      </c>
      <c r="B350" s="117" t="s">
        <v>107</v>
      </c>
      <c r="C350" s="117" t="s">
        <v>225</v>
      </c>
      <c r="D350" s="118">
        <v>147545.32999999999</v>
      </c>
      <c r="E350" s="119"/>
      <c r="F350" s="119"/>
      <c r="G350" s="119"/>
      <c r="H350" s="120"/>
      <c r="I350" s="118">
        <v>145925.32999999999</v>
      </c>
      <c r="J350" s="119"/>
      <c r="K350" s="119"/>
      <c r="L350" s="119"/>
      <c r="M350" s="120"/>
    </row>
    <row r="351" spans="1:13" x14ac:dyDescent="0.2">
      <c r="A351" t="s">
        <v>10</v>
      </c>
      <c r="B351" t="s">
        <v>108</v>
      </c>
      <c r="C351" t="s">
        <v>222</v>
      </c>
      <c r="D351" s="110">
        <v>78237.27</v>
      </c>
      <c r="E351" s="111">
        <v>77837.27</v>
      </c>
      <c r="F351" s="111">
        <v>77837.27</v>
      </c>
      <c r="G351" s="111">
        <v>77837.27</v>
      </c>
      <c r="H351" s="112"/>
      <c r="I351" s="110">
        <v>77236.25</v>
      </c>
      <c r="J351" s="111">
        <v>77690.25</v>
      </c>
      <c r="K351" s="111">
        <v>77690.25</v>
      </c>
      <c r="L351" s="111">
        <v>77710.25</v>
      </c>
      <c r="M351" s="112"/>
    </row>
    <row r="352" spans="1:13" x14ac:dyDescent="0.2">
      <c r="A352" s="113" t="s">
        <v>10</v>
      </c>
      <c r="B352" s="113" t="s">
        <v>108</v>
      </c>
      <c r="C352" s="113" t="s">
        <v>223</v>
      </c>
      <c r="D352" s="114">
        <v>85111.35</v>
      </c>
      <c r="E352" s="115">
        <v>85106.35</v>
      </c>
      <c r="F352" s="115">
        <v>84706.35</v>
      </c>
      <c r="G352" s="115"/>
      <c r="H352" s="116"/>
      <c r="I352" s="114">
        <v>79095.25</v>
      </c>
      <c r="J352" s="115">
        <v>84634.25</v>
      </c>
      <c r="K352" s="115">
        <v>84399.25</v>
      </c>
      <c r="L352" s="115"/>
      <c r="M352" s="116"/>
    </row>
    <row r="353" spans="1:13" x14ac:dyDescent="0.2">
      <c r="A353" t="s">
        <v>10</v>
      </c>
      <c r="B353" t="s">
        <v>108</v>
      </c>
      <c r="C353" t="s">
        <v>224</v>
      </c>
      <c r="D353" s="110">
        <v>92332.96</v>
      </c>
      <c r="E353" s="111">
        <v>91743.96</v>
      </c>
      <c r="F353" s="111"/>
      <c r="G353" s="111"/>
      <c r="H353" s="112"/>
      <c r="I353" s="110">
        <v>90316.75</v>
      </c>
      <c r="J353" s="111">
        <v>91505.75</v>
      </c>
      <c r="K353" s="111"/>
      <c r="L353" s="111"/>
      <c r="M353" s="112"/>
    </row>
    <row r="354" spans="1:13" x14ac:dyDescent="0.2">
      <c r="A354" s="117" t="s">
        <v>10</v>
      </c>
      <c r="B354" s="117" t="s">
        <v>108</v>
      </c>
      <c r="C354" s="117" t="s">
        <v>225</v>
      </c>
      <c r="D354" s="118">
        <v>99260.73</v>
      </c>
      <c r="E354" s="119"/>
      <c r="F354" s="119"/>
      <c r="G354" s="119"/>
      <c r="H354" s="120"/>
      <c r="I354" s="118">
        <v>97666.2</v>
      </c>
      <c r="J354" s="119"/>
      <c r="K354" s="119"/>
      <c r="L354" s="119"/>
      <c r="M354" s="120"/>
    </row>
    <row r="355" spans="1:13" x14ac:dyDescent="0.2">
      <c r="A355" t="s">
        <v>10</v>
      </c>
      <c r="B355" t="s">
        <v>70</v>
      </c>
      <c r="C355" t="s">
        <v>222</v>
      </c>
      <c r="D355" s="110">
        <v>81835.77</v>
      </c>
      <c r="E355" s="111">
        <v>79733.27</v>
      </c>
      <c r="F355" s="111">
        <v>79733.27</v>
      </c>
      <c r="G355" s="111">
        <v>79438.27</v>
      </c>
      <c r="H355" s="112"/>
      <c r="I355" s="110">
        <v>70534.27</v>
      </c>
      <c r="J355" s="111">
        <v>74589.27</v>
      </c>
      <c r="K355" s="111">
        <v>75604.77</v>
      </c>
      <c r="L355" s="111">
        <v>75604.77</v>
      </c>
      <c r="M355" s="112"/>
    </row>
    <row r="356" spans="1:13" x14ac:dyDescent="0.2">
      <c r="A356" s="113" t="s">
        <v>10</v>
      </c>
      <c r="B356" s="113" t="s">
        <v>70</v>
      </c>
      <c r="C356" s="113" t="s">
        <v>223</v>
      </c>
      <c r="D356" s="114">
        <v>75774.92</v>
      </c>
      <c r="E356" s="115">
        <v>75629.919999999998</v>
      </c>
      <c r="F356" s="115">
        <v>75629.919999999998</v>
      </c>
      <c r="G356" s="115"/>
      <c r="H356" s="116"/>
      <c r="I356" s="114">
        <v>69860.92</v>
      </c>
      <c r="J356" s="115">
        <v>70841.919999999998</v>
      </c>
      <c r="K356" s="115">
        <v>71449.42</v>
      </c>
      <c r="L356" s="115"/>
      <c r="M356" s="116"/>
    </row>
    <row r="357" spans="1:13" x14ac:dyDescent="0.2">
      <c r="A357" t="s">
        <v>10</v>
      </c>
      <c r="B357" t="s">
        <v>70</v>
      </c>
      <c r="C357" t="s">
        <v>224</v>
      </c>
      <c r="D357" s="110">
        <v>66657.350000000006</v>
      </c>
      <c r="E357" s="111">
        <v>66087.350000000006</v>
      </c>
      <c r="F357" s="111"/>
      <c r="G357" s="111"/>
      <c r="H357" s="112"/>
      <c r="I357" s="110">
        <v>60573.599999999999</v>
      </c>
      <c r="J357" s="111">
        <v>62990.1</v>
      </c>
      <c r="K357" s="111"/>
      <c r="L357" s="111"/>
      <c r="M357" s="112"/>
    </row>
    <row r="358" spans="1:13" x14ac:dyDescent="0.2">
      <c r="A358" s="117" t="s">
        <v>10</v>
      </c>
      <c r="B358" s="117" t="s">
        <v>70</v>
      </c>
      <c r="C358" s="117" t="s">
        <v>225</v>
      </c>
      <c r="D358" s="118">
        <v>79981.279999999999</v>
      </c>
      <c r="E358" s="119"/>
      <c r="F358" s="119"/>
      <c r="G358" s="119"/>
      <c r="H358" s="120"/>
      <c r="I358" s="118">
        <v>74751.78</v>
      </c>
      <c r="J358" s="119"/>
      <c r="K358" s="119"/>
      <c r="L358" s="119"/>
      <c r="M358" s="120"/>
    </row>
    <row r="359" spans="1:13" x14ac:dyDescent="0.2">
      <c r="A359" t="s">
        <v>10</v>
      </c>
      <c r="B359" t="s">
        <v>110</v>
      </c>
      <c r="C359" t="s">
        <v>222</v>
      </c>
      <c r="D359" s="110">
        <v>441723</v>
      </c>
      <c r="E359" s="111">
        <v>426203.25</v>
      </c>
      <c r="F359" s="111">
        <v>425145.75</v>
      </c>
      <c r="G359" s="111">
        <v>423142.75</v>
      </c>
      <c r="H359" s="112"/>
      <c r="I359" s="110">
        <v>250600.75</v>
      </c>
      <c r="J359" s="111">
        <v>365300.74</v>
      </c>
      <c r="K359" s="111">
        <v>383194.3</v>
      </c>
      <c r="L359" s="111">
        <v>391009.84</v>
      </c>
      <c r="M359" s="112"/>
    </row>
    <row r="360" spans="1:13" x14ac:dyDescent="0.2">
      <c r="A360" s="113" t="s">
        <v>10</v>
      </c>
      <c r="B360" s="113" t="s">
        <v>110</v>
      </c>
      <c r="C360" s="113" t="s">
        <v>223</v>
      </c>
      <c r="D360" s="114">
        <v>421317.45</v>
      </c>
      <c r="E360" s="115">
        <v>403938.61</v>
      </c>
      <c r="F360" s="115">
        <v>390964.51</v>
      </c>
      <c r="G360" s="115"/>
      <c r="H360" s="116"/>
      <c r="I360" s="114">
        <v>252492.4</v>
      </c>
      <c r="J360" s="115">
        <v>331770.45</v>
      </c>
      <c r="K360" s="115">
        <v>351294.57</v>
      </c>
      <c r="L360" s="115"/>
      <c r="M360" s="116"/>
    </row>
    <row r="361" spans="1:13" x14ac:dyDescent="0.2">
      <c r="A361" t="s">
        <v>10</v>
      </c>
      <c r="B361" t="s">
        <v>110</v>
      </c>
      <c r="C361" t="s">
        <v>224</v>
      </c>
      <c r="D361" s="110">
        <v>417810.5</v>
      </c>
      <c r="E361" s="111">
        <v>377334.9</v>
      </c>
      <c r="F361" s="111"/>
      <c r="G361" s="111"/>
      <c r="H361" s="112"/>
      <c r="I361" s="110">
        <v>222199.93</v>
      </c>
      <c r="J361" s="111">
        <v>323999.8</v>
      </c>
      <c r="K361" s="111"/>
      <c r="L361" s="111"/>
      <c r="M361" s="112"/>
    </row>
    <row r="362" spans="1:13" ht="13.5" thickBot="1" x14ac:dyDescent="0.25">
      <c r="A362" s="128" t="s">
        <v>10</v>
      </c>
      <c r="B362" s="128" t="s">
        <v>110</v>
      </c>
      <c r="C362" s="128" t="s">
        <v>225</v>
      </c>
      <c r="D362" s="129">
        <v>587150.69999999995</v>
      </c>
      <c r="E362" s="130"/>
      <c r="F362" s="130"/>
      <c r="G362" s="130"/>
      <c r="H362" s="131"/>
      <c r="I362" s="129">
        <v>346596.05</v>
      </c>
      <c r="J362" s="130"/>
      <c r="K362" s="130"/>
      <c r="L362" s="130"/>
      <c r="M362" s="131"/>
    </row>
    <row r="363" spans="1:13" x14ac:dyDescent="0.2">
      <c r="A363" s="132" t="s">
        <v>11</v>
      </c>
      <c r="B363" s="132" t="s">
        <v>104</v>
      </c>
      <c r="C363" s="132" t="s">
        <v>222</v>
      </c>
      <c r="D363" s="133">
        <v>185735.5</v>
      </c>
      <c r="E363" s="134">
        <v>185317.5</v>
      </c>
      <c r="F363" s="134">
        <v>185257.5</v>
      </c>
      <c r="G363" s="134">
        <v>185257.5</v>
      </c>
      <c r="H363" s="135"/>
      <c r="I363" s="133">
        <v>5348.69</v>
      </c>
      <c r="J363" s="134">
        <v>10568.22</v>
      </c>
      <c r="K363" s="134">
        <v>13783.55</v>
      </c>
      <c r="L363" s="134">
        <v>18594.43</v>
      </c>
      <c r="M363" s="135"/>
    </row>
    <row r="364" spans="1:13" x14ac:dyDescent="0.2">
      <c r="A364" s="113" t="s">
        <v>11</v>
      </c>
      <c r="B364" s="113" t="s">
        <v>104</v>
      </c>
      <c r="C364" s="113" t="s">
        <v>223</v>
      </c>
      <c r="D364" s="114">
        <v>169606</v>
      </c>
      <c r="E364" s="115">
        <v>169214.15</v>
      </c>
      <c r="F364" s="115">
        <v>169214.15</v>
      </c>
      <c r="G364" s="115"/>
      <c r="H364" s="116"/>
      <c r="I364" s="114">
        <v>5763.71</v>
      </c>
      <c r="J364" s="115">
        <v>13812.63</v>
      </c>
      <c r="K364" s="115">
        <v>18605.64</v>
      </c>
      <c r="L364" s="115"/>
      <c r="M364" s="116"/>
    </row>
    <row r="365" spans="1:13" x14ac:dyDescent="0.2">
      <c r="A365" t="s">
        <v>11</v>
      </c>
      <c r="B365" t="s">
        <v>104</v>
      </c>
      <c r="C365" t="s">
        <v>224</v>
      </c>
      <c r="D365" s="110">
        <v>503375.49</v>
      </c>
      <c r="E365" s="111">
        <v>503361.49</v>
      </c>
      <c r="F365" s="111"/>
      <c r="G365" s="111"/>
      <c r="H365" s="112"/>
      <c r="I365" s="110">
        <v>2812.07</v>
      </c>
      <c r="J365" s="111">
        <v>5261.77</v>
      </c>
      <c r="K365" s="111"/>
      <c r="L365" s="111"/>
      <c r="M365" s="112"/>
    </row>
    <row r="366" spans="1:13" x14ac:dyDescent="0.2">
      <c r="A366" s="117" t="s">
        <v>11</v>
      </c>
      <c r="B366" s="117" t="s">
        <v>104</v>
      </c>
      <c r="C366" s="117" t="s">
        <v>225</v>
      </c>
      <c r="D366" s="118">
        <v>108162</v>
      </c>
      <c r="E366" s="119"/>
      <c r="F366" s="119"/>
      <c r="G366" s="119"/>
      <c r="H366" s="120"/>
      <c r="I366" s="118">
        <v>4659.3</v>
      </c>
      <c r="J366" s="119"/>
      <c r="K366" s="119"/>
      <c r="L366" s="119"/>
      <c r="M366" s="120"/>
    </row>
    <row r="367" spans="1:13" x14ac:dyDescent="0.2">
      <c r="A367" t="s">
        <v>11</v>
      </c>
      <c r="B367" t="s">
        <v>140</v>
      </c>
      <c r="C367" t="s">
        <v>222</v>
      </c>
      <c r="D367" s="110">
        <v>52918</v>
      </c>
      <c r="E367" s="111">
        <v>52918</v>
      </c>
      <c r="F367" s="111">
        <v>52918</v>
      </c>
      <c r="G367" s="111">
        <v>52918</v>
      </c>
      <c r="H367" s="112"/>
      <c r="I367" s="110">
        <v>0</v>
      </c>
      <c r="J367" s="111">
        <v>0</v>
      </c>
      <c r="K367" s="111">
        <v>0</v>
      </c>
      <c r="L367" s="111">
        <v>0</v>
      </c>
      <c r="M367" s="112"/>
    </row>
    <row r="368" spans="1:13" x14ac:dyDescent="0.2">
      <c r="A368" s="113" t="s">
        <v>11</v>
      </c>
      <c r="B368" s="113" t="s">
        <v>140</v>
      </c>
      <c r="C368" s="113" t="s">
        <v>223</v>
      </c>
      <c r="D368" s="114">
        <v>53436</v>
      </c>
      <c r="E368" s="115">
        <v>53436</v>
      </c>
      <c r="F368" s="115">
        <v>53436</v>
      </c>
      <c r="G368" s="115"/>
      <c r="H368" s="116"/>
      <c r="I368" s="114">
        <v>0</v>
      </c>
      <c r="J368" s="115">
        <v>0</v>
      </c>
      <c r="K368" s="115">
        <v>0</v>
      </c>
      <c r="L368" s="115"/>
      <c r="M368" s="116"/>
    </row>
    <row r="369" spans="1:13" x14ac:dyDescent="0.2">
      <c r="A369" t="s">
        <v>11</v>
      </c>
      <c r="B369" t="s">
        <v>140</v>
      </c>
      <c r="C369" t="s">
        <v>224</v>
      </c>
      <c r="D369" s="110">
        <v>421704</v>
      </c>
      <c r="E369" s="111">
        <v>421704</v>
      </c>
      <c r="F369" s="111"/>
      <c r="G369" s="111"/>
      <c r="H369" s="112"/>
      <c r="I369" s="110">
        <v>0</v>
      </c>
      <c r="J369" s="111">
        <v>0</v>
      </c>
      <c r="K369" s="111"/>
      <c r="L369" s="111"/>
      <c r="M369" s="112"/>
    </row>
    <row r="370" spans="1:13" x14ac:dyDescent="0.2">
      <c r="A370" s="117" t="s">
        <v>11</v>
      </c>
      <c r="B370" s="117" t="s">
        <v>140</v>
      </c>
      <c r="C370" s="117" t="s">
        <v>225</v>
      </c>
      <c r="D370" s="118">
        <v>108162</v>
      </c>
      <c r="E370" s="119"/>
      <c r="F370" s="119"/>
      <c r="G370" s="119"/>
      <c r="H370" s="120"/>
      <c r="I370" s="118">
        <v>0</v>
      </c>
      <c r="J370" s="119"/>
      <c r="K370" s="119"/>
      <c r="L370" s="119"/>
      <c r="M370" s="120"/>
    </row>
    <row r="371" spans="1:13" x14ac:dyDescent="0.2">
      <c r="A371" t="s">
        <v>11</v>
      </c>
      <c r="B371" t="s">
        <v>105</v>
      </c>
      <c r="C371" t="s">
        <v>222</v>
      </c>
      <c r="D371" s="110">
        <v>203982.75</v>
      </c>
      <c r="E371" s="111">
        <v>203307.75</v>
      </c>
      <c r="F371" s="111">
        <v>203307.75</v>
      </c>
      <c r="G371" s="111">
        <v>202918.25</v>
      </c>
      <c r="H371" s="112"/>
      <c r="I371" s="110">
        <v>18548.96</v>
      </c>
      <c r="J371" s="111">
        <v>37362.550000000003</v>
      </c>
      <c r="K371" s="111">
        <v>49752.97</v>
      </c>
      <c r="L371" s="111">
        <v>57729.21</v>
      </c>
      <c r="M371" s="112"/>
    </row>
    <row r="372" spans="1:13" x14ac:dyDescent="0.2">
      <c r="A372" s="113" t="s">
        <v>11</v>
      </c>
      <c r="B372" s="113" t="s">
        <v>105</v>
      </c>
      <c r="C372" s="113" t="s">
        <v>223</v>
      </c>
      <c r="D372" s="114">
        <v>167601.03</v>
      </c>
      <c r="E372" s="115">
        <v>166973.53</v>
      </c>
      <c r="F372" s="115">
        <v>166347.03</v>
      </c>
      <c r="G372" s="115"/>
      <c r="H372" s="116"/>
      <c r="I372" s="114">
        <v>25841.52</v>
      </c>
      <c r="J372" s="115">
        <v>40161.39</v>
      </c>
      <c r="K372" s="115">
        <v>48295.57</v>
      </c>
      <c r="L372" s="115"/>
      <c r="M372" s="116"/>
    </row>
    <row r="373" spans="1:13" x14ac:dyDescent="0.2">
      <c r="A373" t="s">
        <v>11</v>
      </c>
      <c r="B373" t="s">
        <v>105</v>
      </c>
      <c r="C373" t="s">
        <v>224</v>
      </c>
      <c r="D373" s="110">
        <v>116386</v>
      </c>
      <c r="E373" s="111">
        <v>116330</v>
      </c>
      <c r="F373" s="111"/>
      <c r="G373" s="111"/>
      <c r="H373" s="112"/>
      <c r="I373" s="110">
        <v>18143.939999999999</v>
      </c>
      <c r="J373" s="111">
        <v>32374.26</v>
      </c>
      <c r="K373" s="111"/>
      <c r="L373" s="111"/>
      <c r="M373" s="112"/>
    </row>
    <row r="374" spans="1:13" x14ac:dyDescent="0.2">
      <c r="A374" s="117" t="s">
        <v>11</v>
      </c>
      <c r="B374" s="117" t="s">
        <v>105</v>
      </c>
      <c r="C374" s="117" t="s">
        <v>225</v>
      </c>
      <c r="D374" s="118">
        <v>165336</v>
      </c>
      <c r="E374" s="119"/>
      <c r="F374" s="119"/>
      <c r="G374" s="119"/>
      <c r="H374" s="120"/>
      <c r="I374" s="118">
        <v>32503.48</v>
      </c>
      <c r="J374" s="119"/>
      <c r="K374" s="119"/>
      <c r="L374" s="119"/>
      <c r="M374" s="120"/>
    </row>
    <row r="375" spans="1:13" x14ac:dyDescent="0.2">
      <c r="A375" t="s">
        <v>11</v>
      </c>
      <c r="B375" t="s">
        <v>111</v>
      </c>
      <c r="C375" t="s">
        <v>222</v>
      </c>
      <c r="D375" s="110">
        <v>9517.5</v>
      </c>
      <c r="E375" s="111">
        <v>9299.5</v>
      </c>
      <c r="F375" s="111">
        <v>9081.5</v>
      </c>
      <c r="G375" s="111">
        <v>7991.5</v>
      </c>
      <c r="H375" s="112"/>
      <c r="I375" s="110">
        <v>125</v>
      </c>
      <c r="J375" s="111">
        <v>579</v>
      </c>
      <c r="K375" s="111">
        <v>930</v>
      </c>
      <c r="L375" s="111">
        <v>1752</v>
      </c>
      <c r="M375" s="112"/>
    </row>
    <row r="376" spans="1:13" x14ac:dyDescent="0.2">
      <c r="A376" s="113" t="s">
        <v>11</v>
      </c>
      <c r="B376" s="113" t="s">
        <v>111</v>
      </c>
      <c r="C376" s="113" t="s">
        <v>223</v>
      </c>
      <c r="D376" s="114">
        <v>6855.5</v>
      </c>
      <c r="E376" s="115">
        <v>6336.5</v>
      </c>
      <c r="F376" s="115">
        <v>6118.5</v>
      </c>
      <c r="G376" s="115"/>
      <c r="H376" s="116"/>
      <c r="I376" s="114">
        <v>501</v>
      </c>
      <c r="J376" s="115">
        <v>669</v>
      </c>
      <c r="K376" s="115">
        <v>769</v>
      </c>
      <c r="L376" s="115"/>
      <c r="M376" s="116"/>
    </row>
    <row r="377" spans="1:13" x14ac:dyDescent="0.2">
      <c r="A377" t="s">
        <v>11</v>
      </c>
      <c r="B377" t="s">
        <v>111</v>
      </c>
      <c r="C377" t="s">
        <v>224</v>
      </c>
      <c r="D377" s="110">
        <v>5940</v>
      </c>
      <c r="E377" s="111">
        <v>5940</v>
      </c>
      <c r="F377" s="111"/>
      <c r="G377" s="111"/>
      <c r="H377" s="112"/>
      <c r="I377" s="110">
        <v>316</v>
      </c>
      <c r="J377" s="111">
        <v>630</v>
      </c>
      <c r="K377" s="111"/>
      <c r="L377" s="111"/>
      <c r="M377" s="112"/>
    </row>
    <row r="378" spans="1:13" x14ac:dyDescent="0.2">
      <c r="A378" s="117" t="s">
        <v>11</v>
      </c>
      <c r="B378" s="117" t="s">
        <v>111</v>
      </c>
      <c r="C378" s="117" t="s">
        <v>225</v>
      </c>
      <c r="D378" s="118">
        <v>9085</v>
      </c>
      <c r="E378" s="119"/>
      <c r="F378" s="119"/>
      <c r="G378" s="119"/>
      <c r="H378" s="120"/>
      <c r="I378" s="118">
        <v>233</v>
      </c>
      <c r="J378" s="119"/>
      <c r="K378" s="119"/>
      <c r="L378" s="119"/>
      <c r="M378" s="120"/>
    </row>
    <row r="379" spans="1:13" x14ac:dyDescent="0.2">
      <c r="A379" s="124" t="s">
        <v>11</v>
      </c>
      <c r="B379" s="124" t="s">
        <v>109</v>
      </c>
      <c r="C379" s="124" t="s">
        <v>222</v>
      </c>
      <c r="D379" s="125">
        <v>250446.24</v>
      </c>
      <c r="E379" s="126">
        <v>250146.21</v>
      </c>
      <c r="F379" s="126">
        <v>250146.21</v>
      </c>
      <c r="G379" s="126">
        <v>249738.71</v>
      </c>
      <c r="H379" s="127"/>
      <c r="I379" s="125">
        <v>50892.55</v>
      </c>
      <c r="J379" s="126">
        <v>98110.36</v>
      </c>
      <c r="K379" s="126">
        <v>117218.89</v>
      </c>
      <c r="L379" s="126">
        <v>137016.74</v>
      </c>
      <c r="M379" s="127"/>
    </row>
    <row r="380" spans="1:13" x14ac:dyDescent="0.2">
      <c r="A380" s="113" t="s">
        <v>11</v>
      </c>
      <c r="B380" s="113" t="s">
        <v>109</v>
      </c>
      <c r="C380" s="113" t="s">
        <v>223</v>
      </c>
      <c r="D380" s="114">
        <v>184687.22</v>
      </c>
      <c r="E380" s="115">
        <v>184687.22</v>
      </c>
      <c r="F380" s="115">
        <v>184591.22</v>
      </c>
      <c r="G380" s="115"/>
      <c r="H380" s="116"/>
      <c r="I380" s="114">
        <v>39478.839999999997</v>
      </c>
      <c r="J380" s="115">
        <v>64169.64</v>
      </c>
      <c r="K380" s="115">
        <v>79445.899999999994</v>
      </c>
      <c r="L380" s="115"/>
      <c r="M380" s="116"/>
    </row>
    <row r="381" spans="1:13" x14ac:dyDescent="0.2">
      <c r="A381" t="s">
        <v>11</v>
      </c>
      <c r="B381" t="s">
        <v>109</v>
      </c>
      <c r="C381" t="s">
        <v>224</v>
      </c>
      <c r="D381" s="110">
        <v>159773</v>
      </c>
      <c r="E381" s="111">
        <v>159531.5</v>
      </c>
      <c r="F381" s="111"/>
      <c r="G381" s="111"/>
      <c r="H381" s="112"/>
      <c r="I381" s="110">
        <v>26840.98</v>
      </c>
      <c r="J381" s="111">
        <v>59319.98</v>
      </c>
      <c r="K381" s="111"/>
      <c r="L381" s="111"/>
      <c r="M381" s="112"/>
    </row>
    <row r="382" spans="1:13" x14ac:dyDescent="0.2">
      <c r="A382" s="117" t="s">
        <v>11</v>
      </c>
      <c r="B382" s="117" t="s">
        <v>109</v>
      </c>
      <c r="C382" s="117" t="s">
        <v>225</v>
      </c>
      <c r="D382" s="118">
        <v>202989.5</v>
      </c>
      <c r="E382" s="119"/>
      <c r="F382" s="119"/>
      <c r="G382" s="119"/>
      <c r="H382" s="120"/>
      <c r="I382" s="118">
        <v>56327.28</v>
      </c>
      <c r="J382" s="119"/>
      <c r="K382" s="119"/>
      <c r="L382" s="119"/>
      <c r="M382" s="120"/>
    </row>
    <row r="383" spans="1:13" x14ac:dyDescent="0.2">
      <c r="A383" t="s">
        <v>11</v>
      </c>
      <c r="B383" t="s">
        <v>106</v>
      </c>
      <c r="C383" t="s">
        <v>222</v>
      </c>
      <c r="D383" s="110">
        <v>257207.5</v>
      </c>
      <c r="E383" s="111">
        <v>257207.5</v>
      </c>
      <c r="F383" s="111">
        <v>257207.5</v>
      </c>
      <c r="G383" s="111">
        <v>257207.5</v>
      </c>
      <c r="H383" s="112"/>
      <c r="I383" s="110">
        <v>246977</v>
      </c>
      <c r="J383" s="111">
        <v>257207.5</v>
      </c>
      <c r="K383" s="111">
        <v>257207.5</v>
      </c>
      <c r="L383" s="111">
        <v>257207.5</v>
      </c>
      <c r="M383" s="112"/>
    </row>
    <row r="384" spans="1:13" x14ac:dyDescent="0.2">
      <c r="A384" s="113" t="s">
        <v>11</v>
      </c>
      <c r="B384" s="113" t="s">
        <v>106</v>
      </c>
      <c r="C384" s="113" t="s">
        <v>223</v>
      </c>
      <c r="D384" s="114">
        <v>254770.14</v>
      </c>
      <c r="E384" s="115">
        <v>254770.14</v>
      </c>
      <c r="F384" s="115">
        <v>254770.14</v>
      </c>
      <c r="G384" s="115"/>
      <c r="H384" s="116"/>
      <c r="I384" s="114">
        <v>247050.64</v>
      </c>
      <c r="J384" s="115">
        <v>254633.64</v>
      </c>
      <c r="K384" s="115">
        <v>254770.14</v>
      </c>
      <c r="L384" s="115"/>
      <c r="M384" s="116"/>
    </row>
    <row r="385" spans="1:13" x14ac:dyDescent="0.2">
      <c r="A385" t="s">
        <v>11</v>
      </c>
      <c r="B385" t="s">
        <v>106</v>
      </c>
      <c r="C385" t="s">
        <v>224</v>
      </c>
      <c r="D385" s="110">
        <v>91571.59</v>
      </c>
      <c r="E385" s="111">
        <v>91571.59</v>
      </c>
      <c r="F385" s="111"/>
      <c r="G385" s="111"/>
      <c r="H385" s="112"/>
      <c r="I385" s="110">
        <v>91521.59</v>
      </c>
      <c r="J385" s="111">
        <v>91571.59</v>
      </c>
      <c r="K385" s="111"/>
      <c r="L385" s="111"/>
      <c r="M385" s="112"/>
    </row>
    <row r="386" spans="1:13" x14ac:dyDescent="0.2">
      <c r="A386" s="117" t="s">
        <v>11</v>
      </c>
      <c r="B386" s="117" t="s">
        <v>106</v>
      </c>
      <c r="C386" s="117" t="s">
        <v>225</v>
      </c>
      <c r="D386" s="118">
        <v>476161</v>
      </c>
      <c r="E386" s="119"/>
      <c r="F386" s="119"/>
      <c r="G386" s="119"/>
      <c r="H386" s="120"/>
      <c r="I386" s="118">
        <v>475665</v>
      </c>
      <c r="J386" s="119"/>
      <c r="K386" s="119"/>
      <c r="L386" s="119"/>
      <c r="M386" s="120"/>
    </row>
    <row r="387" spans="1:13" x14ac:dyDescent="0.2">
      <c r="A387" t="s">
        <v>11</v>
      </c>
      <c r="B387" t="s">
        <v>107</v>
      </c>
      <c r="C387" t="s">
        <v>222</v>
      </c>
      <c r="D387" s="110">
        <v>321952.25</v>
      </c>
      <c r="E387" s="111">
        <v>321952.25</v>
      </c>
      <c r="F387" s="111">
        <v>321952.25</v>
      </c>
      <c r="G387" s="111">
        <v>321952.25</v>
      </c>
      <c r="H387" s="112"/>
      <c r="I387" s="110">
        <v>315935.25</v>
      </c>
      <c r="J387" s="111">
        <v>321945.25</v>
      </c>
      <c r="K387" s="111">
        <v>321945.25</v>
      </c>
      <c r="L387" s="111">
        <v>321945.25</v>
      </c>
      <c r="M387" s="112"/>
    </row>
    <row r="388" spans="1:13" x14ac:dyDescent="0.2">
      <c r="A388" s="113" t="s">
        <v>11</v>
      </c>
      <c r="B388" s="113" t="s">
        <v>107</v>
      </c>
      <c r="C388" s="113" t="s">
        <v>223</v>
      </c>
      <c r="D388" s="114">
        <v>332505.42</v>
      </c>
      <c r="E388" s="115">
        <v>332505.42</v>
      </c>
      <c r="F388" s="115">
        <v>332490.42</v>
      </c>
      <c r="G388" s="115"/>
      <c r="H388" s="116"/>
      <c r="I388" s="114">
        <v>330310.42</v>
      </c>
      <c r="J388" s="115">
        <v>332490.42</v>
      </c>
      <c r="K388" s="115">
        <v>332490.42</v>
      </c>
      <c r="L388" s="115"/>
      <c r="M388" s="116"/>
    </row>
    <row r="389" spans="1:13" x14ac:dyDescent="0.2">
      <c r="A389" t="s">
        <v>11</v>
      </c>
      <c r="B389" t="s">
        <v>107</v>
      </c>
      <c r="C389" t="s">
        <v>224</v>
      </c>
      <c r="D389" s="110">
        <v>174404.54</v>
      </c>
      <c r="E389" s="111">
        <v>174259.63</v>
      </c>
      <c r="F389" s="111"/>
      <c r="G389" s="111"/>
      <c r="H389" s="112"/>
      <c r="I389" s="110">
        <v>173939.63</v>
      </c>
      <c r="J389" s="111">
        <v>174259.63</v>
      </c>
      <c r="K389" s="111"/>
      <c r="L389" s="111"/>
      <c r="M389" s="112"/>
    </row>
    <row r="390" spans="1:13" x14ac:dyDescent="0.2">
      <c r="A390" s="117" t="s">
        <v>11</v>
      </c>
      <c r="B390" s="117" t="s">
        <v>107</v>
      </c>
      <c r="C390" s="117" t="s">
        <v>225</v>
      </c>
      <c r="D390" s="118">
        <v>231771.57</v>
      </c>
      <c r="E390" s="119"/>
      <c r="F390" s="119"/>
      <c r="G390" s="119"/>
      <c r="H390" s="120"/>
      <c r="I390" s="118">
        <v>228889.96</v>
      </c>
      <c r="J390" s="119"/>
      <c r="K390" s="119"/>
      <c r="L390" s="119"/>
      <c r="M390" s="120"/>
    </row>
    <row r="391" spans="1:13" x14ac:dyDescent="0.2">
      <c r="A391" t="s">
        <v>11</v>
      </c>
      <c r="B391" t="s">
        <v>108</v>
      </c>
      <c r="C391" t="s">
        <v>222</v>
      </c>
      <c r="D391" s="110">
        <v>55329</v>
      </c>
      <c r="E391" s="111">
        <v>55094</v>
      </c>
      <c r="F391" s="111">
        <v>55094</v>
      </c>
      <c r="G391" s="111">
        <v>55094</v>
      </c>
      <c r="H391" s="112"/>
      <c r="I391" s="110">
        <v>55033</v>
      </c>
      <c r="J391" s="111">
        <v>55074</v>
      </c>
      <c r="K391" s="111">
        <v>55074</v>
      </c>
      <c r="L391" s="111">
        <v>55074</v>
      </c>
      <c r="M391" s="112"/>
    </row>
    <row r="392" spans="1:13" x14ac:dyDescent="0.2">
      <c r="A392" s="113" t="s">
        <v>11</v>
      </c>
      <c r="B392" s="113" t="s">
        <v>108</v>
      </c>
      <c r="C392" s="113" t="s">
        <v>223</v>
      </c>
      <c r="D392" s="114">
        <v>62365</v>
      </c>
      <c r="E392" s="115">
        <v>61965</v>
      </c>
      <c r="F392" s="115">
        <v>61965</v>
      </c>
      <c r="G392" s="115"/>
      <c r="H392" s="116"/>
      <c r="I392" s="114">
        <v>61565</v>
      </c>
      <c r="J392" s="115">
        <v>61965</v>
      </c>
      <c r="K392" s="115">
        <v>61965</v>
      </c>
      <c r="L392" s="115"/>
      <c r="M392" s="116"/>
    </row>
    <row r="393" spans="1:13" x14ac:dyDescent="0.2">
      <c r="A393" t="s">
        <v>11</v>
      </c>
      <c r="B393" t="s">
        <v>108</v>
      </c>
      <c r="C393" t="s">
        <v>224</v>
      </c>
      <c r="D393" s="110">
        <v>53843</v>
      </c>
      <c r="E393" s="111">
        <v>53843</v>
      </c>
      <c r="F393" s="111"/>
      <c r="G393" s="111"/>
      <c r="H393" s="112"/>
      <c r="I393" s="110">
        <v>53208</v>
      </c>
      <c r="J393" s="111">
        <v>53843</v>
      </c>
      <c r="K393" s="111"/>
      <c r="L393" s="111"/>
      <c r="M393" s="112"/>
    </row>
    <row r="394" spans="1:13" x14ac:dyDescent="0.2">
      <c r="A394" s="117" t="s">
        <v>11</v>
      </c>
      <c r="B394" s="117" t="s">
        <v>108</v>
      </c>
      <c r="C394" s="117" t="s">
        <v>225</v>
      </c>
      <c r="D394" s="118">
        <v>67461</v>
      </c>
      <c r="E394" s="119"/>
      <c r="F394" s="119"/>
      <c r="G394" s="119"/>
      <c r="H394" s="120"/>
      <c r="I394" s="118">
        <v>67341</v>
      </c>
      <c r="J394" s="119"/>
      <c r="K394" s="119"/>
      <c r="L394" s="119"/>
      <c r="M394" s="120"/>
    </row>
    <row r="395" spans="1:13" x14ac:dyDescent="0.2">
      <c r="A395" t="s">
        <v>11</v>
      </c>
      <c r="B395" t="s">
        <v>70</v>
      </c>
      <c r="C395" t="s">
        <v>222</v>
      </c>
      <c r="D395" s="110">
        <v>118516.5</v>
      </c>
      <c r="E395" s="111">
        <v>118516.5</v>
      </c>
      <c r="F395" s="111">
        <v>118516.5</v>
      </c>
      <c r="G395" s="111">
        <v>118516.5</v>
      </c>
      <c r="H395" s="112"/>
      <c r="I395" s="110">
        <v>115549.5</v>
      </c>
      <c r="J395" s="111">
        <v>118074.5</v>
      </c>
      <c r="K395" s="111">
        <v>118074.5</v>
      </c>
      <c r="L395" s="111">
        <v>118074.5</v>
      </c>
      <c r="M395" s="112"/>
    </row>
    <row r="396" spans="1:13" x14ac:dyDescent="0.2">
      <c r="A396" s="113" t="s">
        <v>11</v>
      </c>
      <c r="B396" s="113" t="s">
        <v>70</v>
      </c>
      <c r="C396" s="113" t="s">
        <v>223</v>
      </c>
      <c r="D396" s="114">
        <v>129861.35</v>
      </c>
      <c r="E396" s="115">
        <v>129453.35</v>
      </c>
      <c r="F396" s="115">
        <v>129453.35</v>
      </c>
      <c r="G396" s="115"/>
      <c r="H396" s="116"/>
      <c r="I396" s="114">
        <v>127407.35</v>
      </c>
      <c r="J396" s="115">
        <v>129453.35</v>
      </c>
      <c r="K396" s="115">
        <v>129453.35</v>
      </c>
      <c r="L396" s="115"/>
      <c r="M396" s="116"/>
    </row>
    <row r="397" spans="1:13" x14ac:dyDescent="0.2">
      <c r="A397" t="s">
        <v>11</v>
      </c>
      <c r="B397" t="s">
        <v>70</v>
      </c>
      <c r="C397" t="s">
        <v>224</v>
      </c>
      <c r="D397" s="110">
        <v>106806</v>
      </c>
      <c r="E397" s="111">
        <v>106806</v>
      </c>
      <c r="F397" s="111"/>
      <c r="G397" s="111"/>
      <c r="H397" s="112"/>
      <c r="I397" s="110">
        <v>105906</v>
      </c>
      <c r="J397" s="111">
        <v>106511</v>
      </c>
      <c r="K397" s="111"/>
      <c r="L397" s="111"/>
      <c r="M397" s="112"/>
    </row>
    <row r="398" spans="1:13" x14ac:dyDescent="0.2">
      <c r="A398" s="117" t="s">
        <v>11</v>
      </c>
      <c r="B398" s="117" t="s">
        <v>70</v>
      </c>
      <c r="C398" s="117" t="s">
        <v>225</v>
      </c>
      <c r="D398" s="118">
        <v>139728.95000000001</v>
      </c>
      <c r="E398" s="119"/>
      <c r="F398" s="119"/>
      <c r="G398" s="119"/>
      <c r="H398" s="120"/>
      <c r="I398" s="118">
        <v>139385.65</v>
      </c>
      <c r="J398" s="119"/>
      <c r="K398" s="119"/>
      <c r="L398" s="119"/>
      <c r="M398" s="120"/>
    </row>
    <row r="399" spans="1:13" x14ac:dyDescent="0.2">
      <c r="A399" t="s">
        <v>11</v>
      </c>
      <c r="B399" t="s">
        <v>110</v>
      </c>
      <c r="C399" t="s">
        <v>222</v>
      </c>
      <c r="D399" s="110">
        <v>1675162.8</v>
      </c>
      <c r="E399" s="111">
        <v>1612917.4</v>
      </c>
      <c r="F399" s="111">
        <v>1601191.25</v>
      </c>
      <c r="G399" s="111">
        <v>1594471.45</v>
      </c>
      <c r="H399" s="112"/>
      <c r="I399" s="110">
        <v>530900.94999999995</v>
      </c>
      <c r="J399" s="111">
        <v>1119544.6499999999</v>
      </c>
      <c r="K399" s="111">
        <v>1284130.97</v>
      </c>
      <c r="L399" s="111">
        <v>1343180.01</v>
      </c>
      <c r="M399" s="112"/>
    </row>
    <row r="400" spans="1:13" x14ac:dyDescent="0.2">
      <c r="A400" s="113" t="s">
        <v>11</v>
      </c>
      <c r="B400" s="113" t="s">
        <v>110</v>
      </c>
      <c r="C400" s="113" t="s">
        <v>223</v>
      </c>
      <c r="D400" s="114">
        <v>1314666.2</v>
      </c>
      <c r="E400" s="115">
        <v>1284889.6000000001</v>
      </c>
      <c r="F400" s="115">
        <v>1263787.8</v>
      </c>
      <c r="G400" s="115"/>
      <c r="H400" s="116"/>
      <c r="I400" s="114">
        <v>350400.4</v>
      </c>
      <c r="J400" s="115">
        <v>859933.89</v>
      </c>
      <c r="K400" s="115">
        <v>1013463.71</v>
      </c>
      <c r="L400" s="115"/>
      <c r="M400" s="116"/>
    </row>
    <row r="401" spans="1:13" x14ac:dyDescent="0.2">
      <c r="A401" t="s">
        <v>11</v>
      </c>
      <c r="B401" t="s">
        <v>110</v>
      </c>
      <c r="C401" t="s">
        <v>224</v>
      </c>
      <c r="D401" s="110">
        <v>945161.45</v>
      </c>
      <c r="E401" s="111">
        <v>916640.45</v>
      </c>
      <c r="F401" s="111"/>
      <c r="G401" s="111"/>
      <c r="H401" s="112"/>
      <c r="I401" s="110">
        <v>219766.5</v>
      </c>
      <c r="J401" s="111">
        <v>615179.44999999995</v>
      </c>
      <c r="K401" s="111"/>
      <c r="L401" s="111"/>
      <c r="M401" s="112"/>
    </row>
    <row r="402" spans="1:13" ht="13.5" thickBot="1" x14ac:dyDescent="0.25">
      <c r="A402" s="128" t="s">
        <v>11</v>
      </c>
      <c r="B402" s="128" t="s">
        <v>110</v>
      </c>
      <c r="C402" s="128" t="s">
        <v>225</v>
      </c>
      <c r="D402" s="129">
        <v>1124628.6499999999</v>
      </c>
      <c r="E402" s="130"/>
      <c r="F402" s="130"/>
      <c r="G402" s="130"/>
      <c r="H402" s="131"/>
      <c r="I402" s="129">
        <v>303752.89</v>
      </c>
      <c r="J402" s="130"/>
      <c r="K402" s="130"/>
      <c r="L402" s="130"/>
      <c r="M402" s="131"/>
    </row>
    <row r="403" spans="1:13" x14ac:dyDescent="0.2">
      <c r="A403" s="132" t="s">
        <v>12</v>
      </c>
      <c r="B403" s="132" t="s">
        <v>104</v>
      </c>
      <c r="C403" s="132" t="s">
        <v>222</v>
      </c>
      <c r="D403" s="133">
        <v>2027161.69</v>
      </c>
      <c r="E403" s="134">
        <v>2025716.42</v>
      </c>
      <c r="F403" s="134">
        <v>2025616.42</v>
      </c>
      <c r="G403" s="134">
        <v>2025366.42</v>
      </c>
      <c r="H403" s="135"/>
      <c r="I403" s="133">
        <v>67644.2</v>
      </c>
      <c r="J403" s="134">
        <v>79141.23</v>
      </c>
      <c r="K403" s="134">
        <v>89644.79</v>
      </c>
      <c r="L403" s="134">
        <v>101813.82</v>
      </c>
      <c r="M403" s="135"/>
    </row>
    <row r="404" spans="1:13" x14ac:dyDescent="0.2">
      <c r="A404" s="113" t="s">
        <v>12</v>
      </c>
      <c r="B404" s="113" t="s">
        <v>104</v>
      </c>
      <c r="C404" s="113" t="s">
        <v>223</v>
      </c>
      <c r="D404" s="114">
        <v>638459.78</v>
      </c>
      <c r="E404" s="115">
        <v>638312.05000000005</v>
      </c>
      <c r="F404" s="115">
        <v>636600.55000000005</v>
      </c>
      <c r="G404" s="115"/>
      <c r="H404" s="116"/>
      <c r="I404" s="114">
        <v>48010.94</v>
      </c>
      <c r="J404" s="115">
        <v>59436.79</v>
      </c>
      <c r="K404" s="115">
        <v>72720.94</v>
      </c>
      <c r="L404" s="115"/>
      <c r="M404" s="116"/>
    </row>
    <row r="405" spans="1:13" x14ac:dyDescent="0.2">
      <c r="A405" t="s">
        <v>12</v>
      </c>
      <c r="B405" t="s">
        <v>104</v>
      </c>
      <c r="C405" t="s">
        <v>224</v>
      </c>
      <c r="D405" s="110">
        <v>383020.73</v>
      </c>
      <c r="E405" s="111">
        <v>382520.73</v>
      </c>
      <c r="F405" s="111"/>
      <c r="G405" s="111"/>
      <c r="H405" s="112"/>
      <c r="I405" s="110">
        <v>45261.17</v>
      </c>
      <c r="J405" s="111">
        <v>47952.800000000003</v>
      </c>
      <c r="K405" s="111"/>
      <c r="L405" s="111"/>
      <c r="M405" s="112"/>
    </row>
    <row r="406" spans="1:13" x14ac:dyDescent="0.2">
      <c r="A406" s="117" t="s">
        <v>12</v>
      </c>
      <c r="B406" s="117" t="s">
        <v>104</v>
      </c>
      <c r="C406" s="117" t="s">
        <v>225</v>
      </c>
      <c r="D406" s="118">
        <v>637907.98</v>
      </c>
      <c r="E406" s="119"/>
      <c r="F406" s="119"/>
      <c r="G406" s="119"/>
      <c r="H406" s="120"/>
      <c r="I406" s="118">
        <v>42563.63</v>
      </c>
      <c r="J406" s="119"/>
      <c r="K406" s="119"/>
      <c r="L406" s="119"/>
      <c r="M406" s="120"/>
    </row>
    <row r="407" spans="1:13" x14ac:dyDescent="0.2">
      <c r="A407" t="s">
        <v>12</v>
      </c>
      <c r="B407" t="s">
        <v>140</v>
      </c>
      <c r="C407" t="s">
        <v>222</v>
      </c>
      <c r="D407" s="110">
        <v>1569450.55</v>
      </c>
      <c r="E407" s="111">
        <v>1569400.55</v>
      </c>
      <c r="F407" s="111">
        <v>1569350.55</v>
      </c>
      <c r="G407" s="111">
        <v>1569350.55</v>
      </c>
      <c r="H407" s="112"/>
      <c r="I407" s="110">
        <v>191.98</v>
      </c>
      <c r="J407" s="111">
        <v>478.25</v>
      </c>
      <c r="K407" s="111">
        <v>538.25</v>
      </c>
      <c r="L407" s="111">
        <v>634.4</v>
      </c>
      <c r="M407" s="112"/>
    </row>
    <row r="408" spans="1:13" x14ac:dyDescent="0.2">
      <c r="A408" s="113" t="s">
        <v>12</v>
      </c>
      <c r="B408" s="113" t="s">
        <v>140</v>
      </c>
      <c r="C408" s="113" t="s">
        <v>223</v>
      </c>
      <c r="D408" s="114">
        <v>263840.74</v>
      </c>
      <c r="E408" s="115">
        <v>263840.74</v>
      </c>
      <c r="F408" s="115">
        <v>263790.74</v>
      </c>
      <c r="G408" s="115"/>
      <c r="H408" s="116"/>
      <c r="I408" s="114">
        <v>210.74</v>
      </c>
      <c r="J408" s="115">
        <v>210.74</v>
      </c>
      <c r="K408" s="115">
        <v>210.74</v>
      </c>
      <c r="L408" s="115"/>
      <c r="M408" s="116"/>
    </row>
    <row r="409" spans="1:13" x14ac:dyDescent="0.2">
      <c r="A409" t="s">
        <v>12</v>
      </c>
      <c r="B409" t="s">
        <v>140</v>
      </c>
      <c r="C409" t="s">
        <v>224</v>
      </c>
      <c r="D409" s="110">
        <v>186310</v>
      </c>
      <c r="E409" s="111">
        <v>186310</v>
      </c>
      <c r="F409" s="111"/>
      <c r="G409" s="111"/>
      <c r="H409" s="112"/>
      <c r="I409" s="110">
        <v>38</v>
      </c>
      <c r="J409" s="111">
        <v>38</v>
      </c>
      <c r="K409" s="111"/>
      <c r="L409" s="111"/>
      <c r="M409" s="112"/>
    </row>
    <row r="410" spans="1:13" x14ac:dyDescent="0.2">
      <c r="A410" s="117" t="s">
        <v>12</v>
      </c>
      <c r="B410" s="117" t="s">
        <v>140</v>
      </c>
      <c r="C410" s="117" t="s">
        <v>225</v>
      </c>
      <c r="D410" s="118">
        <v>316976</v>
      </c>
      <c r="E410" s="119"/>
      <c r="F410" s="119"/>
      <c r="G410" s="119"/>
      <c r="H410" s="120"/>
      <c r="I410" s="118">
        <v>27</v>
      </c>
      <c r="J410" s="119"/>
      <c r="K410" s="119"/>
      <c r="L410" s="119"/>
      <c r="M410" s="120"/>
    </row>
    <row r="411" spans="1:13" x14ac:dyDescent="0.2">
      <c r="A411" t="s">
        <v>12</v>
      </c>
      <c r="B411" t="s">
        <v>105</v>
      </c>
      <c r="C411" t="s">
        <v>222</v>
      </c>
      <c r="D411" s="110">
        <v>178851.7</v>
      </c>
      <c r="E411" s="111">
        <v>177270.7</v>
      </c>
      <c r="F411" s="111">
        <v>177070.7</v>
      </c>
      <c r="G411" s="111">
        <v>176870.7</v>
      </c>
      <c r="H411" s="112"/>
      <c r="I411" s="110">
        <v>68746.14</v>
      </c>
      <c r="J411" s="111">
        <v>84481.5</v>
      </c>
      <c r="K411" s="111">
        <v>90314.02</v>
      </c>
      <c r="L411" s="111">
        <v>92872.51</v>
      </c>
      <c r="M411" s="112"/>
    </row>
    <row r="412" spans="1:13" x14ac:dyDescent="0.2">
      <c r="A412" s="113" t="s">
        <v>12</v>
      </c>
      <c r="B412" s="113" t="s">
        <v>105</v>
      </c>
      <c r="C412" s="113" t="s">
        <v>223</v>
      </c>
      <c r="D412" s="114">
        <v>158142.35</v>
      </c>
      <c r="E412" s="115">
        <v>158142.35</v>
      </c>
      <c r="F412" s="115">
        <v>157942.35</v>
      </c>
      <c r="G412" s="115"/>
      <c r="H412" s="116"/>
      <c r="I412" s="114">
        <v>71044.87</v>
      </c>
      <c r="J412" s="115">
        <v>85562.21</v>
      </c>
      <c r="K412" s="115">
        <v>91447.21</v>
      </c>
      <c r="L412" s="115"/>
      <c r="M412" s="116"/>
    </row>
    <row r="413" spans="1:13" x14ac:dyDescent="0.2">
      <c r="A413" t="s">
        <v>12</v>
      </c>
      <c r="B413" t="s">
        <v>105</v>
      </c>
      <c r="C413" t="s">
        <v>224</v>
      </c>
      <c r="D413" s="110">
        <v>100064.78</v>
      </c>
      <c r="E413" s="111">
        <v>100064.78</v>
      </c>
      <c r="F413" s="111"/>
      <c r="G413" s="111"/>
      <c r="H413" s="112"/>
      <c r="I413" s="110">
        <v>43731.28</v>
      </c>
      <c r="J413" s="111">
        <v>51885.97</v>
      </c>
      <c r="K413" s="111"/>
      <c r="L413" s="111"/>
      <c r="M413" s="112"/>
    </row>
    <row r="414" spans="1:13" x14ac:dyDescent="0.2">
      <c r="A414" s="117" t="s">
        <v>12</v>
      </c>
      <c r="B414" s="117" t="s">
        <v>105</v>
      </c>
      <c r="C414" s="117" t="s">
        <v>225</v>
      </c>
      <c r="D414" s="118">
        <v>163013.54</v>
      </c>
      <c r="E414" s="119"/>
      <c r="F414" s="119"/>
      <c r="G414" s="119"/>
      <c r="H414" s="120"/>
      <c r="I414" s="118">
        <v>68331.839999999997</v>
      </c>
      <c r="J414" s="119"/>
      <c r="K414" s="119"/>
      <c r="L414" s="119"/>
      <c r="M414" s="120"/>
    </row>
    <row r="415" spans="1:13" x14ac:dyDescent="0.2">
      <c r="A415" t="s">
        <v>12</v>
      </c>
      <c r="B415" t="s">
        <v>111</v>
      </c>
      <c r="C415" t="s">
        <v>222</v>
      </c>
      <c r="D415" s="110">
        <v>19576.5</v>
      </c>
      <c r="E415" s="111">
        <v>19276.5</v>
      </c>
      <c r="F415" s="111">
        <v>19226.5</v>
      </c>
      <c r="G415" s="111">
        <v>19176.5</v>
      </c>
      <c r="H415" s="112"/>
      <c r="I415" s="110">
        <v>2942.95</v>
      </c>
      <c r="J415" s="111">
        <v>4795.5</v>
      </c>
      <c r="K415" s="111">
        <v>5339.5</v>
      </c>
      <c r="L415" s="111">
        <v>6604.5</v>
      </c>
      <c r="M415" s="112"/>
    </row>
    <row r="416" spans="1:13" x14ac:dyDescent="0.2">
      <c r="A416" s="113" t="s">
        <v>12</v>
      </c>
      <c r="B416" s="113" t="s">
        <v>111</v>
      </c>
      <c r="C416" s="113" t="s">
        <v>223</v>
      </c>
      <c r="D416" s="114">
        <v>14408</v>
      </c>
      <c r="E416" s="115">
        <v>14358</v>
      </c>
      <c r="F416" s="115">
        <v>14258</v>
      </c>
      <c r="G416" s="115"/>
      <c r="H416" s="116"/>
      <c r="I416" s="114">
        <v>3028</v>
      </c>
      <c r="J416" s="115">
        <v>3548</v>
      </c>
      <c r="K416" s="115">
        <v>4798</v>
      </c>
      <c r="L416" s="115"/>
      <c r="M416" s="116"/>
    </row>
    <row r="417" spans="1:13" x14ac:dyDescent="0.2">
      <c r="A417" t="s">
        <v>12</v>
      </c>
      <c r="B417" t="s">
        <v>111</v>
      </c>
      <c r="C417" t="s">
        <v>224</v>
      </c>
      <c r="D417" s="110">
        <v>6893.5</v>
      </c>
      <c r="E417" s="111">
        <v>6893.5</v>
      </c>
      <c r="F417" s="111"/>
      <c r="G417" s="111"/>
      <c r="H417" s="112"/>
      <c r="I417" s="110">
        <v>1178.5</v>
      </c>
      <c r="J417" s="111">
        <v>1393.5</v>
      </c>
      <c r="K417" s="111"/>
      <c r="L417" s="111"/>
      <c r="M417" s="112"/>
    </row>
    <row r="418" spans="1:13" x14ac:dyDescent="0.2">
      <c r="A418" s="117" t="s">
        <v>12</v>
      </c>
      <c r="B418" s="117" t="s">
        <v>111</v>
      </c>
      <c r="C418" s="117" t="s">
        <v>225</v>
      </c>
      <c r="D418" s="118">
        <v>71088</v>
      </c>
      <c r="E418" s="119"/>
      <c r="F418" s="119"/>
      <c r="G418" s="119"/>
      <c r="H418" s="120"/>
      <c r="I418" s="118">
        <v>2583</v>
      </c>
      <c r="J418" s="119"/>
      <c r="K418" s="119"/>
      <c r="L418" s="119"/>
      <c r="M418" s="120"/>
    </row>
    <row r="419" spans="1:13" x14ac:dyDescent="0.2">
      <c r="A419" s="124" t="s">
        <v>12</v>
      </c>
      <c r="B419" s="124" t="s">
        <v>109</v>
      </c>
      <c r="C419" s="124" t="s">
        <v>222</v>
      </c>
      <c r="D419" s="125">
        <v>341353.34</v>
      </c>
      <c r="E419" s="126">
        <v>341106.56</v>
      </c>
      <c r="F419" s="126">
        <v>338390.24</v>
      </c>
      <c r="G419" s="126">
        <v>338290.24</v>
      </c>
      <c r="H419" s="127"/>
      <c r="I419" s="125">
        <v>105701.33</v>
      </c>
      <c r="J419" s="126">
        <v>152776.98000000001</v>
      </c>
      <c r="K419" s="126">
        <v>179000.49</v>
      </c>
      <c r="L419" s="126">
        <v>205795.7</v>
      </c>
      <c r="M419" s="127"/>
    </row>
    <row r="420" spans="1:13" x14ac:dyDescent="0.2">
      <c r="A420" s="113" t="s">
        <v>12</v>
      </c>
      <c r="B420" s="113" t="s">
        <v>109</v>
      </c>
      <c r="C420" s="113" t="s">
        <v>223</v>
      </c>
      <c r="D420" s="114">
        <v>344098.29</v>
      </c>
      <c r="E420" s="115">
        <v>343948.29</v>
      </c>
      <c r="F420" s="115">
        <v>343517.29</v>
      </c>
      <c r="G420" s="115"/>
      <c r="H420" s="116"/>
      <c r="I420" s="114">
        <v>114970.46</v>
      </c>
      <c r="J420" s="115">
        <v>147791.07999999999</v>
      </c>
      <c r="K420" s="115">
        <v>176624.35</v>
      </c>
      <c r="L420" s="115"/>
      <c r="M420" s="116"/>
    </row>
    <row r="421" spans="1:13" x14ac:dyDescent="0.2">
      <c r="A421" t="s">
        <v>12</v>
      </c>
      <c r="B421" t="s">
        <v>109</v>
      </c>
      <c r="C421" t="s">
        <v>224</v>
      </c>
      <c r="D421" s="110">
        <v>119583.5</v>
      </c>
      <c r="E421" s="111">
        <v>118951.5</v>
      </c>
      <c r="F421" s="111"/>
      <c r="G421" s="111"/>
      <c r="H421" s="112"/>
      <c r="I421" s="110">
        <v>48871.54</v>
      </c>
      <c r="J421" s="111">
        <v>61674.83</v>
      </c>
      <c r="K421" s="111"/>
      <c r="L421" s="111"/>
      <c r="M421" s="112"/>
    </row>
    <row r="422" spans="1:13" x14ac:dyDescent="0.2">
      <c r="A422" s="117" t="s">
        <v>12</v>
      </c>
      <c r="B422" s="117" t="s">
        <v>109</v>
      </c>
      <c r="C422" s="117" t="s">
        <v>225</v>
      </c>
      <c r="D422" s="118">
        <v>240046.55</v>
      </c>
      <c r="E422" s="119"/>
      <c r="F422" s="119"/>
      <c r="G422" s="119"/>
      <c r="H422" s="120"/>
      <c r="I422" s="118">
        <v>102011.99</v>
      </c>
      <c r="J422" s="119"/>
      <c r="K422" s="119"/>
      <c r="L422" s="119"/>
      <c r="M422" s="120"/>
    </row>
    <row r="423" spans="1:13" x14ac:dyDescent="0.2">
      <c r="A423" t="s">
        <v>12</v>
      </c>
      <c r="B423" t="s">
        <v>106</v>
      </c>
      <c r="C423" t="s">
        <v>222</v>
      </c>
      <c r="D423" s="110">
        <v>803148.55</v>
      </c>
      <c r="E423" s="111">
        <v>803148.55</v>
      </c>
      <c r="F423" s="111">
        <v>803048.55</v>
      </c>
      <c r="G423" s="111">
        <v>803048.55</v>
      </c>
      <c r="H423" s="112"/>
      <c r="I423" s="110">
        <v>791692.4</v>
      </c>
      <c r="J423" s="111">
        <v>798190.93</v>
      </c>
      <c r="K423" s="111">
        <v>798190.93</v>
      </c>
      <c r="L423" s="111">
        <v>795491.38</v>
      </c>
      <c r="M423" s="112"/>
    </row>
    <row r="424" spans="1:13" x14ac:dyDescent="0.2">
      <c r="A424" s="113" t="s">
        <v>12</v>
      </c>
      <c r="B424" s="113" t="s">
        <v>106</v>
      </c>
      <c r="C424" s="113" t="s">
        <v>223</v>
      </c>
      <c r="D424" s="114">
        <v>2324575.7000000002</v>
      </c>
      <c r="E424" s="115">
        <v>2324544.2000000002</v>
      </c>
      <c r="F424" s="115">
        <v>2324119.2000000002</v>
      </c>
      <c r="G424" s="115"/>
      <c r="H424" s="116"/>
      <c r="I424" s="114">
        <v>2314737.33</v>
      </c>
      <c r="J424" s="115">
        <v>2317261.5</v>
      </c>
      <c r="K424" s="115">
        <v>2316360.7599999998</v>
      </c>
      <c r="L424" s="115"/>
      <c r="M424" s="116"/>
    </row>
    <row r="425" spans="1:13" x14ac:dyDescent="0.2">
      <c r="A425" t="s">
        <v>12</v>
      </c>
      <c r="B425" t="s">
        <v>106</v>
      </c>
      <c r="C425" t="s">
        <v>224</v>
      </c>
      <c r="D425" s="110">
        <v>460673.1</v>
      </c>
      <c r="E425" s="111">
        <v>459373.1</v>
      </c>
      <c r="F425" s="111"/>
      <c r="G425" s="111"/>
      <c r="H425" s="112"/>
      <c r="I425" s="110">
        <v>454007.1</v>
      </c>
      <c r="J425" s="111">
        <v>454195.1</v>
      </c>
      <c r="K425" s="111"/>
      <c r="L425" s="111"/>
      <c r="M425" s="112"/>
    </row>
    <row r="426" spans="1:13" x14ac:dyDescent="0.2">
      <c r="A426" s="117" t="s">
        <v>12</v>
      </c>
      <c r="B426" s="117" t="s">
        <v>106</v>
      </c>
      <c r="C426" s="117" t="s">
        <v>225</v>
      </c>
      <c r="D426" s="118">
        <v>524206.1</v>
      </c>
      <c r="E426" s="119"/>
      <c r="F426" s="119"/>
      <c r="G426" s="119"/>
      <c r="H426" s="120"/>
      <c r="I426" s="118">
        <v>514787.07</v>
      </c>
      <c r="J426" s="119"/>
      <c r="K426" s="119"/>
      <c r="L426" s="119"/>
      <c r="M426" s="120"/>
    </row>
    <row r="427" spans="1:13" x14ac:dyDescent="0.2">
      <c r="A427" t="s">
        <v>12</v>
      </c>
      <c r="B427" t="s">
        <v>107</v>
      </c>
      <c r="C427" t="s">
        <v>222</v>
      </c>
      <c r="D427" s="110">
        <v>406586.14</v>
      </c>
      <c r="E427" s="111">
        <v>403951.14</v>
      </c>
      <c r="F427" s="111">
        <v>403951.14</v>
      </c>
      <c r="G427" s="111">
        <v>403651.14</v>
      </c>
      <c r="H427" s="112"/>
      <c r="I427" s="110">
        <v>402575.44</v>
      </c>
      <c r="J427" s="111">
        <v>402576.14</v>
      </c>
      <c r="K427" s="111">
        <v>402576.14</v>
      </c>
      <c r="L427" s="111">
        <v>402576.14</v>
      </c>
      <c r="M427" s="112"/>
    </row>
    <row r="428" spans="1:13" x14ac:dyDescent="0.2">
      <c r="A428" s="113" t="s">
        <v>12</v>
      </c>
      <c r="B428" s="113" t="s">
        <v>107</v>
      </c>
      <c r="C428" s="113" t="s">
        <v>223</v>
      </c>
      <c r="D428" s="114">
        <v>500565.61</v>
      </c>
      <c r="E428" s="115">
        <v>500255.31</v>
      </c>
      <c r="F428" s="115">
        <v>500255.31</v>
      </c>
      <c r="G428" s="115"/>
      <c r="H428" s="116"/>
      <c r="I428" s="114">
        <v>497316.91</v>
      </c>
      <c r="J428" s="115">
        <v>498312.61</v>
      </c>
      <c r="K428" s="115">
        <v>498002.31</v>
      </c>
      <c r="L428" s="115"/>
      <c r="M428" s="116"/>
    </row>
    <row r="429" spans="1:13" x14ac:dyDescent="0.2">
      <c r="A429" t="s">
        <v>12</v>
      </c>
      <c r="B429" t="s">
        <v>107</v>
      </c>
      <c r="C429" t="s">
        <v>224</v>
      </c>
      <c r="D429" s="110">
        <v>281798.84999999998</v>
      </c>
      <c r="E429" s="111">
        <v>281453.84999999998</v>
      </c>
      <c r="F429" s="111"/>
      <c r="G429" s="111"/>
      <c r="H429" s="112"/>
      <c r="I429" s="110">
        <v>280026.84999999998</v>
      </c>
      <c r="J429" s="111">
        <v>280173.84999999998</v>
      </c>
      <c r="K429" s="111"/>
      <c r="L429" s="111"/>
      <c r="M429" s="112"/>
    </row>
    <row r="430" spans="1:13" x14ac:dyDescent="0.2">
      <c r="A430" s="117" t="s">
        <v>12</v>
      </c>
      <c r="B430" s="117" t="s">
        <v>107</v>
      </c>
      <c r="C430" s="117" t="s">
        <v>225</v>
      </c>
      <c r="D430" s="118">
        <v>426236.42</v>
      </c>
      <c r="E430" s="119"/>
      <c r="F430" s="119"/>
      <c r="G430" s="119"/>
      <c r="H430" s="120"/>
      <c r="I430" s="118">
        <v>422711.42</v>
      </c>
      <c r="J430" s="119"/>
      <c r="K430" s="119"/>
      <c r="L430" s="119"/>
      <c r="M430" s="120"/>
    </row>
    <row r="431" spans="1:13" x14ac:dyDescent="0.2">
      <c r="A431" t="s">
        <v>12</v>
      </c>
      <c r="B431" t="s">
        <v>108</v>
      </c>
      <c r="C431" t="s">
        <v>222</v>
      </c>
      <c r="D431" s="110">
        <v>185671</v>
      </c>
      <c r="E431" s="111">
        <v>185671</v>
      </c>
      <c r="F431" s="111">
        <v>185671</v>
      </c>
      <c r="G431" s="111">
        <v>185671</v>
      </c>
      <c r="H431" s="112"/>
      <c r="I431" s="110">
        <v>182269.5</v>
      </c>
      <c r="J431" s="111">
        <v>184492</v>
      </c>
      <c r="K431" s="111">
        <v>184492</v>
      </c>
      <c r="L431" s="111">
        <v>184492</v>
      </c>
      <c r="M431" s="112"/>
    </row>
    <row r="432" spans="1:13" x14ac:dyDescent="0.2">
      <c r="A432" s="113" t="s">
        <v>12</v>
      </c>
      <c r="B432" s="113" t="s">
        <v>108</v>
      </c>
      <c r="C432" s="113" t="s">
        <v>223</v>
      </c>
      <c r="D432" s="114">
        <v>216975</v>
      </c>
      <c r="E432" s="115">
        <v>216308</v>
      </c>
      <c r="F432" s="115">
        <v>216308</v>
      </c>
      <c r="G432" s="115"/>
      <c r="H432" s="116"/>
      <c r="I432" s="114">
        <v>215513</v>
      </c>
      <c r="J432" s="115">
        <v>215763</v>
      </c>
      <c r="K432" s="115">
        <v>215763</v>
      </c>
      <c r="L432" s="115"/>
      <c r="M432" s="116"/>
    </row>
    <row r="433" spans="1:13" x14ac:dyDescent="0.2">
      <c r="A433" t="s">
        <v>12</v>
      </c>
      <c r="B433" t="s">
        <v>108</v>
      </c>
      <c r="C433" t="s">
        <v>224</v>
      </c>
      <c r="D433" s="110">
        <v>177872</v>
      </c>
      <c r="E433" s="111">
        <v>176105</v>
      </c>
      <c r="F433" s="111"/>
      <c r="G433" s="111"/>
      <c r="H433" s="112"/>
      <c r="I433" s="110">
        <v>170403</v>
      </c>
      <c r="J433" s="111">
        <v>171256.93</v>
      </c>
      <c r="K433" s="111"/>
      <c r="L433" s="111"/>
      <c r="M433" s="112"/>
    </row>
    <row r="434" spans="1:13" x14ac:dyDescent="0.2">
      <c r="A434" s="117" t="s">
        <v>12</v>
      </c>
      <c r="B434" s="117" t="s">
        <v>108</v>
      </c>
      <c r="C434" s="117" t="s">
        <v>225</v>
      </c>
      <c r="D434" s="118">
        <v>199091</v>
      </c>
      <c r="E434" s="119"/>
      <c r="F434" s="119"/>
      <c r="G434" s="119"/>
      <c r="H434" s="120"/>
      <c r="I434" s="118">
        <v>191391.57</v>
      </c>
      <c r="J434" s="119"/>
      <c r="K434" s="119"/>
      <c r="L434" s="119"/>
      <c r="M434" s="120"/>
    </row>
    <row r="435" spans="1:13" x14ac:dyDescent="0.2">
      <c r="A435" t="s">
        <v>12</v>
      </c>
      <c r="B435" t="s">
        <v>70</v>
      </c>
      <c r="C435" t="s">
        <v>222</v>
      </c>
      <c r="D435" s="110">
        <v>171973.35</v>
      </c>
      <c r="E435" s="111">
        <v>171973.35</v>
      </c>
      <c r="F435" s="111">
        <v>171973.35</v>
      </c>
      <c r="G435" s="111">
        <v>171986.35</v>
      </c>
      <c r="H435" s="112"/>
      <c r="I435" s="110">
        <v>168363.35</v>
      </c>
      <c r="J435" s="111">
        <v>168422.35</v>
      </c>
      <c r="K435" s="111">
        <v>168422.35</v>
      </c>
      <c r="L435" s="111">
        <v>168448.35</v>
      </c>
      <c r="M435" s="112"/>
    </row>
    <row r="436" spans="1:13" x14ac:dyDescent="0.2">
      <c r="A436" s="113" t="s">
        <v>12</v>
      </c>
      <c r="B436" s="113" t="s">
        <v>70</v>
      </c>
      <c r="C436" s="113" t="s">
        <v>223</v>
      </c>
      <c r="D436" s="114">
        <v>221888.15</v>
      </c>
      <c r="E436" s="115">
        <v>221888.15</v>
      </c>
      <c r="F436" s="115">
        <v>221888.15</v>
      </c>
      <c r="G436" s="115"/>
      <c r="H436" s="116"/>
      <c r="I436" s="114">
        <v>192417.02</v>
      </c>
      <c r="J436" s="115">
        <v>198697.02</v>
      </c>
      <c r="K436" s="115">
        <v>202460.52</v>
      </c>
      <c r="L436" s="115"/>
      <c r="M436" s="116"/>
    </row>
    <row r="437" spans="1:13" x14ac:dyDescent="0.2">
      <c r="A437" t="s">
        <v>12</v>
      </c>
      <c r="B437" t="s">
        <v>70</v>
      </c>
      <c r="C437" t="s">
        <v>224</v>
      </c>
      <c r="D437" s="110">
        <v>172017.75</v>
      </c>
      <c r="E437" s="111">
        <v>172017.75</v>
      </c>
      <c r="F437" s="111"/>
      <c r="G437" s="111"/>
      <c r="H437" s="112"/>
      <c r="I437" s="110">
        <v>146204.75</v>
      </c>
      <c r="J437" s="111">
        <v>151265.72</v>
      </c>
      <c r="K437" s="111"/>
      <c r="L437" s="111"/>
      <c r="M437" s="112"/>
    </row>
    <row r="438" spans="1:13" x14ac:dyDescent="0.2">
      <c r="A438" s="117" t="s">
        <v>12</v>
      </c>
      <c r="B438" s="117" t="s">
        <v>70</v>
      </c>
      <c r="C438" s="117" t="s">
        <v>225</v>
      </c>
      <c r="D438" s="118">
        <v>233280.45</v>
      </c>
      <c r="E438" s="119"/>
      <c r="F438" s="119"/>
      <c r="G438" s="119"/>
      <c r="H438" s="120"/>
      <c r="I438" s="118">
        <v>204161.03</v>
      </c>
      <c r="J438" s="119"/>
      <c r="K438" s="119"/>
      <c r="L438" s="119"/>
      <c r="M438" s="120"/>
    </row>
    <row r="439" spans="1:13" x14ac:dyDescent="0.2">
      <c r="A439" t="s">
        <v>12</v>
      </c>
      <c r="B439" t="s">
        <v>110</v>
      </c>
      <c r="C439" t="s">
        <v>222</v>
      </c>
      <c r="D439" s="110">
        <v>1873494.55</v>
      </c>
      <c r="E439" s="111">
        <v>1787077.85</v>
      </c>
      <c r="F439" s="111">
        <v>1786193.65</v>
      </c>
      <c r="G439" s="111">
        <v>1785754.25</v>
      </c>
      <c r="H439" s="112"/>
      <c r="I439" s="110">
        <v>1049019.68</v>
      </c>
      <c r="J439" s="111">
        <v>1569981.2</v>
      </c>
      <c r="K439" s="111">
        <v>1632015.42</v>
      </c>
      <c r="L439" s="111">
        <v>1664544.77</v>
      </c>
      <c r="M439" s="112"/>
    </row>
    <row r="440" spans="1:13" x14ac:dyDescent="0.2">
      <c r="A440" s="113" t="s">
        <v>12</v>
      </c>
      <c r="B440" s="113" t="s">
        <v>110</v>
      </c>
      <c r="C440" s="113" t="s">
        <v>223</v>
      </c>
      <c r="D440" s="114">
        <v>1699920.55</v>
      </c>
      <c r="E440" s="115">
        <v>1653390.7</v>
      </c>
      <c r="F440" s="115">
        <v>1649579.37</v>
      </c>
      <c r="G440" s="115"/>
      <c r="H440" s="116"/>
      <c r="I440" s="114">
        <v>1080879.43</v>
      </c>
      <c r="J440" s="115">
        <v>1452637.14</v>
      </c>
      <c r="K440" s="115">
        <v>1517860.2</v>
      </c>
      <c r="L440" s="115"/>
      <c r="M440" s="116"/>
    </row>
    <row r="441" spans="1:13" x14ac:dyDescent="0.2">
      <c r="A441" t="s">
        <v>12</v>
      </c>
      <c r="B441" t="s">
        <v>110</v>
      </c>
      <c r="C441" t="s">
        <v>224</v>
      </c>
      <c r="D441" s="110">
        <v>1084084</v>
      </c>
      <c r="E441" s="111">
        <v>1025968.05</v>
      </c>
      <c r="F441" s="111"/>
      <c r="G441" s="111"/>
      <c r="H441" s="112"/>
      <c r="I441" s="110">
        <v>553584.57999999996</v>
      </c>
      <c r="J441" s="111">
        <v>903666.13</v>
      </c>
      <c r="K441" s="111"/>
      <c r="L441" s="111"/>
      <c r="M441" s="112"/>
    </row>
    <row r="442" spans="1:13" ht="13.5" thickBot="1" x14ac:dyDescent="0.25">
      <c r="A442" s="128" t="s">
        <v>12</v>
      </c>
      <c r="B442" s="128" t="s">
        <v>110</v>
      </c>
      <c r="C442" s="128" t="s">
        <v>225</v>
      </c>
      <c r="D442" s="129">
        <v>1539615.8</v>
      </c>
      <c r="E442" s="130"/>
      <c r="F442" s="130"/>
      <c r="G442" s="130"/>
      <c r="H442" s="131"/>
      <c r="I442" s="129">
        <v>751869.47</v>
      </c>
      <c r="J442" s="130"/>
      <c r="K442" s="130"/>
      <c r="L442" s="130"/>
      <c r="M442" s="131"/>
    </row>
    <row r="443" spans="1:13" x14ac:dyDescent="0.2">
      <c r="A443" s="132" t="s">
        <v>13</v>
      </c>
      <c r="B443" s="132" t="s">
        <v>104</v>
      </c>
      <c r="C443" s="132" t="s">
        <v>222</v>
      </c>
      <c r="D443" s="133">
        <v>260107.42</v>
      </c>
      <c r="E443" s="134">
        <v>260057.42</v>
      </c>
      <c r="F443" s="134">
        <v>260057.42</v>
      </c>
      <c r="G443" s="134">
        <v>259907.42</v>
      </c>
      <c r="H443" s="135"/>
      <c r="I443" s="133">
        <v>4839.24</v>
      </c>
      <c r="J443" s="134">
        <v>14312.56</v>
      </c>
      <c r="K443" s="134">
        <v>19989.36</v>
      </c>
      <c r="L443" s="134">
        <v>26101.13</v>
      </c>
      <c r="M443" s="135"/>
    </row>
    <row r="444" spans="1:13" x14ac:dyDescent="0.2">
      <c r="A444" s="113" t="s">
        <v>13</v>
      </c>
      <c r="B444" s="113" t="s">
        <v>104</v>
      </c>
      <c r="C444" s="113" t="s">
        <v>223</v>
      </c>
      <c r="D444" s="114">
        <v>211129.23</v>
      </c>
      <c r="E444" s="115">
        <v>211129.23</v>
      </c>
      <c r="F444" s="115">
        <v>211057.18</v>
      </c>
      <c r="G444" s="115"/>
      <c r="H444" s="116"/>
      <c r="I444" s="114">
        <v>6478.72</v>
      </c>
      <c r="J444" s="115">
        <v>12500.43</v>
      </c>
      <c r="K444" s="115">
        <v>17126.48</v>
      </c>
      <c r="L444" s="115"/>
      <c r="M444" s="116"/>
    </row>
    <row r="445" spans="1:13" x14ac:dyDescent="0.2">
      <c r="A445" t="s">
        <v>13</v>
      </c>
      <c r="B445" t="s">
        <v>104</v>
      </c>
      <c r="C445" t="s">
        <v>224</v>
      </c>
      <c r="D445" s="110">
        <v>47166.31</v>
      </c>
      <c r="E445" s="111">
        <v>47166.31</v>
      </c>
      <c r="F445" s="111"/>
      <c r="G445" s="111"/>
      <c r="H445" s="112"/>
      <c r="I445" s="110">
        <v>2256.83</v>
      </c>
      <c r="J445" s="111">
        <v>4200.97</v>
      </c>
      <c r="K445" s="111"/>
      <c r="L445" s="111"/>
      <c r="M445" s="112"/>
    </row>
    <row r="446" spans="1:13" x14ac:dyDescent="0.2">
      <c r="A446" s="117" t="s">
        <v>13</v>
      </c>
      <c r="B446" s="117" t="s">
        <v>104</v>
      </c>
      <c r="C446" s="117" t="s">
        <v>225</v>
      </c>
      <c r="D446" s="118">
        <v>106257.06</v>
      </c>
      <c r="E446" s="119"/>
      <c r="F446" s="119"/>
      <c r="G446" s="119"/>
      <c r="H446" s="120"/>
      <c r="I446" s="118">
        <v>3501.66</v>
      </c>
      <c r="J446" s="119"/>
      <c r="K446" s="119"/>
      <c r="L446" s="119"/>
      <c r="M446" s="120"/>
    </row>
    <row r="447" spans="1:13" x14ac:dyDescent="0.2">
      <c r="A447" t="s">
        <v>13</v>
      </c>
      <c r="B447" t="s">
        <v>140</v>
      </c>
      <c r="C447" t="s">
        <v>222</v>
      </c>
      <c r="D447" s="110">
        <v>107404</v>
      </c>
      <c r="E447" s="111">
        <v>107404</v>
      </c>
      <c r="F447" s="111">
        <v>107404</v>
      </c>
      <c r="G447" s="111">
        <v>107404</v>
      </c>
      <c r="H447" s="112"/>
      <c r="I447" s="110">
        <v>0</v>
      </c>
      <c r="J447" s="111">
        <v>0</v>
      </c>
      <c r="K447" s="111">
        <v>50</v>
      </c>
      <c r="L447" s="111">
        <v>50</v>
      </c>
      <c r="M447" s="112"/>
    </row>
    <row r="448" spans="1:13" x14ac:dyDescent="0.2">
      <c r="A448" s="113" t="s">
        <v>13</v>
      </c>
      <c r="B448" s="113" t="s">
        <v>140</v>
      </c>
      <c r="C448" s="113" t="s">
        <v>223</v>
      </c>
      <c r="D448" s="114">
        <v>53468</v>
      </c>
      <c r="E448" s="115">
        <v>53468</v>
      </c>
      <c r="F448" s="115">
        <v>53468</v>
      </c>
      <c r="G448" s="115"/>
      <c r="H448" s="116"/>
      <c r="I448" s="114">
        <v>0</v>
      </c>
      <c r="J448" s="115">
        <v>0</v>
      </c>
      <c r="K448" s="115">
        <v>0</v>
      </c>
      <c r="L448" s="115"/>
      <c r="M448" s="116"/>
    </row>
    <row r="449" spans="1:13" x14ac:dyDescent="0.2">
      <c r="A449" t="s">
        <v>13</v>
      </c>
      <c r="B449" t="s">
        <v>140</v>
      </c>
      <c r="C449" t="s">
        <v>224</v>
      </c>
      <c r="D449" s="110">
        <v>150</v>
      </c>
      <c r="E449" s="111">
        <v>150</v>
      </c>
      <c r="F449" s="111"/>
      <c r="G449" s="111"/>
      <c r="H449" s="112"/>
      <c r="I449" s="110">
        <v>0</v>
      </c>
      <c r="J449" s="111">
        <v>0</v>
      </c>
      <c r="K449" s="111"/>
      <c r="L449" s="111"/>
      <c r="M449" s="112"/>
    </row>
    <row r="450" spans="1:13" x14ac:dyDescent="0.2">
      <c r="A450" s="117" t="s">
        <v>13</v>
      </c>
      <c r="B450" s="117" t="s">
        <v>140</v>
      </c>
      <c r="C450" s="117" t="s">
        <v>225</v>
      </c>
      <c r="D450" s="118">
        <v>0</v>
      </c>
      <c r="E450" s="119"/>
      <c r="F450" s="119"/>
      <c r="G450" s="119"/>
      <c r="H450" s="120"/>
      <c r="I450" s="118">
        <v>0</v>
      </c>
      <c r="J450" s="119"/>
      <c r="K450" s="119"/>
      <c r="L450" s="119"/>
      <c r="M450" s="120"/>
    </row>
    <row r="451" spans="1:13" x14ac:dyDescent="0.2">
      <c r="A451" t="s">
        <v>13</v>
      </c>
      <c r="B451" t="s">
        <v>105</v>
      </c>
      <c r="C451" t="s">
        <v>222</v>
      </c>
      <c r="D451" s="110">
        <v>51693</v>
      </c>
      <c r="E451" s="111">
        <v>51470</v>
      </c>
      <c r="F451" s="111">
        <v>51470</v>
      </c>
      <c r="G451" s="111">
        <v>51470</v>
      </c>
      <c r="H451" s="112"/>
      <c r="I451" s="110">
        <v>14471</v>
      </c>
      <c r="J451" s="111">
        <v>21375.200000000001</v>
      </c>
      <c r="K451" s="111">
        <v>22840.2</v>
      </c>
      <c r="L451" s="111">
        <v>25008.76</v>
      </c>
      <c r="M451" s="112"/>
    </row>
    <row r="452" spans="1:13" x14ac:dyDescent="0.2">
      <c r="A452" s="113" t="s">
        <v>13</v>
      </c>
      <c r="B452" s="113" t="s">
        <v>105</v>
      </c>
      <c r="C452" s="113" t="s">
        <v>223</v>
      </c>
      <c r="D452" s="114">
        <v>62261.51</v>
      </c>
      <c r="E452" s="115">
        <v>62261.51</v>
      </c>
      <c r="F452" s="115">
        <v>62261.51</v>
      </c>
      <c r="G452" s="115"/>
      <c r="H452" s="116"/>
      <c r="I452" s="114">
        <v>17652.02</v>
      </c>
      <c r="J452" s="115">
        <v>21855.52</v>
      </c>
      <c r="K452" s="115">
        <v>24211.52</v>
      </c>
      <c r="L452" s="115"/>
      <c r="M452" s="116"/>
    </row>
    <row r="453" spans="1:13" x14ac:dyDescent="0.2">
      <c r="A453" t="s">
        <v>13</v>
      </c>
      <c r="B453" t="s">
        <v>105</v>
      </c>
      <c r="C453" t="s">
        <v>224</v>
      </c>
      <c r="D453" s="110">
        <v>22552</v>
      </c>
      <c r="E453" s="111">
        <v>22552</v>
      </c>
      <c r="F453" s="111"/>
      <c r="G453" s="111"/>
      <c r="H453" s="112"/>
      <c r="I453" s="110">
        <v>5607</v>
      </c>
      <c r="J453" s="111">
        <v>8101.5</v>
      </c>
      <c r="K453" s="111"/>
      <c r="L453" s="111"/>
      <c r="M453" s="112"/>
    </row>
    <row r="454" spans="1:13" x14ac:dyDescent="0.2">
      <c r="A454" s="117" t="s">
        <v>13</v>
      </c>
      <c r="B454" s="117" t="s">
        <v>105</v>
      </c>
      <c r="C454" s="117" t="s">
        <v>225</v>
      </c>
      <c r="D454" s="118">
        <v>26721.5</v>
      </c>
      <c r="E454" s="119"/>
      <c r="F454" s="119"/>
      <c r="G454" s="119"/>
      <c r="H454" s="120"/>
      <c r="I454" s="118">
        <v>11764</v>
      </c>
      <c r="J454" s="119"/>
      <c r="K454" s="119"/>
      <c r="L454" s="119"/>
      <c r="M454" s="120"/>
    </row>
    <row r="455" spans="1:13" x14ac:dyDescent="0.2">
      <c r="A455" t="s">
        <v>13</v>
      </c>
      <c r="B455" t="s">
        <v>111</v>
      </c>
      <c r="C455" t="s">
        <v>222</v>
      </c>
      <c r="D455" s="110">
        <v>7583</v>
      </c>
      <c r="E455" s="111">
        <v>7583</v>
      </c>
      <c r="F455" s="111">
        <v>7583</v>
      </c>
      <c r="G455" s="111">
        <v>7583</v>
      </c>
      <c r="H455" s="112"/>
      <c r="I455" s="110">
        <v>311.5</v>
      </c>
      <c r="J455" s="111">
        <v>431.5</v>
      </c>
      <c r="K455" s="111">
        <v>431.5</v>
      </c>
      <c r="L455" s="111">
        <v>431.5</v>
      </c>
      <c r="M455" s="112"/>
    </row>
    <row r="456" spans="1:13" x14ac:dyDescent="0.2">
      <c r="A456" s="113" t="s">
        <v>13</v>
      </c>
      <c r="B456" s="113" t="s">
        <v>111</v>
      </c>
      <c r="C456" s="113" t="s">
        <v>223</v>
      </c>
      <c r="D456" s="114">
        <v>0</v>
      </c>
      <c r="E456" s="115">
        <v>0</v>
      </c>
      <c r="F456" s="115">
        <v>0</v>
      </c>
      <c r="G456" s="115"/>
      <c r="H456" s="116"/>
      <c r="I456" s="114">
        <v>0</v>
      </c>
      <c r="J456" s="115">
        <v>0</v>
      </c>
      <c r="K456" s="115">
        <v>0</v>
      </c>
      <c r="L456" s="115"/>
      <c r="M456" s="116"/>
    </row>
    <row r="457" spans="1:13" x14ac:dyDescent="0.2">
      <c r="A457" t="s">
        <v>13</v>
      </c>
      <c r="B457" t="s">
        <v>111</v>
      </c>
      <c r="C457" t="s">
        <v>224</v>
      </c>
      <c r="D457" s="110">
        <v>0</v>
      </c>
      <c r="E457" s="111">
        <v>0</v>
      </c>
      <c r="F457" s="111"/>
      <c r="G457" s="111"/>
      <c r="H457" s="112"/>
      <c r="I457" s="110">
        <v>0</v>
      </c>
      <c r="J457" s="111">
        <v>0</v>
      </c>
      <c r="K457" s="111"/>
      <c r="L457" s="111"/>
      <c r="M457" s="112"/>
    </row>
    <row r="458" spans="1:13" x14ac:dyDescent="0.2">
      <c r="A458" s="117" t="s">
        <v>13</v>
      </c>
      <c r="B458" s="117" t="s">
        <v>111</v>
      </c>
      <c r="C458" s="117" t="s">
        <v>225</v>
      </c>
      <c r="D458" s="118">
        <v>66</v>
      </c>
      <c r="E458" s="119"/>
      <c r="F458" s="119"/>
      <c r="G458" s="119"/>
      <c r="H458" s="120"/>
      <c r="I458" s="118">
        <v>66</v>
      </c>
      <c r="J458" s="119"/>
      <c r="K458" s="119"/>
      <c r="L458" s="119"/>
      <c r="M458" s="120"/>
    </row>
    <row r="459" spans="1:13" x14ac:dyDescent="0.2">
      <c r="A459" s="124" t="s">
        <v>13</v>
      </c>
      <c r="B459" s="124" t="s">
        <v>109</v>
      </c>
      <c r="C459" s="124" t="s">
        <v>222</v>
      </c>
      <c r="D459" s="125">
        <v>148313</v>
      </c>
      <c r="E459" s="126">
        <v>147984</v>
      </c>
      <c r="F459" s="126">
        <v>147228.5</v>
      </c>
      <c r="G459" s="126">
        <v>146862.5</v>
      </c>
      <c r="H459" s="127"/>
      <c r="I459" s="125">
        <v>28460.5</v>
      </c>
      <c r="J459" s="126">
        <v>52323</v>
      </c>
      <c r="K459" s="126">
        <v>67915.5</v>
      </c>
      <c r="L459" s="126">
        <v>78629.7</v>
      </c>
      <c r="M459" s="127"/>
    </row>
    <row r="460" spans="1:13" x14ac:dyDescent="0.2">
      <c r="A460" s="113" t="s">
        <v>13</v>
      </c>
      <c r="B460" s="113" t="s">
        <v>109</v>
      </c>
      <c r="C460" s="113" t="s">
        <v>223</v>
      </c>
      <c r="D460" s="114">
        <v>110056</v>
      </c>
      <c r="E460" s="115">
        <v>110056</v>
      </c>
      <c r="F460" s="115">
        <v>110056</v>
      </c>
      <c r="G460" s="115"/>
      <c r="H460" s="116"/>
      <c r="I460" s="114">
        <v>33152.5</v>
      </c>
      <c r="J460" s="115">
        <v>45752.5</v>
      </c>
      <c r="K460" s="115">
        <v>55353.5</v>
      </c>
      <c r="L460" s="115"/>
      <c r="M460" s="116"/>
    </row>
    <row r="461" spans="1:13" x14ac:dyDescent="0.2">
      <c r="A461" t="s">
        <v>13</v>
      </c>
      <c r="B461" t="s">
        <v>109</v>
      </c>
      <c r="C461" t="s">
        <v>224</v>
      </c>
      <c r="D461" s="110">
        <v>42688</v>
      </c>
      <c r="E461" s="111">
        <v>42083</v>
      </c>
      <c r="F461" s="111"/>
      <c r="G461" s="111"/>
      <c r="H461" s="112"/>
      <c r="I461" s="110">
        <v>17573.400000000001</v>
      </c>
      <c r="J461" s="111">
        <v>21417.4</v>
      </c>
      <c r="K461" s="111"/>
      <c r="L461" s="111"/>
      <c r="M461" s="112"/>
    </row>
    <row r="462" spans="1:13" x14ac:dyDescent="0.2">
      <c r="A462" s="117" t="s">
        <v>13</v>
      </c>
      <c r="B462" s="117" t="s">
        <v>109</v>
      </c>
      <c r="C462" s="117" t="s">
        <v>225</v>
      </c>
      <c r="D462" s="118">
        <v>45459.5</v>
      </c>
      <c r="E462" s="119"/>
      <c r="F462" s="119"/>
      <c r="G462" s="119"/>
      <c r="H462" s="120"/>
      <c r="I462" s="118">
        <v>23114.5</v>
      </c>
      <c r="J462" s="119"/>
      <c r="K462" s="119"/>
      <c r="L462" s="119"/>
      <c r="M462" s="120"/>
    </row>
    <row r="463" spans="1:13" x14ac:dyDescent="0.2">
      <c r="A463" t="s">
        <v>13</v>
      </c>
      <c r="B463" t="s">
        <v>106</v>
      </c>
      <c r="C463" t="s">
        <v>222</v>
      </c>
      <c r="D463" s="110">
        <v>76218.69</v>
      </c>
      <c r="E463" s="111">
        <v>76218.69</v>
      </c>
      <c r="F463" s="111">
        <v>76218.69</v>
      </c>
      <c r="G463" s="111">
        <v>76218.69</v>
      </c>
      <c r="H463" s="112"/>
      <c r="I463" s="110">
        <v>75398.69</v>
      </c>
      <c r="J463" s="111">
        <v>75398.69</v>
      </c>
      <c r="K463" s="111">
        <v>75448.69</v>
      </c>
      <c r="L463" s="111">
        <v>75787.14</v>
      </c>
      <c r="M463" s="112"/>
    </row>
    <row r="464" spans="1:13" x14ac:dyDescent="0.2">
      <c r="A464" s="113" t="s">
        <v>13</v>
      </c>
      <c r="B464" s="113" t="s">
        <v>106</v>
      </c>
      <c r="C464" s="113" t="s">
        <v>223</v>
      </c>
      <c r="D464" s="114">
        <v>62586</v>
      </c>
      <c r="E464" s="115">
        <v>62586</v>
      </c>
      <c r="F464" s="115">
        <v>62986</v>
      </c>
      <c r="G464" s="115"/>
      <c r="H464" s="116"/>
      <c r="I464" s="114">
        <v>60956</v>
      </c>
      <c r="J464" s="115">
        <v>60979</v>
      </c>
      <c r="K464" s="115">
        <v>60979</v>
      </c>
      <c r="L464" s="115"/>
      <c r="M464" s="116"/>
    </row>
    <row r="465" spans="1:13" x14ac:dyDescent="0.2">
      <c r="A465" t="s">
        <v>13</v>
      </c>
      <c r="B465" t="s">
        <v>106</v>
      </c>
      <c r="C465" t="s">
        <v>224</v>
      </c>
      <c r="D465" s="110">
        <v>26258.5</v>
      </c>
      <c r="E465" s="111">
        <v>26258.5</v>
      </c>
      <c r="F465" s="111"/>
      <c r="G465" s="111"/>
      <c r="H465" s="112"/>
      <c r="I465" s="110">
        <v>25388.5</v>
      </c>
      <c r="J465" s="111">
        <v>25388.5</v>
      </c>
      <c r="K465" s="111"/>
      <c r="L465" s="111"/>
      <c r="M465" s="112"/>
    </row>
    <row r="466" spans="1:13" x14ac:dyDescent="0.2">
      <c r="A466" s="117" t="s">
        <v>13</v>
      </c>
      <c r="B466" s="117" t="s">
        <v>106</v>
      </c>
      <c r="C466" s="117" t="s">
        <v>225</v>
      </c>
      <c r="D466" s="118">
        <v>56135.5</v>
      </c>
      <c r="E466" s="119"/>
      <c r="F466" s="119"/>
      <c r="G466" s="119"/>
      <c r="H466" s="120"/>
      <c r="I466" s="118">
        <v>53486</v>
      </c>
      <c r="J466" s="119"/>
      <c r="K466" s="119"/>
      <c r="L466" s="119"/>
      <c r="M466" s="120"/>
    </row>
    <row r="467" spans="1:13" x14ac:dyDescent="0.2">
      <c r="A467" t="s">
        <v>13</v>
      </c>
      <c r="B467" t="s">
        <v>107</v>
      </c>
      <c r="C467" t="s">
        <v>222</v>
      </c>
      <c r="D467" s="110">
        <v>104355.79</v>
      </c>
      <c r="E467" s="111">
        <v>104355.79</v>
      </c>
      <c r="F467" s="111">
        <v>104355.79</v>
      </c>
      <c r="G467" s="111">
        <v>104355.79</v>
      </c>
      <c r="H467" s="112"/>
      <c r="I467" s="110">
        <v>103207.79</v>
      </c>
      <c r="J467" s="111">
        <v>104337.79</v>
      </c>
      <c r="K467" s="111">
        <v>104337.79</v>
      </c>
      <c r="L467" s="111">
        <v>104337.79</v>
      </c>
      <c r="M467" s="112"/>
    </row>
    <row r="468" spans="1:13" x14ac:dyDescent="0.2">
      <c r="A468" s="113" t="s">
        <v>13</v>
      </c>
      <c r="B468" s="113" t="s">
        <v>107</v>
      </c>
      <c r="C468" s="113" t="s">
        <v>223</v>
      </c>
      <c r="D468" s="114">
        <v>109869.68</v>
      </c>
      <c r="E468" s="115">
        <v>109869.68</v>
      </c>
      <c r="F468" s="115">
        <v>109869.68</v>
      </c>
      <c r="G468" s="115"/>
      <c r="H468" s="116"/>
      <c r="I468" s="114">
        <v>108601.68</v>
      </c>
      <c r="J468" s="115">
        <v>109416.68</v>
      </c>
      <c r="K468" s="115">
        <v>109416.68</v>
      </c>
      <c r="L468" s="115"/>
      <c r="M468" s="116"/>
    </row>
    <row r="469" spans="1:13" x14ac:dyDescent="0.2">
      <c r="A469" t="s">
        <v>13</v>
      </c>
      <c r="B469" t="s">
        <v>107</v>
      </c>
      <c r="C469" t="s">
        <v>224</v>
      </c>
      <c r="D469" s="110">
        <v>59704.6</v>
      </c>
      <c r="E469" s="111">
        <v>59704.6</v>
      </c>
      <c r="F469" s="111"/>
      <c r="G469" s="111"/>
      <c r="H469" s="112"/>
      <c r="I469" s="110">
        <v>59276.6</v>
      </c>
      <c r="J469" s="111">
        <v>59696.6</v>
      </c>
      <c r="K469" s="111"/>
      <c r="L469" s="111"/>
      <c r="M469" s="112"/>
    </row>
    <row r="470" spans="1:13" x14ac:dyDescent="0.2">
      <c r="A470" s="117" t="s">
        <v>13</v>
      </c>
      <c r="B470" s="117" t="s">
        <v>107</v>
      </c>
      <c r="C470" s="117" t="s">
        <v>225</v>
      </c>
      <c r="D470" s="118">
        <v>78405.679999999993</v>
      </c>
      <c r="E470" s="119"/>
      <c r="F470" s="119"/>
      <c r="G470" s="119"/>
      <c r="H470" s="120"/>
      <c r="I470" s="118">
        <v>77362.679999999993</v>
      </c>
      <c r="J470" s="119"/>
      <c r="K470" s="119"/>
      <c r="L470" s="119"/>
      <c r="M470" s="120"/>
    </row>
    <row r="471" spans="1:13" x14ac:dyDescent="0.2">
      <c r="A471" t="s">
        <v>13</v>
      </c>
      <c r="B471" t="s">
        <v>108</v>
      </c>
      <c r="C471" t="s">
        <v>222</v>
      </c>
      <c r="D471" s="110">
        <v>19991.5</v>
      </c>
      <c r="E471" s="111">
        <v>20336.5</v>
      </c>
      <c r="F471" s="111">
        <v>20336.5</v>
      </c>
      <c r="G471" s="111">
        <v>20336.5</v>
      </c>
      <c r="H471" s="112"/>
      <c r="I471" s="110">
        <v>19977.5</v>
      </c>
      <c r="J471" s="111">
        <v>19977.5</v>
      </c>
      <c r="K471" s="111">
        <v>19977.5</v>
      </c>
      <c r="L471" s="111">
        <v>19977.5</v>
      </c>
      <c r="M471" s="112"/>
    </row>
    <row r="472" spans="1:13" x14ac:dyDescent="0.2">
      <c r="A472" s="113" t="s">
        <v>13</v>
      </c>
      <c r="B472" s="113" t="s">
        <v>108</v>
      </c>
      <c r="C472" s="113" t="s">
        <v>223</v>
      </c>
      <c r="D472" s="114">
        <v>20548.419999999998</v>
      </c>
      <c r="E472" s="115">
        <v>20548.419999999998</v>
      </c>
      <c r="F472" s="115">
        <v>20548.419999999998</v>
      </c>
      <c r="G472" s="115"/>
      <c r="H472" s="116"/>
      <c r="I472" s="114">
        <v>20548.419999999998</v>
      </c>
      <c r="J472" s="115">
        <v>20548.419999999998</v>
      </c>
      <c r="K472" s="115">
        <v>20548.419999999998</v>
      </c>
      <c r="L472" s="115"/>
      <c r="M472" s="116"/>
    </row>
    <row r="473" spans="1:13" x14ac:dyDescent="0.2">
      <c r="A473" t="s">
        <v>13</v>
      </c>
      <c r="B473" t="s">
        <v>108</v>
      </c>
      <c r="C473" t="s">
        <v>224</v>
      </c>
      <c r="D473" s="110">
        <v>18345</v>
      </c>
      <c r="E473" s="111">
        <v>18345</v>
      </c>
      <c r="F473" s="111"/>
      <c r="G473" s="111"/>
      <c r="H473" s="112"/>
      <c r="I473" s="110">
        <v>18345</v>
      </c>
      <c r="J473" s="111">
        <v>18345</v>
      </c>
      <c r="K473" s="111"/>
      <c r="L473" s="111"/>
      <c r="M473" s="112"/>
    </row>
    <row r="474" spans="1:13" x14ac:dyDescent="0.2">
      <c r="A474" s="117" t="s">
        <v>13</v>
      </c>
      <c r="B474" s="117" t="s">
        <v>108</v>
      </c>
      <c r="C474" s="117" t="s">
        <v>225</v>
      </c>
      <c r="D474" s="118">
        <v>25028.1</v>
      </c>
      <c r="E474" s="119"/>
      <c r="F474" s="119"/>
      <c r="G474" s="119"/>
      <c r="H474" s="120"/>
      <c r="I474" s="118">
        <v>24397.1</v>
      </c>
      <c r="J474" s="119"/>
      <c r="K474" s="119"/>
      <c r="L474" s="119"/>
      <c r="M474" s="120"/>
    </row>
    <row r="475" spans="1:13" x14ac:dyDescent="0.2">
      <c r="A475" t="s">
        <v>13</v>
      </c>
      <c r="B475" t="s">
        <v>70</v>
      </c>
      <c r="C475" t="s">
        <v>222</v>
      </c>
      <c r="D475" s="110">
        <v>39868</v>
      </c>
      <c r="E475" s="111">
        <v>39400</v>
      </c>
      <c r="F475" s="111">
        <v>39400</v>
      </c>
      <c r="G475" s="111">
        <v>39400</v>
      </c>
      <c r="H475" s="112"/>
      <c r="I475" s="110">
        <v>37714</v>
      </c>
      <c r="J475" s="111">
        <v>37774</v>
      </c>
      <c r="K475" s="111">
        <v>37774</v>
      </c>
      <c r="L475" s="111">
        <v>37774</v>
      </c>
      <c r="M475" s="112"/>
    </row>
    <row r="476" spans="1:13" x14ac:dyDescent="0.2">
      <c r="A476" s="113" t="s">
        <v>13</v>
      </c>
      <c r="B476" s="113" t="s">
        <v>70</v>
      </c>
      <c r="C476" s="113" t="s">
        <v>223</v>
      </c>
      <c r="D476" s="114">
        <v>47614</v>
      </c>
      <c r="E476" s="115">
        <v>46798</v>
      </c>
      <c r="F476" s="115">
        <v>46390</v>
      </c>
      <c r="G476" s="115"/>
      <c r="H476" s="116"/>
      <c r="I476" s="114">
        <v>43647</v>
      </c>
      <c r="J476" s="115">
        <v>43647</v>
      </c>
      <c r="K476" s="115">
        <v>43647</v>
      </c>
      <c r="L476" s="115"/>
      <c r="M476" s="116"/>
    </row>
    <row r="477" spans="1:13" x14ac:dyDescent="0.2">
      <c r="A477" t="s">
        <v>13</v>
      </c>
      <c r="B477" t="s">
        <v>70</v>
      </c>
      <c r="C477" t="s">
        <v>224</v>
      </c>
      <c r="D477" s="110">
        <v>35334</v>
      </c>
      <c r="E477" s="111">
        <v>34926</v>
      </c>
      <c r="F477" s="111"/>
      <c r="G477" s="111"/>
      <c r="H477" s="112"/>
      <c r="I477" s="110">
        <v>32356</v>
      </c>
      <c r="J477" s="111">
        <v>32884</v>
      </c>
      <c r="K477" s="111"/>
      <c r="L477" s="111"/>
      <c r="M477" s="112"/>
    </row>
    <row r="478" spans="1:13" x14ac:dyDescent="0.2">
      <c r="A478" s="117" t="s">
        <v>13</v>
      </c>
      <c r="B478" s="117" t="s">
        <v>70</v>
      </c>
      <c r="C478" s="117" t="s">
        <v>225</v>
      </c>
      <c r="D478" s="118">
        <v>42110</v>
      </c>
      <c r="E478" s="119"/>
      <c r="F478" s="119"/>
      <c r="G478" s="119"/>
      <c r="H478" s="120"/>
      <c r="I478" s="118">
        <v>39744</v>
      </c>
      <c r="J478" s="119"/>
      <c r="K478" s="119"/>
      <c r="L478" s="119"/>
      <c r="M478" s="120"/>
    </row>
    <row r="479" spans="1:13" x14ac:dyDescent="0.2">
      <c r="A479" t="s">
        <v>13</v>
      </c>
      <c r="B479" t="s">
        <v>110</v>
      </c>
      <c r="C479" t="s">
        <v>222</v>
      </c>
      <c r="D479" s="110">
        <v>253902.2</v>
      </c>
      <c r="E479" s="111">
        <v>236444.56</v>
      </c>
      <c r="F479" s="111">
        <v>234833.56</v>
      </c>
      <c r="G479" s="111">
        <v>233369.11</v>
      </c>
      <c r="H479" s="112"/>
      <c r="I479" s="110">
        <v>100817.85</v>
      </c>
      <c r="J479" s="111">
        <v>169803.26</v>
      </c>
      <c r="K479" s="111">
        <v>182968.51</v>
      </c>
      <c r="L479" s="111">
        <v>187980.46</v>
      </c>
      <c r="M479" s="112"/>
    </row>
    <row r="480" spans="1:13" x14ac:dyDescent="0.2">
      <c r="A480" s="113" t="s">
        <v>13</v>
      </c>
      <c r="B480" s="113" t="s">
        <v>110</v>
      </c>
      <c r="C480" s="113" t="s">
        <v>223</v>
      </c>
      <c r="D480" s="114">
        <v>355247.72</v>
      </c>
      <c r="E480" s="115">
        <v>344575.82</v>
      </c>
      <c r="F480" s="115">
        <v>341420.96</v>
      </c>
      <c r="G480" s="115"/>
      <c r="H480" s="116"/>
      <c r="I480" s="114">
        <v>147817.12</v>
      </c>
      <c r="J480" s="115">
        <v>216999.2</v>
      </c>
      <c r="K480" s="115">
        <v>244855.82</v>
      </c>
      <c r="L480" s="115"/>
      <c r="M480" s="116"/>
    </row>
    <row r="481" spans="1:13" x14ac:dyDescent="0.2">
      <c r="A481" t="s">
        <v>13</v>
      </c>
      <c r="B481" t="s">
        <v>110</v>
      </c>
      <c r="C481" t="s">
        <v>224</v>
      </c>
      <c r="D481" s="110">
        <v>279054.36</v>
      </c>
      <c r="E481" s="111">
        <v>270800.12</v>
      </c>
      <c r="F481" s="111"/>
      <c r="G481" s="111"/>
      <c r="H481" s="112"/>
      <c r="I481" s="110">
        <v>84292.66</v>
      </c>
      <c r="J481" s="111">
        <v>161693.38</v>
      </c>
      <c r="K481" s="111"/>
      <c r="L481" s="111"/>
      <c r="M481" s="112"/>
    </row>
    <row r="482" spans="1:13" ht="13.5" thickBot="1" x14ac:dyDescent="0.25">
      <c r="A482" s="128" t="s">
        <v>13</v>
      </c>
      <c r="B482" s="128" t="s">
        <v>110</v>
      </c>
      <c r="C482" s="128" t="s">
        <v>225</v>
      </c>
      <c r="D482" s="129">
        <v>380949.13</v>
      </c>
      <c r="E482" s="130"/>
      <c r="F482" s="130"/>
      <c r="G482" s="130"/>
      <c r="H482" s="131"/>
      <c r="I482" s="129">
        <v>156291.26999999999</v>
      </c>
      <c r="J482" s="130"/>
      <c r="K482" s="130"/>
      <c r="L482" s="130"/>
      <c r="M482" s="131"/>
    </row>
    <row r="483" spans="1:13" x14ac:dyDescent="0.2">
      <c r="A483" s="132" t="s">
        <v>216</v>
      </c>
      <c r="B483" s="132" t="s">
        <v>104</v>
      </c>
      <c r="C483" s="132" t="s">
        <v>222</v>
      </c>
      <c r="D483" s="133">
        <v>154080.04999999999</v>
      </c>
      <c r="E483" s="134">
        <v>154155.04999999999</v>
      </c>
      <c r="F483" s="134">
        <v>154255.04999999999</v>
      </c>
      <c r="G483" s="134">
        <v>154305.04999999999</v>
      </c>
      <c r="H483" s="135"/>
      <c r="I483" s="133">
        <v>5142.0200000000004</v>
      </c>
      <c r="J483" s="134">
        <v>6955.2</v>
      </c>
      <c r="K483" s="134">
        <v>7556.16</v>
      </c>
      <c r="L483" s="134">
        <v>8556.5</v>
      </c>
      <c r="M483" s="135"/>
    </row>
    <row r="484" spans="1:13" x14ac:dyDescent="0.2">
      <c r="A484" s="113" t="s">
        <v>216</v>
      </c>
      <c r="B484" s="113" t="s">
        <v>104</v>
      </c>
      <c r="C484" s="113" t="s">
        <v>223</v>
      </c>
      <c r="D484" s="114">
        <v>196865.66</v>
      </c>
      <c r="E484" s="115">
        <v>196815.66</v>
      </c>
      <c r="F484" s="115">
        <v>196815.66</v>
      </c>
      <c r="G484" s="115"/>
      <c r="H484" s="116"/>
      <c r="I484" s="114">
        <v>3065</v>
      </c>
      <c r="J484" s="115">
        <v>6024.61</v>
      </c>
      <c r="K484" s="115">
        <v>9930.39</v>
      </c>
      <c r="L484" s="115"/>
      <c r="M484" s="116"/>
    </row>
    <row r="485" spans="1:13" x14ac:dyDescent="0.2">
      <c r="A485" t="s">
        <v>216</v>
      </c>
      <c r="B485" t="s">
        <v>104</v>
      </c>
      <c r="C485" t="s">
        <v>224</v>
      </c>
      <c r="D485" s="110">
        <v>284445.63</v>
      </c>
      <c r="E485" s="111">
        <v>284445.63</v>
      </c>
      <c r="F485" s="111"/>
      <c r="G485" s="111"/>
      <c r="H485" s="112"/>
      <c r="I485" s="110">
        <v>7198.32</v>
      </c>
      <c r="J485" s="111">
        <v>10647.13</v>
      </c>
      <c r="K485" s="111"/>
      <c r="L485" s="111"/>
      <c r="M485" s="112"/>
    </row>
    <row r="486" spans="1:13" x14ac:dyDescent="0.2">
      <c r="A486" s="117" t="s">
        <v>216</v>
      </c>
      <c r="B486" s="117" t="s">
        <v>104</v>
      </c>
      <c r="C486" s="117" t="s">
        <v>225</v>
      </c>
      <c r="D486" s="118">
        <v>75453.09</v>
      </c>
      <c r="E486" s="119"/>
      <c r="F486" s="119"/>
      <c r="G486" s="119"/>
      <c r="H486" s="120"/>
      <c r="I486" s="118">
        <v>966.65</v>
      </c>
      <c r="J486" s="119"/>
      <c r="K486" s="119"/>
      <c r="L486" s="119"/>
      <c r="M486" s="120"/>
    </row>
    <row r="487" spans="1:13" x14ac:dyDescent="0.2">
      <c r="A487" t="s">
        <v>216</v>
      </c>
      <c r="B487" t="s">
        <v>140</v>
      </c>
      <c r="C487" t="s">
        <v>222</v>
      </c>
      <c r="D487" s="110">
        <v>50850</v>
      </c>
      <c r="E487" s="111">
        <v>50850</v>
      </c>
      <c r="F487" s="111">
        <v>50900</v>
      </c>
      <c r="G487" s="111">
        <v>50900</v>
      </c>
      <c r="H487" s="112"/>
      <c r="I487" s="110">
        <v>50</v>
      </c>
      <c r="J487" s="111">
        <v>50</v>
      </c>
      <c r="K487" s="111">
        <v>50</v>
      </c>
      <c r="L487" s="111">
        <v>50</v>
      </c>
      <c r="M487" s="112"/>
    </row>
    <row r="488" spans="1:13" x14ac:dyDescent="0.2">
      <c r="A488" s="113" t="s">
        <v>216</v>
      </c>
      <c r="B488" s="113" t="s">
        <v>140</v>
      </c>
      <c r="C488" s="113" t="s">
        <v>223</v>
      </c>
      <c r="D488" s="114">
        <v>99336</v>
      </c>
      <c r="E488" s="115">
        <v>99336</v>
      </c>
      <c r="F488" s="115">
        <v>99336</v>
      </c>
      <c r="G488" s="115"/>
      <c r="H488" s="116"/>
      <c r="I488" s="114">
        <v>125</v>
      </c>
      <c r="J488" s="115">
        <v>325</v>
      </c>
      <c r="K488" s="115">
        <v>425</v>
      </c>
      <c r="L488" s="115"/>
      <c r="M488" s="116"/>
    </row>
    <row r="489" spans="1:13" x14ac:dyDescent="0.2">
      <c r="A489" t="s">
        <v>216</v>
      </c>
      <c r="B489" t="s">
        <v>140</v>
      </c>
      <c r="C489" t="s">
        <v>224</v>
      </c>
      <c r="D489" s="110">
        <v>201600</v>
      </c>
      <c r="E489" s="111">
        <v>201600</v>
      </c>
      <c r="F489" s="111"/>
      <c r="G489" s="111"/>
      <c r="H489" s="112"/>
      <c r="I489" s="110">
        <v>0</v>
      </c>
      <c r="J489" s="111">
        <v>144.24</v>
      </c>
      <c r="K489" s="111"/>
      <c r="L489" s="111"/>
      <c r="M489" s="112"/>
    </row>
    <row r="490" spans="1:13" x14ac:dyDescent="0.2">
      <c r="A490" s="117" t="s">
        <v>216</v>
      </c>
      <c r="B490" s="117" t="s">
        <v>140</v>
      </c>
      <c r="C490" s="117" t="s">
        <v>225</v>
      </c>
      <c r="D490" s="118">
        <v>0</v>
      </c>
      <c r="E490" s="119"/>
      <c r="F490" s="119"/>
      <c r="G490" s="119"/>
      <c r="H490" s="120"/>
      <c r="I490" s="118">
        <v>0</v>
      </c>
      <c r="J490" s="119"/>
      <c r="K490" s="119"/>
      <c r="L490" s="119"/>
      <c r="M490" s="120"/>
    </row>
    <row r="491" spans="1:13" x14ac:dyDescent="0.2">
      <c r="A491" t="s">
        <v>216</v>
      </c>
      <c r="B491" t="s">
        <v>105</v>
      </c>
      <c r="C491" t="s">
        <v>222</v>
      </c>
      <c r="D491" s="110">
        <v>35831</v>
      </c>
      <c r="E491" s="111">
        <v>35856</v>
      </c>
      <c r="F491" s="111">
        <v>35856</v>
      </c>
      <c r="G491" s="111">
        <v>35856</v>
      </c>
      <c r="H491" s="112"/>
      <c r="I491" s="110">
        <v>5708</v>
      </c>
      <c r="J491" s="111">
        <v>9298</v>
      </c>
      <c r="K491" s="111">
        <v>10006</v>
      </c>
      <c r="L491" s="111">
        <v>10616</v>
      </c>
      <c r="M491" s="112"/>
    </row>
    <row r="492" spans="1:13" x14ac:dyDescent="0.2">
      <c r="A492" s="113" t="s">
        <v>216</v>
      </c>
      <c r="B492" s="113" t="s">
        <v>105</v>
      </c>
      <c r="C492" s="113" t="s">
        <v>223</v>
      </c>
      <c r="D492" s="114">
        <v>41306.5</v>
      </c>
      <c r="E492" s="115">
        <v>41306.5</v>
      </c>
      <c r="F492" s="115">
        <v>41306.5</v>
      </c>
      <c r="G492" s="115"/>
      <c r="H492" s="116"/>
      <c r="I492" s="114">
        <v>7865</v>
      </c>
      <c r="J492" s="115">
        <v>10543.25</v>
      </c>
      <c r="K492" s="115">
        <v>11452.5</v>
      </c>
      <c r="L492" s="115"/>
      <c r="M492" s="116"/>
    </row>
    <row r="493" spans="1:13" x14ac:dyDescent="0.2">
      <c r="A493" t="s">
        <v>216</v>
      </c>
      <c r="B493" t="s">
        <v>105</v>
      </c>
      <c r="C493" t="s">
        <v>224</v>
      </c>
      <c r="D493" s="110">
        <v>30939.200000000001</v>
      </c>
      <c r="E493" s="111">
        <v>30939.200000000001</v>
      </c>
      <c r="F493" s="111"/>
      <c r="G493" s="111"/>
      <c r="H493" s="112"/>
      <c r="I493" s="110">
        <v>8085.2</v>
      </c>
      <c r="J493" s="111">
        <v>9712.2000000000007</v>
      </c>
      <c r="K493" s="111"/>
      <c r="L493" s="111"/>
      <c r="M493" s="112"/>
    </row>
    <row r="494" spans="1:13" x14ac:dyDescent="0.2">
      <c r="A494" s="117" t="s">
        <v>216</v>
      </c>
      <c r="B494" s="117" t="s">
        <v>105</v>
      </c>
      <c r="C494" s="117" t="s">
        <v>225</v>
      </c>
      <c r="D494" s="118">
        <v>38884</v>
      </c>
      <c r="E494" s="119"/>
      <c r="F494" s="119"/>
      <c r="G494" s="119"/>
      <c r="H494" s="120"/>
      <c r="I494" s="118">
        <v>6491</v>
      </c>
      <c r="J494" s="119"/>
      <c r="K494" s="119"/>
      <c r="L494" s="119"/>
      <c r="M494" s="120"/>
    </row>
    <row r="495" spans="1:13" x14ac:dyDescent="0.2">
      <c r="A495" t="s">
        <v>216</v>
      </c>
      <c r="B495" t="s">
        <v>111</v>
      </c>
      <c r="C495" t="s">
        <v>222</v>
      </c>
      <c r="D495" s="110">
        <v>2640</v>
      </c>
      <c r="E495" s="111">
        <v>2640</v>
      </c>
      <c r="F495" s="111">
        <v>2640</v>
      </c>
      <c r="G495" s="111">
        <v>2640</v>
      </c>
      <c r="H495" s="112"/>
      <c r="I495" s="110">
        <v>170</v>
      </c>
      <c r="J495" s="111">
        <v>170</v>
      </c>
      <c r="K495" s="111">
        <v>170</v>
      </c>
      <c r="L495" s="111">
        <v>170</v>
      </c>
      <c r="M495" s="112"/>
    </row>
    <row r="496" spans="1:13" x14ac:dyDescent="0.2">
      <c r="A496" s="113" t="s">
        <v>216</v>
      </c>
      <c r="B496" s="113" t="s">
        <v>111</v>
      </c>
      <c r="C496" s="113" t="s">
        <v>223</v>
      </c>
      <c r="D496" s="114">
        <v>4595</v>
      </c>
      <c r="E496" s="115">
        <v>4595</v>
      </c>
      <c r="F496" s="115">
        <v>4595</v>
      </c>
      <c r="G496" s="115"/>
      <c r="H496" s="116"/>
      <c r="I496" s="114">
        <v>0</v>
      </c>
      <c r="J496" s="115">
        <v>0</v>
      </c>
      <c r="K496" s="115">
        <v>0</v>
      </c>
      <c r="L496" s="115"/>
      <c r="M496" s="116"/>
    </row>
    <row r="497" spans="1:13" x14ac:dyDescent="0.2">
      <c r="A497" t="s">
        <v>216</v>
      </c>
      <c r="B497" t="s">
        <v>111</v>
      </c>
      <c r="C497" t="s">
        <v>224</v>
      </c>
      <c r="D497" s="110">
        <v>50</v>
      </c>
      <c r="E497" s="111">
        <v>50</v>
      </c>
      <c r="F497" s="111"/>
      <c r="G497" s="111"/>
      <c r="H497" s="112"/>
      <c r="I497" s="110">
        <v>0</v>
      </c>
      <c r="J497" s="111">
        <v>0</v>
      </c>
      <c r="K497" s="111"/>
      <c r="L497" s="111"/>
      <c r="M497" s="112"/>
    </row>
    <row r="498" spans="1:13" x14ac:dyDescent="0.2">
      <c r="A498" s="117" t="s">
        <v>216</v>
      </c>
      <c r="B498" s="117" t="s">
        <v>111</v>
      </c>
      <c r="C498" s="117" t="s">
        <v>225</v>
      </c>
      <c r="D498" s="118">
        <v>1320</v>
      </c>
      <c r="E498" s="119"/>
      <c r="F498" s="119"/>
      <c r="G498" s="119"/>
      <c r="H498" s="120"/>
      <c r="I498" s="118">
        <v>100</v>
      </c>
      <c r="J498" s="119"/>
      <c r="K498" s="119"/>
      <c r="L498" s="119"/>
      <c r="M498" s="120"/>
    </row>
    <row r="499" spans="1:13" x14ac:dyDescent="0.2">
      <c r="A499" s="124" t="s">
        <v>216</v>
      </c>
      <c r="B499" s="124" t="s">
        <v>109</v>
      </c>
      <c r="C499" s="124" t="s">
        <v>222</v>
      </c>
      <c r="D499" s="125">
        <v>52592.25</v>
      </c>
      <c r="E499" s="126">
        <v>52592.25</v>
      </c>
      <c r="F499" s="126">
        <v>52592.25</v>
      </c>
      <c r="G499" s="126">
        <v>52592.25</v>
      </c>
      <c r="H499" s="127"/>
      <c r="I499" s="125">
        <v>18284.25</v>
      </c>
      <c r="J499" s="126">
        <v>22515.25</v>
      </c>
      <c r="K499" s="126">
        <v>25066.25</v>
      </c>
      <c r="L499" s="126">
        <v>27353.25</v>
      </c>
      <c r="M499" s="127"/>
    </row>
    <row r="500" spans="1:13" x14ac:dyDescent="0.2">
      <c r="A500" s="113" t="s">
        <v>216</v>
      </c>
      <c r="B500" s="113" t="s">
        <v>109</v>
      </c>
      <c r="C500" s="113" t="s">
        <v>223</v>
      </c>
      <c r="D500" s="114">
        <v>39050</v>
      </c>
      <c r="E500" s="115">
        <v>39050.5</v>
      </c>
      <c r="F500" s="115">
        <v>39290.5</v>
      </c>
      <c r="G500" s="115"/>
      <c r="H500" s="116"/>
      <c r="I500" s="114">
        <v>16117</v>
      </c>
      <c r="J500" s="115">
        <v>18995</v>
      </c>
      <c r="K500" s="115">
        <v>21268</v>
      </c>
      <c r="L500" s="115"/>
      <c r="M500" s="116"/>
    </row>
    <row r="501" spans="1:13" x14ac:dyDescent="0.2">
      <c r="A501" t="s">
        <v>216</v>
      </c>
      <c r="B501" t="s">
        <v>109</v>
      </c>
      <c r="C501" t="s">
        <v>224</v>
      </c>
      <c r="D501" s="110">
        <v>37832</v>
      </c>
      <c r="E501" s="111">
        <v>37832</v>
      </c>
      <c r="F501" s="111"/>
      <c r="G501" s="111"/>
      <c r="H501" s="112"/>
      <c r="I501" s="110">
        <v>16353</v>
      </c>
      <c r="J501" s="111">
        <v>19151</v>
      </c>
      <c r="K501" s="111"/>
      <c r="L501" s="111"/>
      <c r="M501" s="112"/>
    </row>
    <row r="502" spans="1:13" x14ac:dyDescent="0.2">
      <c r="A502" s="117" t="s">
        <v>216</v>
      </c>
      <c r="B502" s="117" t="s">
        <v>109</v>
      </c>
      <c r="C502" s="117" t="s">
        <v>225</v>
      </c>
      <c r="D502" s="118">
        <v>59419</v>
      </c>
      <c r="E502" s="119"/>
      <c r="F502" s="119"/>
      <c r="G502" s="119"/>
      <c r="H502" s="120"/>
      <c r="I502" s="118">
        <v>25148</v>
      </c>
      <c r="J502" s="119"/>
      <c r="K502" s="119"/>
      <c r="L502" s="119"/>
      <c r="M502" s="120"/>
    </row>
    <row r="503" spans="1:13" x14ac:dyDescent="0.2">
      <c r="A503" t="s">
        <v>216</v>
      </c>
      <c r="B503" t="s">
        <v>106</v>
      </c>
      <c r="C503" t="s">
        <v>222</v>
      </c>
      <c r="D503" s="110">
        <v>31134.5</v>
      </c>
      <c r="E503" s="111">
        <v>31339.5</v>
      </c>
      <c r="F503" s="111">
        <v>31339.5</v>
      </c>
      <c r="G503" s="111">
        <v>31339.5</v>
      </c>
      <c r="H503" s="112"/>
      <c r="I503" s="110">
        <v>29779.5</v>
      </c>
      <c r="J503" s="111">
        <v>30909.5</v>
      </c>
      <c r="K503" s="111">
        <v>30909.5</v>
      </c>
      <c r="L503" s="111">
        <v>30909.5</v>
      </c>
      <c r="M503" s="112"/>
    </row>
    <row r="504" spans="1:13" x14ac:dyDescent="0.2">
      <c r="A504" s="113" t="s">
        <v>216</v>
      </c>
      <c r="B504" s="113" t="s">
        <v>106</v>
      </c>
      <c r="C504" s="113" t="s">
        <v>223</v>
      </c>
      <c r="D504" s="114">
        <v>30274</v>
      </c>
      <c r="E504" s="115">
        <v>29874</v>
      </c>
      <c r="F504" s="115">
        <v>29974</v>
      </c>
      <c r="G504" s="115"/>
      <c r="H504" s="116"/>
      <c r="I504" s="114">
        <v>28974</v>
      </c>
      <c r="J504" s="115">
        <v>28974</v>
      </c>
      <c r="K504" s="115">
        <v>28974</v>
      </c>
      <c r="L504" s="115"/>
      <c r="M504" s="116"/>
    </row>
    <row r="505" spans="1:13" x14ac:dyDescent="0.2">
      <c r="A505" t="s">
        <v>216</v>
      </c>
      <c r="B505" t="s">
        <v>106</v>
      </c>
      <c r="C505" t="s">
        <v>224</v>
      </c>
      <c r="D505" s="110">
        <v>8321</v>
      </c>
      <c r="E505" s="111">
        <v>8321</v>
      </c>
      <c r="F505" s="111"/>
      <c r="G505" s="111"/>
      <c r="H505" s="112"/>
      <c r="I505" s="110">
        <v>7876</v>
      </c>
      <c r="J505" s="111">
        <v>7876</v>
      </c>
      <c r="K505" s="111"/>
      <c r="L505" s="111"/>
      <c r="M505" s="112"/>
    </row>
    <row r="506" spans="1:13" x14ac:dyDescent="0.2">
      <c r="A506" s="117" t="s">
        <v>216</v>
      </c>
      <c r="B506" s="117" t="s">
        <v>106</v>
      </c>
      <c r="C506" s="117" t="s">
        <v>225</v>
      </c>
      <c r="D506" s="118">
        <v>17006</v>
      </c>
      <c r="E506" s="119"/>
      <c r="F506" s="119"/>
      <c r="G506" s="119"/>
      <c r="H506" s="120"/>
      <c r="I506" s="118">
        <v>15661</v>
      </c>
      <c r="J506" s="119"/>
      <c r="K506" s="119"/>
      <c r="L506" s="119"/>
      <c r="M506" s="120"/>
    </row>
    <row r="507" spans="1:13" x14ac:dyDescent="0.2">
      <c r="A507" t="s">
        <v>216</v>
      </c>
      <c r="B507" t="s">
        <v>107</v>
      </c>
      <c r="C507" t="s">
        <v>222</v>
      </c>
      <c r="D507" s="110">
        <v>31885</v>
      </c>
      <c r="E507" s="111">
        <v>31680</v>
      </c>
      <c r="F507" s="111">
        <v>31680</v>
      </c>
      <c r="G507" s="111">
        <v>31680</v>
      </c>
      <c r="H507" s="112"/>
      <c r="I507" s="110">
        <v>31245</v>
      </c>
      <c r="J507" s="111">
        <v>31420</v>
      </c>
      <c r="K507" s="111">
        <v>31420</v>
      </c>
      <c r="L507" s="111">
        <v>31420</v>
      </c>
      <c r="M507" s="112"/>
    </row>
    <row r="508" spans="1:13" x14ac:dyDescent="0.2">
      <c r="A508" s="113" t="s">
        <v>216</v>
      </c>
      <c r="B508" s="113" t="s">
        <v>107</v>
      </c>
      <c r="C508" s="113" t="s">
        <v>223</v>
      </c>
      <c r="D508" s="114">
        <v>36273.5</v>
      </c>
      <c r="E508" s="115">
        <v>36273.5</v>
      </c>
      <c r="F508" s="115">
        <v>36273.5</v>
      </c>
      <c r="G508" s="115"/>
      <c r="H508" s="116"/>
      <c r="I508" s="114">
        <v>35943.5</v>
      </c>
      <c r="J508" s="115">
        <v>36128.5</v>
      </c>
      <c r="K508" s="115">
        <v>36128.5</v>
      </c>
      <c r="L508" s="115"/>
      <c r="M508" s="116"/>
    </row>
    <row r="509" spans="1:13" x14ac:dyDescent="0.2">
      <c r="A509" t="s">
        <v>216</v>
      </c>
      <c r="B509" t="s">
        <v>107</v>
      </c>
      <c r="C509" t="s">
        <v>224</v>
      </c>
      <c r="D509" s="110">
        <v>13371</v>
      </c>
      <c r="E509" s="111">
        <v>13371</v>
      </c>
      <c r="F509" s="111"/>
      <c r="G509" s="111"/>
      <c r="H509" s="112"/>
      <c r="I509" s="110">
        <v>13291</v>
      </c>
      <c r="J509" s="111">
        <v>13291</v>
      </c>
      <c r="K509" s="111"/>
      <c r="L509" s="111"/>
      <c r="M509" s="112"/>
    </row>
    <row r="510" spans="1:13" x14ac:dyDescent="0.2">
      <c r="A510" s="117" t="s">
        <v>216</v>
      </c>
      <c r="B510" s="117" t="s">
        <v>107</v>
      </c>
      <c r="C510" s="117" t="s">
        <v>225</v>
      </c>
      <c r="D510" s="118">
        <v>30432</v>
      </c>
      <c r="E510" s="119"/>
      <c r="F510" s="119"/>
      <c r="G510" s="119"/>
      <c r="H510" s="120"/>
      <c r="I510" s="118">
        <v>30042</v>
      </c>
      <c r="J510" s="119"/>
      <c r="K510" s="119"/>
      <c r="L510" s="119"/>
      <c r="M510" s="120"/>
    </row>
    <row r="511" spans="1:13" x14ac:dyDescent="0.2">
      <c r="A511" t="s">
        <v>216</v>
      </c>
      <c r="B511" t="s">
        <v>108</v>
      </c>
      <c r="C511" t="s">
        <v>222</v>
      </c>
      <c r="D511" s="110">
        <v>9314</v>
      </c>
      <c r="E511" s="111">
        <v>9314</v>
      </c>
      <c r="F511" s="111">
        <v>9314</v>
      </c>
      <c r="G511" s="111">
        <v>9314</v>
      </c>
      <c r="H511" s="112"/>
      <c r="I511" s="110">
        <v>9314</v>
      </c>
      <c r="J511" s="111">
        <v>9314</v>
      </c>
      <c r="K511" s="111">
        <v>9314</v>
      </c>
      <c r="L511" s="111">
        <v>9314</v>
      </c>
      <c r="M511" s="112"/>
    </row>
    <row r="512" spans="1:13" x14ac:dyDescent="0.2">
      <c r="A512" s="113" t="s">
        <v>216</v>
      </c>
      <c r="B512" s="113" t="s">
        <v>108</v>
      </c>
      <c r="C512" s="113" t="s">
        <v>223</v>
      </c>
      <c r="D512" s="114">
        <v>12454</v>
      </c>
      <c r="E512" s="115">
        <v>12454</v>
      </c>
      <c r="F512" s="115">
        <v>12454</v>
      </c>
      <c r="G512" s="115"/>
      <c r="H512" s="116"/>
      <c r="I512" s="114">
        <v>12284</v>
      </c>
      <c r="J512" s="115">
        <v>12284</v>
      </c>
      <c r="K512" s="115">
        <v>12284</v>
      </c>
      <c r="L512" s="115"/>
      <c r="M512" s="116"/>
    </row>
    <row r="513" spans="1:13" x14ac:dyDescent="0.2">
      <c r="A513" t="s">
        <v>216</v>
      </c>
      <c r="B513" t="s">
        <v>108</v>
      </c>
      <c r="C513" t="s">
        <v>224</v>
      </c>
      <c r="D513" s="110">
        <v>12649</v>
      </c>
      <c r="E513" s="111">
        <v>12649</v>
      </c>
      <c r="F513" s="111"/>
      <c r="G513" s="111"/>
      <c r="H513" s="112"/>
      <c r="I513" s="110">
        <v>12199</v>
      </c>
      <c r="J513" s="111">
        <v>12599</v>
      </c>
      <c r="K513" s="111"/>
      <c r="L513" s="111"/>
      <c r="M513" s="112"/>
    </row>
    <row r="514" spans="1:13" x14ac:dyDescent="0.2">
      <c r="A514" s="117" t="s">
        <v>216</v>
      </c>
      <c r="B514" s="117" t="s">
        <v>108</v>
      </c>
      <c r="C514" s="117" t="s">
        <v>225</v>
      </c>
      <c r="D514" s="118">
        <v>12375</v>
      </c>
      <c r="E514" s="119"/>
      <c r="F514" s="119"/>
      <c r="G514" s="119"/>
      <c r="H514" s="120"/>
      <c r="I514" s="118">
        <v>12334</v>
      </c>
      <c r="J514" s="119"/>
      <c r="K514" s="119"/>
      <c r="L514" s="119"/>
      <c r="M514" s="120"/>
    </row>
    <row r="515" spans="1:13" x14ac:dyDescent="0.2">
      <c r="A515" t="s">
        <v>216</v>
      </c>
      <c r="B515" t="s">
        <v>70</v>
      </c>
      <c r="C515" t="s">
        <v>222</v>
      </c>
      <c r="D515" s="110">
        <v>19143.5</v>
      </c>
      <c r="E515" s="111">
        <v>19143.5</v>
      </c>
      <c r="F515" s="111">
        <v>19143.5</v>
      </c>
      <c r="G515" s="111">
        <v>19093.5</v>
      </c>
      <c r="H515" s="112"/>
      <c r="I515" s="110">
        <v>16176</v>
      </c>
      <c r="J515" s="111">
        <v>17009</v>
      </c>
      <c r="K515" s="111">
        <v>17084</v>
      </c>
      <c r="L515" s="111">
        <v>17601.5</v>
      </c>
      <c r="M515" s="112"/>
    </row>
    <row r="516" spans="1:13" x14ac:dyDescent="0.2">
      <c r="A516" s="113" t="s">
        <v>216</v>
      </c>
      <c r="B516" s="113" t="s">
        <v>70</v>
      </c>
      <c r="C516" s="113" t="s">
        <v>223</v>
      </c>
      <c r="D516" s="114">
        <v>17497.5</v>
      </c>
      <c r="E516" s="115">
        <v>17089.5</v>
      </c>
      <c r="F516" s="115">
        <v>17089.5</v>
      </c>
      <c r="G516" s="115"/>
      <c r="H516" s="116"/>
      <c r="I516" s="114">
        <v>14890.5</v>
      </c>
      <c r="J516" s="115">
        <v>15108.5</v>
      </c>
      <c r="K516" s="115">
        <v>15433.5</v>
      </c>
      <c r="L516" s="115"/>
      <c r="M516" s="116"/>
    </row>
    <row r="517" spans="1:13" x14ac:dyDescent="0.2">
      <c r="A517" t="s">
        <v>216</v>
      </c>
      <c r="B517" t="s">
        <v>70</v>
      </c>
      <c r="C517" t="s">
        <v>224</v>
      </c>
      <c r="D517" s="110">
        <v>18829</v>
      </c>
      <c r="E517" s="111">
        <v>18829</v>
      </c>
      <c r="F517" s="111"/>
      <c r="G517" s="111"/>
      <c r="H517" s="112"/>
      <c r="I517" s="110">
        <v>16413</v>
      </c>
      <c r="J517" s="111">
        <v>17126</v>
      </c>
      <c r="K517" s="111"/>
      <c r="L517" s="111"/>
      <c r="M517" s="112"/>
    </row>
    <row r="518" spans="1:13" x14ac:dyDescent="0.2">
      <c r="A518" s="117" t="s">
        <v>216</v>
      </c>
      <c r="B518" s="117" t="s">
        <v>70</v>
      </c>
      <c r="C518" s="117" t="s">
        <v>225</v>
      </c>
      <c r="D518" s="118">
        <v>20479.5</v>
      </c>
      <c r="E518" s="119"/>
      <c r="F518" s="119"/>
      <c r="G518" s="119"/>
      <c r="H518" s="120"/>
      <c r="I518" s="118">
        <v>18101</v>
      </c>
      <c r="J518" s="119"/>
      <c r="K518" s="119"/>
      <c r="L518" s="119"/>
      <c r="M518" s="120"/>
    </row>
    <row r="519" spans="1:13" x14ac:dyDescent="0.2">
      <c r="A519" t="s">
        <v>216</v>
      </c>
      <c r="B519" t="s">
        <v>110</v>
      </c>
      <c r="C519" t="s">
        <v>222</v>
      </c>
      <c r="D519" s="110">
        <v>150293.04999999999</v>
      </c>
      <c r="E519" s="111">
        <v>147693.54999999999</v>
      </c>
      <c r="F519" s="111">
        <v>146961.9</v>
      </c>
      <c r="G519" s="111">
        <v>146757.9</v>
      </c>
      <c r="H519" s="112"/>
      <c r="I519" s="110">
        <v>67086.850000000006</v>
      </c>
      <c r="J519" s="111">
        <v>119749.55</v>
      </c>
      <c r="K519" s="111">
        <v>129435.7</v>
      </c>
      <c r="L519" s="111">
        <v>133859.75</v>
      </c>
      <c r="M519" s="112"/>
    </row>
    <row r="520" spans="1:13" x14ac:dyDescent="0.2">
      <c r="A520" s="113" t="s">
        <v>216</v>
      </c>
      <c r="B520" s="113" t="s">
        <v>110</v>
      </c>
      <c r="C520" s="113" t="s">
        <v>223</v>
      </c>
      <c r="D520" s="114">
        <v>122716.45</v>
      </c>
      <c r="E520" s="115">
        <v>123425.2</v>
      </c>
      <c r="F520" s="115">
        <v>122441.9</v>
      </c>
      <c r="G520" s="115"/>
      <c r="H520" s="116"/>
      <c r="I520" s="114">
        <v>57219.15</v>
      </c>
      <c r="J520" s="115">
        <v>91049.9</v>
      </c>
      <c r="K520" s="115">
        <v>105200.9</v>
      </c>
      <c r="L520" s="115"/>
      <c r="M520" s="116"/>
    </row>
    <row r="521" spans="1:13" x14ac:dyDescent="0.2">
      <c r="A521" t="s">
        <v>216</v>
      </c>
      <c r="B521" t="s">
        <v>110</v>
      </c>
      <c r="C521" t="s">
        <v>224</v>
      </c>
      <c r="D521" s="110">
        <v>112307.75</v>
      </c>
      <c r="E521" s="111">
        <v>109506.3</v>
      </c>
      <c r="F521" s="111"/>
      <c r="G521" s="111"/>
      <c r="H521" s="112"/>
      <c r="I521" s="110">
        <v>36509.550000000003</v>
      </c>
      <c r="J521" s="111">
        <v>76997.8</v>
      </c>
      <c r="K521" s="111"/>
      <c r="L521" s="111"/>
      <c r="M521" s="112"/>
    </row>
    <row r="522" spans="1:13" ht="13.5" thickBot="1" x14ac:dyDescent="0.25">
      <c r="A522" s="128" t="s">
        <v>216</v>
      </c>
      <c r="B522" s="128" t="s">
        <v>110</v>
      </c>
      <c r="C522" s="128" t="s">
        <v>225</v>
      </c>
      <c r="D522" s="129">
        <v>185794.3</v>
      </c>
      <c r="E522" s="130"/>
      <c r="F522" s="130"/>
      <c r="G522" s="130"/>
      <c r="H522" s="131"/>
      <c r="I522" s="129">
        <v>75823.05</v>
      </c>
      <c r="J522" s="130"/>
      <c r="K522" s="130"/>
      <c r="L522" s="130"/>
      <c r="M522" s="131"/>
    </row>
    <row r="523" spans="1:13" x14ac:dyDescent="0.2">
      <c r="A523" s="132" t="s">
        <v>15</v>
      </c>
      <c r="B523" s="132" t="s">
        <v>104</v>
      </c>
      <c r="C523" s="132" t="s">
        <v>222</v>
      </c>
      <c r="D523" s="133">
        <v>18180</v>
      </c>
      <c r="E523" s="134">
        <v>18180</v>
      </c>
      <c r="F523" s="134">
        <v>18180</v>
      </c>
      <c r="G523" s="134">
        <v>18180</v>
      </c>
      <c r="H523" s="135"/>
      <c r="I523" s="133">
        <v>1096.1500000000001</v>
      </c>
      <c r="J523" s="134">
        <v>4087.5</v>
      </c>
      <c r="K523" s="134">
        <v>5243.27</v>
      </c>
      <c r="L523" s="134">
        <v>5243.27</v>
      </c>
      <c r="M523" s="135"/>
    </row>
    <row r="524" spans="1:13" x14ac:dyDescent="0.2">
      <c r="A524" s="113" t="s">
        <v>15</v>
      </c>
      <c r="B524" s="113" t="s">
        <v>104</v>
      </c>
      <c r="C524" s="113" t="s">
        <v>223</v>
      </c>
      <c r="D524" s="114">
        <v>102165.25</v>
      </c>
      <c r="E524" s="115">
        <v>101934.49</v>
      </c>
      <c r="F524" s="115">
        <v>101934.49</v>
      </c>
      <c r="G524" s="115"/>
      <c r="H524" s="116"/>
      <c r="I524" s="114">
        <v>23422.25</v>
      </c>
      <c r="J524" s="115">
        <v>31695.32</v>
      </c>
      <c r="K524" s="115">
        <v>34002.129999999997</v>
      </c>
      <c r="L524" s="115"/>
      <c r="M524" s="116"/>
    </row>
    <row r="525" spans="1:13" x14ac:dyDescent="0.2">
      <c r="A525" t="s">
        <v>15</v>
      </c>
      <c r="B525" t="s">
        <v>104</v>
      </c>
      <c r="C525" t="s">
        <v>224</v>
      </c>
      <c r="D525" s="110">
        <v>48116.66</v>
      </c>
      <c r="E525" s="111">
        <v>48116.66</v>
      </c>
      <c r="F525" s="111"/>
      <c r="G525" s="111"/>
      <c r="H525" s="112"/>
      <c r="I525" s="110">
        <v>20703.14</v>
      </c>
      <c r="J525" s="111">
        <v>21758.880000000001</v>
      </c>
      <c r="K525" s="111"/>
      <c r="L525" s="111"/>
      <c r="M525" s="112"/>
    </row>
    <row r="526" spans="1:13" x14ac:dyDescent="0.2">
      <c r="A526" s="117" t="s">
        <v>15</v>
      </c>
      <c r="B526" s="117" t="s">
        <v>104</v>
      </c>
      <c r="C526" s="117" t="s">
        <v>225</v>
      </c>
      <c r="D526" s="118">
        <v>11294.77</v>
      </c>
      <c r="E526" s="119"/>
      <c r="F526" s="119"/>
      <c r="G526" s="119"/>
      <c r="H526" s="120"/>
      <c r="I526" s="118">
        <v>2035.32</v>
      </c>
      <c r="J526" s="119"/>
      <c r="K526" s="119"/>
      <c r="L526" s="119"/>
      <c r="M526" s="120"/>
    </row>
    <row r="527" spans="1:13" x14ac:dyDescent="0.2">
      <c r="A527" t="s">
        <v>15</v>
      </c>
      <c r="B527" t="s">
        <v>140</v>
      </c>
      <c r="C527" t="s">
        <v>222</v>
      </c>
      <c r="D527" s="110"/>
      <c r="E527" s="111"/>
      <c r="F527" s="111"/>
      <c r="G527" s="111"/>
      <c r="H527" s="112"/>
      <c r="I527" s="110"/>
      <c r="J527" s="111"/>
      <c r="K527" s="111"/>
      <c r="L527" s="111"/>
      <c r="M527" s="112"/>
    </row>
    <row r="528" spans="1:13" x14ac:dyDescent="0.2">
      <c r="A528" s="113" t="s">
        <v>15</v>
      </c>
      <c r="B528" s="113" t="s">
        <v>140</v>
      </c>
      <c r="C528" s="113" t="s">
        <v>223</v>
      </c>
      <c r="D528" s="114"/>
      <c r="E528" s="115"/>
      <c r="F528" s="115"/>
      <c r="G528" s="115"/>
      <c r="H528" s="116"/>
      <c r="I528" s="114"/>
      <c r="J528" s="115"/>
      <c r="K528" s="115"/>
      <c r="L528" s="115"/>
      <c r="M528" s="116"/>
    </row>
    <row r="529" spans="1:13" x14ac:dyDescent="0.2">
      <c r="A529" t="s">
        <v>15</v>
      </c>
      <c r="B529" t="s">
        <v>140</v>
      </c>
      <c r="C529" t="s">
        <v>224</v>
      </c>
      <c r="D529" s="110"/>
      <c r="E529" s="111"/>
      <c r="F529" s="111"/>
      <c r="G529" s="111"/>
      <c r="H529" s="112"/>
      <c r="I529" s="110"/>
      <c r="J529" s="111"/>
      <c r="K529" s="111"/>
      <c r="L529" s="111"/>
      <c r="M529" s="112"/>
    </row>
    <row r="530" spans="1:13" x14ac:dyDescent="0.2">
      <c r="A530" s="117" t="s">
        <v>15</v>
      </c>
      <c r="B530" s="117" t="s">
        <v>140</v>
      </c>
      <c r="C530" s="117" t="s">
        <v>225</v>
      </c>
      <c r="D530" s="118"/>
      <c r="E530" s="119"/>
      <c r="F530" s="119"/>
      <c r="G530" s="119"/>
      <c r="H530" s="120"/>
      <c r="I530" s="118"/>
      <c r="J530" s="119"/>
      <c r="K530" s="119"/>
      <c r="L530" s="119"/>
      <c r="M530" s="120"/>
    </row>
    <row r="531" spans="1:13" x14ac:dyDescent="0.2">
      <c r="A531" t="s">
        <v>15</v>
      </c>
      <c r="B531" t="s">
        <v>105</v>
      </c>
      <c r="C531" t="s">
        <v>222</v>
      </c>
      <c r="D531" s="110">
        <v>19918.5</v>
      </c>
      <c r="E531" s="111">
        <v>19730.5</v>
      </c>
      <c r="F531" s="111">
        <v>19746.5</v>
      </c>
      <c r="G531" s="111">
        <v>19746.5</v>
      </c>
      <c r="H531" s="112"/>
      <c r="I531" s="110">
        <v>3182</v>
      </c>
      <c r="J531" s="111">
        <v>6484</v>
      </c>
      <c r="K531" s="111">
        <v>7207</v>
      </c>
      <c r="L531" s="111">
        <v>7271</v>
      </c>
      <c r="M531" s="112"/>
    </row>
    <row r="532" spans="1:13" x14ac:dyDescent="0.2">
      <c r="A532" s="113" t="s">
        <v>15</v>
      </c>
      <c r="B532" s="113" t="s">
        <v>105</v>
      </c>
      <c r="C532" s="113" t="s">
        <v>223</v>
      </c>
      <c r="D532" s="114">
        <v>18358</v>
      </c>
      <c r="E532" s="115">
        <v>18358</v>
      </c>
      <c r="F532" s="115">
        <v>17858</v>
      </c>
      <c r="G532" s="115"/>
      <c r="H532" s="116"/>
      <c r="I532" s="114">
        <v>5728.62</v>
      </c>
      <c r="J532" s="115">
        <v>8229.1200000000008</v>
      </c>
      <c r="K532" s="115">
        <v>9365.1200000000008</v>
      </c>
      <c r="L532" s="115"/>
      <c r="M532" s="116"/>
    </row>
    <row r="533" spans="1:13" x14ac:dyDescent="0.2">
      <c r="A533" t="s">
        <v>15</v>
      </c>
      <c r="B533" t="s">
        <v>105</v>
      </c>
      <c r="C533" t="s">
        <v>224</v>
      </c>
      <c r="D533" s="110">
        <v>7650</v>
      </c>
      <c r="E533" s="111">
        <v>7650</v>
      </c>
      <c r="F533" s="111"/>
      <c r="G533" s="111"/>
      <c r="H533" s="112"/>
      <c r="I533" s="110">
        <v>1653</v>
      </c>
      <c r="J533" s="111">
        <v>2007</v>
      </c>
      <c r="K533" s="111"/>
      <c r="L533" s="111"/>
      <c r="M533" s="112"/>
    </row>
    <row r="534" spans="1:13" x14ac:dyDescent="0.2">
      <c r="A534" s="117" t="s">
        <v>15</v>
      </c>
      <c r="B534" s="117" t="s">
        <v>105</v>
      </c>
      <c r="C534" s="117" t="s">
        <v>225</v>
      </c>
      <c r="D534" s="118">
        <v>12152.9</v>
      </c>
      <c r="E534" s="119"/>
      <c r="F534" s="119"/>
      <c r="G534" s="119"/>
      <c r="H534" s="120"/>
      <c r="I534" s="118">
        <v>2238</v>
      </c>
      <c r="J534" s="119"/>
      <c r="K534" s="119"/>
      <c r="L534" s="119"/>
      <c r="M534" s="120"/>
    </row>
    <row r="535" spans="1:13" x14ac:dyDescent="0.2">
      <c r="A535" t="s">
        <v>15</v>
      </c>
      <c r="B535" t="s">
        <v>111</v>
      </c>
      <c r="C535" t="s">
        <v>222</v>
      </c>
      <c r="D535" s="110">
        <v>606</v>
      </c>
      <c r="E535" s="111">
        <v>606</v>
      </c>
      <c r="F535" s="111">
        <v>606</v>
      </c>
      <c r="G535" s="111">
        <v>606</v>
      </c>
      <c r="H535" s="112"/>
      <c r="I535" s="110">
        <v>0</v>
      </c>
      <c r="J535" s="111">
        <v>0</v>
      </c>
      <c r="K535" s="111">
        <v>238</v>
      </c>
      <c r="L535" s="111">
        <v>238</v>
      </c>
      <c r="M535" s="112"/>
    </row>
    <row r="536" spans="1:13" x14ac:dyDescent="0.2">
      <c r="A536" s="113" t="s">
        <v>15</v>
      </c>
      <c r="B536" s="113" t="s">
        <v>111</v>
      </c>
      <c r="C536" s="113" t="s">
        <v>223</v>
      </c>
      <c r="D536" s="114">
        <v>368</v>
      </c>
      <c r="E536" s="115">
        <v>368</v>
      </c>
      <c r="F536" s="115">
        <v>368</v>
      </c>
      <c r="G536" s="115"/>
      <c r="H536" s="116"/>
      <c r="I536" s="114">
        <v>0</v>
      </c>
      <c r="J536" s="115">
        <v>50</v>
      </c>
      <c r="K536" s="115">
        <v>100</v>
      </c>
      <c r="L536" s="115"/>
      <c r="M536" s="116"/>
    </row>
    <row r="537" spans="1:13" x14ac:dyDescent="0.2">
      <c r="A537" t="s">
        <v>15</v>
      </c>
      <c r="B537" t="s">
        <v>111</v>
      </c>
      <c r="C537" t="s">
        <v>224</v>
      </c>
      <c r="D537" s="110">
        <v>3</v>
      </c>
      <c r="E537" s="111">
        <v>3</v>
      </c>
      <c r="F537" s="111"/>
      <c r="G537" s="111"/>
      <c r="H537" s="112"/>
      <c r="I537" s="110">
        <v>3</v>
      </c>
      <c r="J537" s="111">
        <v>3</v>
      </c>
      <c r="K537" s="111"/>
      <c r="L537" s="111"/>
      <c r="M537" s="112"/>
    </row>
    <row r="538" spans="1:13" x14ac:dyDescent="0.2">
      <c r="A538" s="117" t="s">
        <v>15</v>
      </c>
      <c r="B538" s="117" t="s">
        <v>111</v>
      </c>
      <c r="C538" s="117" t="s">
        <v>225</v>
      </c>
      <c r="D538" s="118">
        <v>0</v>
      </c>
      <c r="E538" s="119"/>
      <c r="F538" s="119"/>
      <c r="G538" s="119"/>
      <c r="H538" s="120"/>
      <c r="I538" s="118">
        <v>0</v>
      </c>
      <c r="J538" s="119"/>
      <c r="K538" s="119"/>
      <c r="L538" s="119"/>
      <c r="M538" s="120"/>
    </row>
    <row r="539" spans="1:13" x14ac:dyDescent="0.2">
      <c r="A539" s="124" t="s">
        <v>15</v>
      </c>
      <c r="B539" s="124" t="s">
        <v>109</v>
      </c>
      <c r="C539" s="124" t="s">
        <v>222</v>
      </c>
      <c r="D539" s="125">
        <v>29681</v>
      </c>
      <c r="E539" s="126">
        <v>28617</v>
      </c>
      <c r="F539" s="126">
        <v>28617</v>
      </c>
      <c r="G539" s="126">
        <v>28617</v>
      </c>
      <c r="H539" s="127"/>
      <c r="I539" s="125">
        <v>6553</v>
      </c>
      <c r="J539" s="126">
        <v>11997</v>
      </c>
      <c r="K539" s="126">
        <v>15331</v>
      </c>
      <c r="L539" s="126">
        <v>16961</v>
      </c>
      <c r="M539" s="127"/>
    </row>
    <row r="540" spans="1:13" x14ac:dyDescent="0.2">
      <c r="A540" s="113" t="s">
        <v>15</v>
      </c>
      <c r="B540" s="113" t="s">
        <v>109</v>
      </c>
      <c r="C540" s="113" t="s">
        <v>223</v>
      </c>
      <c r="D540" s="114">
        <v>14227</v>
      </c>
      <c r="E540" s="115">
        <v>14227</v>
      </c>
      <c r="F540" s="115">
        <v>14227</v>
      </c>
      <c r="G540" s="115"/>
      <c r="H540" s="116"/>
      <c r="I540" s="114">
        <v>3221</v>
      </c>
      <c r="J540" s="115">
        <v>6300</v>
      </c>
      <c r="K540" s="115">
        <v>7727</v>
      </c>
      <c r="L540" s="115"/>
      <c r="M540" s="116"/>
    </row>
    <row r="541" spans="1:13" x14ac:dyDescent="0.2">
      <c r="A541" t="s">
        <v>15</v>
      </c>
      <c r="B541" t="s">
        <v>109</v>
      </c>
      <c r="C541" t="s">
        <v>224</v>
      </c>
      <c r="D541" s="110">
        <v>9791</v>
      </c>
      <c r="E541" s="111">
        <v>9791</v>
      </c>
      <c r="F541" s="111"/>
      <c r="G541" s="111"/>
      <c r="H541" s="112"/>
      <c r="I541" s="110">
        <v>4474</v>
      </c>
      <c r="J541" s="111">
        <v>4644</v>
      </c>
      <c r="K541" s="111"/>
      <c r="L541" s="111"/>
      <c r="M541" s="112"/>
    </row>
    <row r="542" spans="1:13" x14ac:dyDescent="0.2">
      <c r="A542" s="117" t="s">
        <v>15</v>
      </c>
      <c r="B542" s="117" t="s">
        <v>109</v>
      </c>
      <c r="C542" s="117" t="s">
        <v>225</v>
      </c>
      <c r="D542" s="118">
        <v>10219</v>
      </c>
      <c r="E542" s="119"/>
      <c r="F542" s="119"/>
      <c r="G542" s="119"/>
      <c r="H542" s="120"/>
      <c r="I542" s="118">
        <v>3296</v>
      </c>
      <c r="J542" s="119"/>
      <c r="K542" s="119"/>
      <c r="L542" s="119"/>
      <c r="M542" s="120"/>
    </row>
    <row r="543" spans="1:13" x14ac:dyDescent="0.2">
      <c r="A543" t="s">
        <v>15</v>
      </c>
      <c r="B543" t="s">
        <v>106</v>
      </c>
      <c r="C543" t="s">
        <v>222</v>
      </c>
      <c r="D543" s="110">
        <v>7005</v>
      </c>
      <c r="E543" s="111">
        <v>7005</v>
      </c>
      <c r="F543" s="111">
        <v>7005</v>
      </c>
      <c r="G543" s="111">
        <v>7005</v>
      </c>
      <c r="H543" s="112"/>
      <c r="I543" s="110">
        <v>7005</v>
      </c>
      <c r="J543" s="111">
        <v>7005</v>
      </c>
      <c r="K543" s="111">
        <v>7005</v>
      </c>
      <c r="L543" s="111">
        <v>7005</v>
      </c>
      <c r="M543" s="112"/>
    </row>
    <row r="544" spans="1:13" x14ac:dyDescent="0.2">
      <c r="A544" s="113" t="s">
        <v>15</v>
      </c>
      <c r="B544" s="113" t="s">
        <v>106</v>
      </c>
      <c r="C544" s="113" t="s">
        <v>223</v>
      </c>
      <c r="D544" s="114">
        <v>11472.85</v>
      </c>
      <c r="E544" s="115">
        <v>11472.85</v>
      </c>
      <c r="F544" s="115">
        <v>11472.85</v>
      </c>
      <c r="G544" s="115"/>
      <c r="H544" s="116"/>
      <c r="I544" s="114">
        <v>10806.5</v>
      </c>
      <c r="J544" s="115">
        <v>11216</v>
      </c>
      <c r="K544" s="115">
        <v>11216</v>
      </c>
      <c r="L544" s="115"/>
      <c r="M544" s="116"/>
    </row>
    <row r="545" spans="1:13" x14ac:dyDescent="0.2">
      <c r="A545" t="s">
        <v>15</v>
      </c>
      <c r="B545" t="s">
        <v>106</v>
      </c>
      <c r="C545" t="s">
        <v>224</v>
      </c>
      <c r="D545" s="110">
        <v>4935</v>
      </c>
      <c r="E545" s="111">
        <v>4935</v>
      </c>
      <c r="F545" s="111"/>
      <c r="G545" s="111"/>
      <c r="H545" s="112"/>
      <c r="I545" s="110">
        <v>4935</v>
      </c>
      <c r="J545" s="111">
        <v>4935</v>
      </c>
      <c r="K545" s="111"/>
      <c r="L545" s="111"/>
      <c r="M545" s="112"/>
    </row>
    <row r="546" spans="1:13" x14ac:dyDescent="0.2">
      <c r="A546" s="117" t="s">
        <v>15</v>
      </c>
      <c r="B546" s="117" t="s">
        <v>106</v>
      </c>
      <c r="C546" s="117" t="s">
        <v>225</v>
      </c>
      <c r="D546" s="118">
        <v>3780</v>
      </c>
      <c r="E546" s="119"/>
      <c r="F546" s="119"/>
      <c r="G546" s="119"/>
      <c r="H546" s="120"/>
      <c r="I546" s="118">
        <v>3780</v>
      </c>
      <c r="J546" s="119"/>
      <c r="K546" s="119"/>
      <c r="L546" s="119"/>
      <c r="M546" s="120"/>
    </row>
    <row r="547" spans="1:13" x14ac:dyDescent="0.2">
      <c r="A547" t="s">
        <v>15</v>
      </c>
      <c r="B547" t="s">
        <v>107</v>
      </c>
      <c r="C547" t="s">
        <v>222</v>
      </c>
      <c r="D547" s="110">
        <v>16877.25</v>
      </c>
      <c r="E547" s="111">
        <v>16877.25</v>
      </c>
      <c r="F547" s="111">
        <v>16877.25</v>
      </c>
      <c r="G547" s="111">
        <v>16877.25</v>
      </c>
      <c r="H547" s="112"/>
      <c r="I547" s="110">
        <v>16740</v>
      </c>
      <c r="J547" s="111">
        <v>16740</v>
      </c>
      <c r="K547" s="111">
        <v>16740</v>
      </c>
      <c r="L547" s="111">
        <v>16877.25</v>
      </c>
      <c r="M547" s="112"/>
    </row>
    <row r="548" spans="1:13" x14ac:dyDescent="0.2">
      <c r="A548" s="113" t="s">
        <v>15</v>
      </c>
      <c r="B548" s="113" t="s">
        <v>107</v>
      </c>
      <c r="C548" s="113" t="s">
        <v>223</v>
      </c>
      <c r="D548" s="114">
        <v>18971.900000000001</v>
      </c>
      <c r="E548" s="115">
        <v>18971.900000000001</v>
      </c>
      <c r="F548" s="115">
        <v>18971.900000000001</v>
      </c>
      <c r="G548" s="115"/>
      <c r="H548" s="116"/>
      <c r="I548" s="114">
        <v>17938.900000000001</v>
      </c>
      <c r="J548" s="115">
        <v>18958.900000000001</v>
      </c>
      <c r="K548" s="115">
        <v>18958.900000000001</v>
      </c>
      <c r="L548" s="115"/>
      <c r="M548" s="116"/>
    </row>
    <row r="549" spans="1:13" x14ac:dyDescent="0.2">
      <c r="A549" t="s">
        <v>15</v>
      </c>
      <c r="B549" t="s">
        <v>107</v>
      </c>
      <c r="C549" t="s">
        <v>224</v>
      </c>
      <c r="D549" s="110">
        <v>8327.5</v>
      </c>
      <c r="E549" s="111">
        <v>8327.5</v>
      </c>
      <c r="F549" s="111"/>
      <c r="G549" s="111"/>
      <c r="H549" s="112"/>
      <c r="I549" s="110">
        <v>8132.5</v>
      </c>
      <c r="J549" s="111">
        <v>8327.5</v>
      </c>
      <c r="K549" s="111"/>
      <c r="L549" s="111"/>
      <c r="M549" s="112"/>
    </row>
    <row r="550" spans="1:13" x14ac:dyDescent="0.2">
      <c r="A550" s="117" t="s">
        <v>15</v>
      </c>
      <c r="B550" s="117" t="s">
        <v>107</v>
      </c>
      <c r="C550" s="117" t="s">
        <v>225</v>
      </c>
      <c r="D550" s="118">
        <v>14738.5</v>
      </c>
      <c r="E550" s="119"/>
      <c r="F550" s="119"/>
      <c r="G550" s="119"/>
      <c r="H550" s="120"/>
      <c r="I550" s="118">
        <v>14428.5</v>
      </c>
      <c r="J550" s="119"/>
      <c r="K550" s="119"/>
      <c r="L550" s="119"/>
      <c r="M550" s="120"/>
    </row>
    <row r="551" spans="1:13" x14ac:dyDescent="0.2">
      <c r="A551" t="s">
        <v>15</v>
      </c>
      <c r="B551" t="s">
        <v>108</v>
      </c>
      <c r="C551" t="s">
        <v>222</v>
      </c>
      <c r="D551" s="110">
        <v>6767.5</v>
      </c>
      <c r="E551" s="111">
        <v>6767.5</v>
      </c>
      <c r="F551" s="111">
        <v>6767.5</v>
      </c>
      <c r="G551" s="111">
        <v>6767.5</v>
      </c>
      <c r="H551" s="112"/>
      <c r="I551" s="110">
        <v>6495.5</v>
      </c>
      <c r="J551" s="111">
        <v>6495.5</v>
      </c>
      <c r="K551" s="111">
        <v>6495.5</v>
      </c>
      <c r="L551" s="111">
        <v>6767.5</v>
      </c>
      <c r="M551" s="112"/>
    </row>
    <row r="552" spans="1:13" x14ac:dyDescent="0.2">
      <c r="A552" s="113" t="s">
        <v>15</v>
      </c>
      <c r="B552" s="113" t="s">
        <v>108</v>
      </c>
      <c r="C552" s="113" t="s">
        <v>223</v>
      </c>
      <c r="D552" s="114">
        <v>5052</v>
      </c>
      <c r="E552" s="115">
        <v>5052</v>
      </c>
      <c r="F552" s="115">
        <v>5052</v>
      </c>
      <c r="G552" s="115"/>
      <c r="H552" s="116"/>
      <c r="I552" s="114">
        <v>4817</v>
      </c>
      <c r="J552" s="115">
        <v>4817</v>
      </c>
      <c r="K552" s="115">
        <v>4817</v>
      </c>
      <c r="L552" s="115"/>
      <c r="M552" s="116"/>
    </row>
    <row r="553" spans="1:13" x14ac:dyDescent="0.2">
      <c r="A553" t="s">
        <v>15</v>
      </c>
      <c r="B553" t="s">
        <v>108</v>
      </c>
      <c r="C553" t="s">
        <v>224</v>
      </c>
      <c r="D553" s="110">
        <v>4755.5</v>
      </c>
      <c r="E553" s="111">
        <v>4755.5</v>
      </c>
      <c r="F553" s="111"/>
      <c r="G553" s="111"/>
      <c r="H553" s="112"/>
      <c r="I553" s="110">
        <v>4524.5</v>
      </c>
      <c r="J553" s="111">
        <v>4524.5</v>
      </c>
      <c r="K553" s="111"/>
      <c r="L553" s="111"/>
      <c r="M553" s="112"/>
    </row>
    <row r="554" spans="1:13" x14ac:dyDescent="0.2">
      <c r="A554" s="117" t="s">
        <v>15</v>
      </c>
      <c r="B554" s="117" t="s">
        <v>108</v>
      </c>
      <c r="C554" s="117" t="s">
        <v>225</v>
      </c>
      <c r="D554" s="118">
        <v>5558.64</v>
      </c>
      <c r="E554" s="119"/>
      <c r="F554" s="119"/>
      <c r="G554" s="119"/>
      <c r="H554" s="120"/>
      <c r="I554" s="118">
        <v>5213.6400000000003</v>
      </c>
      <c r="J554" s="119"/>
      <c r="K554" s="119"/>
      <c r="L554" s="119"/>
      <c r="M554" s="120"/>
    </row>
    <row r="555" spans="1:13" x14ac:dyDescent="0.2">
      <c r="A555" t="s">
        <v>15</v>
      </c>
      <c r="B555" t="s">
        <v>70</v>
      </c>
      <c r="C555" t="s">
        <v>222</v>
      </c>
      <c r="D555" s="110">
        <v>12439.5</v>
      </c>
      <c r="E555" s="111">
        <v>12154.5</v>
      </c>
      <c r="F555" s="111">
        <v>12154.5</v>
      </c>
      <c r="G555" s="111">
        <v>12154.5</v>
      </c>
      <c r="H555" s="112"/>
      <c r="I555" s="110">
        <v>10968.5</v>
      </c>
      <c r="J555" s="111">
        <v>11168.5</v>
      </c>
      <c r="K555" s="111">
        <v>11168.5</v>
      </c>
      <c r="L555" s="111">
        <v>11168.5</v>
      </c>
      <c r="M555" s="112"/>
    </row>
    <row r="556" spans="1:13" x14ac:dyDescent="0.2">
      <c r="A556" s="113" t="s">
        <v>15</v>
      </c>
      <c r="B556" s="113" t="s">
        <v>70</v>
      </c>
      <c r="C556" s="113" t="s">
        <v>223</v>
      </c>
      <c r="D556" s="114">
        <v>8685</v>
      </c>
      <c r="E556" s="115">
        <v>8685</v>
      </c>
      <c r="F556" s="115">
        <v>8685</v>
      </c>
      <c r="G556" s="115"/>
      <c r="H556" s="116"/>
      <c r="I556" s="114">
        <v>6137</v>
      </c>
      <c r="J556" s="115">
        <v>6137</v>
      </c>
      <c r="K556" s="115">
        <v>6137</v>
      </c>
      <c r="L556" s="115"/>
      <c r="M556" s="116"/>
    </row>
    <row r="557" spans="1:13" x14ac:dyDescent="0.2">
      <c r="A557" t="s">
        <v>15</v>
      </c>
      <c r="B557" t="s">
        <v>70</v>
      </c>
      <c r="C557" t="s">
        <v>224</v>
      </c>
      <c r="D557" s="110">
        <v>8930</v>
      </c>
      <c r="E557" s="111">
        <v>8930</v>
      </c>
      <c r="F557" s="111"/>
      <c r="G557" s="111"/>
      <c r="H557" s="112"/>
      <c r="I557" s="110">
        <v>8565</v>
      </c>
      <c r="J557" s="111">
        <v>8565</v>
      </c>
      <c r="K557" s="111"/>
      <c r="L557" s="111"/>
      <c r="M557" s="112"/>
    </row>
    <row r="558" spans="1:13" x14ac:dyDescent="0.2">
      <c r="A558" s="117" t="s">
        <v>15</v>
      </c>
      <c r="B558" s="117" t="s">
        <v>70</v>
      </c>
      <c r="C558" s="117" t="s">
        <v>225</v>
      </c>
      <c r="D558" s="118">
        <v>7496.5</v>
      </c>
      <c r="E558" s="119"/>
      <c r="F558" s="119"/>
      <c r="G558" s="119"/>
      <c r="H558" s="120"/>
      <c r="I558" s="118">
        <v>7096.5</v>
      </c>
      <c r="J558" s="119"/>
      <c r="K558" s="119"/>
      <c r="L558" s="119"/>
      <c r="M558" s="120"/>
    </row>
    <row r="559" spans="1:13" x14ac:dyDescent="0.2">
      <c r="A559" t="s">
        <v>15</v>
      </c>
      <c r="B559" t="s">
        <v>110</v>
      </c>
      <c r="C559" t="s">
        <v>222</v>
      </c>
      <c r="D559" s="110">
        <v>62865.9</v>
      </c>
      <c r="E559" s="111">
        <v>59948.85</v>
      </c>
      <c r="F559" s="111">
        <v>59941.85</v>
      </c>
      <c r="G559" s="111">
        <v>60987.85</v>
      </c>
      <c r="H559" s="112"/>
      <c r="I559" s="110">
        <v>26980.9</v>
      </c>
      <c r="J559" s="111">
        <v>46035.85</v>
      </c>
      <c r="K559" s="111">
        <v>49235.85</v>
      </c>
      <c r="L559" s="111">
        <v>49927.85</v>
      </c>
      <c r="M559" s="112"/>
    </row>
    <row r="560" spans="1:13" x14ac:dyDescent="0.2">
      <c r="A560" s="113" t="s">
        <v>15</v>
      </c>
      <c r="B560" s="113" t="s">
        <v>110</v>
      </c>
      <c r="C560" s="113" t="s">
        <v>223</v>
      </c>
      <c r="D560" s="114">
        <v>29301.75</v>
      </c>
      <c r="E560" s="115">
        <v>29056.6</v>
      </c>
      <c r="F560" s="115">
        <v>29788.6</v>
      </c>
      <c r="G560" s="115"/>
      <c r="H560" s="116"/>
      <c r="I560" s="114">
        <v>17208</v>
      </c>
      <c r="J560" s="115">
        <v>21607.599999999999</v>
      </c>
      <c r="K560" s="115">
        <v>23137.599999999999</v>
      </c>
      <c r="L560" s="115"/>
      <c r="M560" s="116"/>
    </row>
    <row r="561" spans="1:13" x14ac:dyDescent="0.2">
      <c r="A561" t="s">
        <v>15</v>
      </c>
      <c r="B561" t="s">
        <v>110</v>
      </c>
      <c r="C561" t="s">
        <v>224</v>
      </c>
      <c r="D561" s="110">
        <v>32182.400000000001</v>
      </c>
      <c r="E561" s="111">
        <v>30888.1</v>
      </c>
      <c r="F561" s="111"/>
      <c r="G561" s="111"/>
      <c r="H561" s="112"/>
      <c r="I561" s="110">
        <v>7987.65</v>
      </c>
      <c r="J561" s="111">
        <v>19676.099999999999</v>
      </c>
      <c r="K561" s="111"/>
      <c r="L561" s="111"/>
      <c r="M561" s="112"/>
    </row>
    <row r="562" spans="1:13" ht="13.5" thickBot="1" x14ac:dyDescent="0.25">
      <c r="A562" s="128" t="s">
        <v>15</v>
      </c>
      <c r="B562" s="128" t="s">
        <v>110</v>
      </c>
      <c r="C562" s="128" t="s">
        <v>225</v>
      </c>
      <c r="D562" s="129">
        <v>51987.15</v>
      </c>
      <c r="E562" s="130"/>
      <c r="F562" s="130"/>
      <c r="G562" s="130"/>
      <c r="H562" s="131"/>
      <c r="I562" s="129">
        <v>20279.400000000001</v>
      </c>
      <c r="J562" s="130"/>
      <c r="K562" s="130"/>
      <c r="L562" s="130"/>
      <c r="M562" s="131"/>
    </row>
    <row r="563" spans="1:13" x14ac:dyDescent="0.2">
      <c r="A563" s="132" t="s">
        <v>16</v>
      </c>
      <c r="B563" s="132" t="s">
        <v>104</v>
      </c>
      <c r="C563" s="132" t="s">
        <v>222</v>
      </c>
      <c r="D563" s="133">
        <v>2279776.34</v>
      </c>
      <c r="E563" s="134">
        <v>2231713.34</v>
      </c>
      <c r="F563" s="134">
        <v>2230209.84</v>
      </c>
      <c r="G563" s="134">
        <v>2228859.84</v>
      </c>
      <c r="H563" s="135"/>
      <c r="I563" s="133">
        <v>94781</v>
      </c>
      <c r="J563" s="134">
        <v>96353.79</v>
      </c>
      <c r="K563" s="134">
        <v>107872.39</v>
      </c>
      <c r="L563" s="134">
        <v>124722.05</v>
      </c>
      <c r="M563" s="135"/>
    </row>
    <row r="564" spans="1:13" x14ac:dyDescent="0.2">
      <c r="A564" s="113" t="s">
        <v>16</v>
      </c>
      <c r="B564" s="113" t="s">
        <v>104</v>
      </c>
      <c r="C564" s="113" t="s">
        <v>223</v>
      </c>
      <c r="D564" s="114">
        <v>3087541.36</v>
      </c>
      <c r="E564" s="115">
        <v>3074928.86</v>
      </c>
      <c r="F564" s="115">
        <v>3073244.83</v>
      </c>
      <c r="G564" s="115"/>
      <c r="H564" s="116"/>
      <c r="I564" s="114">
        <v>1073004.73</v>
      </c>
      <c r="J564" s="115">
        <v>1086225.23</v>
      </c>
      <c r="K564" s="115">
        <v>1099433.68</v>
      </c>
      <c r="L564" s="115"/>
      <c r="M564" s="116"/>
    </row>
    <row r="565" spans="1:13" x14ac:dyDescent="0.2">
      <c r="A565" t="s">
        <v>16</v>
      </c>
      <c r="B565" t="s">
        <v>104</v>
      </c>
      <c r="C565" t="s">
        <v>224</v>
      </c>
      <c r="D565" s="110">
        <v>856683.86</v>
      </c>
      <c r="E565" s="111">
        <v>845823.31</v>
      </c>
      <c r="F565" s="111"/>
      <c r="G565" s="111"/>
      <c r="H565" s="112"/>
      <c r="I565" s="110">
        <v>55510.3</v>
      </c>
      <c r="J565" s="111">
        <v>70659</v>
      </c>
      <c r="K565" s="111"/>
      <c r="L565" s="111"/>
      <c r="M565" s="112"/>
    </row>
    <row r="566" spans="1:13" x14ac:dyDescent="0.2">
      <c r="A566" s="117" t="s">
        <v>16</v>
      </c>
      <c r="B566" s="117" t="s">
        <v>104</v>
      </c>
      <c r="C566" s="117" t="s">
        <v>225</v>
      </c>
      <c r="D566" s="118">
        <v>1317349.7</v>
      </c>
      <c r="E566" s="119"/>
      <c r="F566" s="119"/>
      <c r="G566" s="119"/>
      <c r="H566" s="120"/>
      <c r="I566" s="118">
        <v>56899.53</v>
      </c>
      <c r="J566" s="119"/>
      <c r="K566" s="119"/>
      <c r="L566" s="119"/>
      <c r="M566" s="120"/>
    </row>
    <row r="567" spans="1:13" x14ac:dyDescent="0.2">
      <c r="A567" t="s">
        <v>16</v>
      </c>
      <c r="B567" t="s">
        <v>140</v>
      </c>
      <c r="C567" t="s">
        <v>222</v>
      </c>
      <c r="D567" s="110">
        <v>1169143.28</v>
      </c>
      <c r="E567" s="111">
        <v>116243.28</v>
      </c>
      <c r="F567" s="111">
        <v>1169243.28</v>
      </c>
      <c r="G567" s="111">
        <v>1169243.28</v>
      </c>
      <c r="H567" s="112"/>
      <c r="I567" s="110">
        <v>94.56</v>
      </c>
      <c r="J567" s="111">
        <v>94.53</v>
      </c>
      <c r="K567" s="111">
        <v>94.56</v>
      </c>
      <c r="L567" s="111">
        <v>94.56</v>
      </c>
      <c r="M567" s="112"/>
    </row>
    <row r="568" spans="1:13" x14ac:dyDescent="0.2">
      <c r="A568" s="113" t="s">
        <v>16</v>
      </c>
      <c r="B568" s="113" t="s">
        <v>140</v>
      </c>
      <c r="C568" s="113" t="s">
        <v>223</v>
      </c>
      <c r="D568" s="114">
        <v>1089312.28</v>
      </c>
      <c r="E568" s="115">
        <v>1089362.28</v>
      </c>
      <c r="F568" s="115">
        <v>1089512.28</v>
      </c>
      <c r="G568" s="115"/>
      <c r="H568" s="116"/>
      <c r="I568" s="114">
        <v>172.56</v>
      </c>
      <c r="J568" s="115">
        <v>172.56</v>
      </c>
      <c r="K568" s="115">
        <v>172.56</v>
      </c>
      <c r="L568" s="115"/>
      <c r="M568" s="116"/>
    </row>
    <row r="569" spans="1:13" x14ac:dyDescent="0.2">
      <c r="A569" t="s">
        <v>16</v>
      </c>
      <c r="B569" t="s">
        <v>140</v>
      </c>
      <c r="C569" t="s">
        <v>224</v>
      </c>
      <c r="D569" s="110">
        <v>212725.52</v>
      </c>
      <c r="E569" s="111">
        <v>212725.52</v>
      </c>
      <c r="F569" s="111"/>
      <c r="G569" s="111"/>
      <c r="H569" s="112"/>
      <c r="I569" s="110">
        <v>11.04</v>
      </c>
      <c r="J569" s="111">
        <v>11.04</v>
      </c>
      <c r="K569" s="111"/>
      <c r="L569" s="111"/>
      <c r="M569" s="112"/>
    </row>
    <row r="570" spans="1:13" x14ac:dyDescent="0.2">
      <c r="A570" s="117" t="s">
        <v>16</v>
      </c>
      <c r="B570" s="117" t="s">
        <v>140</v>
      </c>
      <c r="C570" s="117" t="s">
        <v>225</v>
      </c>
      <c r="D570" s="118">
        <v>480100.53</v>
      </c>
      <c r="E570" s="119"/>
      <c r="F570" s="119"/>
      <c r="G570" s="119"/>
      <c r="H570" s="120"/>
      <c r="I570" s="118">
        <v>1367.06</v>
      </c>
      <c r="J570" s="119"/>
      <c r="K570" s="119"/>
      <c r="L570" s="119"/>
      <c r="M570" s="120"/>
    </row>
    <row r="571" spans="1:13" x14ac:dyDescent="0.2">
      <c r="A571" t="s">
        <v>16</v>
      </c>
      <c r="B571" t="s">
        <v>105</v>
      </c>
      <c r="C571" t="s">
        <v>222</v>
      </c>
      <c r="D571" s="110">
        <v>1250547.69</v>
      </c>
      <c r="E571" s="111">
        <v>1245248.19</v>
      </c>
      <c r="F571" s="111">
        <v>1243000.19</v>
      </c>
      <c r="G571" s="111">
        <v>1239758.94</v>
      </c>
      <c r="H571" s="112"/>
      <c r="I571" s="110">
        <v>176850.8</v>
      </c>
      <c r="J571" s="111">
        <v>276953.26</v>
      </c>
      <c r="K571" s="111">
        <v>317485.81</v>
      </c>
      <c r="L571" s="111">
        <v>342714.41</v>
      </c>
      <c r="M571" s="112"/>
    </row>
    <row r="572" spans="1:13" x14ac:dyDescent="0.2">
      <c r="A572" s="113" t="s">
        <v>16</v>
      </c>
      <c r="B572" s="113" t="s">
        <v>105</v>
      </c>
      <c r="C572" s="113" t="s">
        <v>223</v>
      </c>
      <c r="D572" s="114">
        <v>1200234.58</v>
      </c>
      <c r="E572" s="115">
        <v>1205169.8</v>
      </c>
      <c r="F572" s="115">
        <v>1196210.8</v>
      </c>
      <c r="G572" s="115"/>
      <c r="H572" s="116"/>
      <c r="I572" s="114">
        <v>218443.04</v>
      </c>
      <c r="J572" s="115">
        <v>276950</v>
      </c>
      <c r="K572" s="115">
        <v>310284.02</v>
      </c>
      <c r="L572" s="115"/>
      <c r="M572" s="116"/>
    </row>
    <row r="573" spans="1:13" x14ac:dyDescent="0.2">
      <c r="A573" t="s">
        <v>16</v>
      </c>
      <c r="B573" t="s">
        <v>105</v>
      </c>
      <c r="C573" t="s">
        <v>224</v>
      </c>
      <c r="D573" s="110">
        <v>773521.11</v>
      </c>
      <c r="E573" s="111">
        <v>764911.13</v>
      </c>
      <c r="F573" s="111"/>
      <c r="G573" s="111"/>
      <c r="H573" s="112"/>
      <c r="I573" s="110">
        <v>79466.720000000001</v>
      </c>
      <c r="J573" s="111">
        <v>117444.25</v>
      </c>
      <c r="K573" s="111"/>
      <c r="L573" s="111"/>
      <c r="M573" s="112"/>
    </row>
    <row r="574" spans="1:13" x14ac:dyDescent="0.2">
      <c r="A574" s="117" t="s">
        <v>16</v>
      </c>
      <c r="B574" s="117" t="s">
        <v>105</v>
      </c>
      <c r="C574" s="117" t="s">
        <v>225</v>
      </c>
      <c r="D574" s="118">
        <v>911316.68</v>
      </c>
      <c r="E574" s="119"/>
      <c r="F574" s="119"/>
      <c r="G574" s="119"/>
      <c r="H574" s="120"/>
      <c r="I574" s="118">
        <v>132506.21</v>
      </c>
      <c r="J574" s="119"/>
      <c r="K574" s="119"/>
      <c r="L574" s="119"/>
      <c r="M574" s="120"/>
    </row>
    <row r="575" spans="1:13" x14ac:dyDescent="0.2">
      <c r="A575" t="s">
        <v>16</v>
      </c>
      <c r="B575" t="s">
        <v>111</v>
      </c>
      <c r="C575" t="s">
        <v>222</v>
      </c>
      <c r="D575" s="110">
        <v>36429</v>
      </c>
      <c r="E575" s="111">
        <v>35679</v>
      </c>
      <c r="F575" s="111">
        <v>35729</v>
      </c>
      <c r="G575" s="111">
        <v>35679</v>
      </c>
      <c r="H575" s="112"/>
      <c r="I575" s="110">
        <v>429</v>
      </c>
      <c r="J575" s="111">
        <v>479</v>
      </c>
      <c r="K575" s="111">
        <v>479</v>
      </c>
      <c r="L575" s="111">
        <v>479</v>
      </c>
      <c r="M575" s="112"/>
    </row>
    <row r="576" spans="1:13" x14ac:dyDescent="0.2">
      <c r="A576" s="113" t="s">
        <v>16</v>
      </c>
      <c r="B576" s="113" t="s">
        <v>111</v>
      </c>
      <c r="C576" s="113" t="s">
        <v>223</v>
      </c>
      <c r="D576" s="114">
        <v>60878.5</v>
      </c>
      <c r="E576" s="115">
        <v>61078.5</v>
      </c>
      <c r="F576" s="115">
        <v>61178.5</v>
      </c>
      <c r="G576" s="115"/>
      <c r="H576" s="116"/>
      <c r="I576" s="114">
        <v>274.5</v>
      </c>
      <c r="J576" s="115">
        <v>274.5</v>
      </c>
      <c r="K576" s="115">
        <v>324.5</v>
      </c>
      <c r="L576" s="115"/>
      <c r="M576" s="116"/>
    </row>
    <row r="577" spans="1:13" x14ac:dyDescent="0.2">
      <c r="A577" t="s">
        <v>16</v>
      </c>
      <c r="B577" t="s">
        <v>111</v>
      </c>
      <c r="C577" t="s">
        <v>224</v>
      </c>
      <c r="D577" s="110">
        <v>55086.5</v>
      </c>
      <c r="E577" s="111">
        <v>55182.5</v>
      </c>
      <c r="F577" s="111"/>
      <c r="G577" s="111"/>
      <c r="H577" s="112"/>
      <c r="I577" s="110">
        <v>72</v>
      </c>
      <c r="J577" s="111">
        <v>72</v>
      </c>
      <c r="K577" s="111"/>
      <c r="L577" s="111"/>
      <c r="M577" s="112"/>
    </row>
    <row r="578" spans="1:13" x14ac:dyDescent="0.2">
      <c r="A578" s="117" t="s">
        <v>16</v>
      </c>
      <c r="B578" s="117" t="s">
        <v>111</v>
      </c>
      <c r="C578" s="117" t="s">
        <v>225</v>
      </c>
      <c r="D578" s="118">
        <v>43483.5</v>
      </c>
      <c r="E578" s="119"/>
      <c r="F578" s="119"/>
      <c r="G578" s="119"/>
      <c r="H578" s="120"/>
      <c r="I578" s="118">
        <v>70</v>
      </c>
      <c r="J578" s="119"/>
      <c r="K578" s="119"/>
      <c r="L578" s="119"/>
      <c r="M578" s="120"/>
    </row>
    <row r="579" spans="1:13" x14ac:dyDescent="0.2">
      <c r="A579" s="124" t="s">
        <v>16</v>
      </c>
      <c r="B579" s="124" t="s">
        <v>109</v>
      </c>
      <c r="C579" s="124" t="s">
        <v>222</v>
      </c>
      <c r="D579" s="125">
        <v>1624235.69</v>
      </c>
      <c r="E579" s="126">
        <v>1618266.13</v>
      </c>
      <c r="F579" s="126">
        <v>1614575.03</v>
      </c>
      <c r="G579" s="126">
        <v>1609874.03</v>
      </c>
      <c r="H579" s="127"/>
      <c r="I579" s="125">
        <v>387674.62</v>
      </c>
      <c r="J579" s="126">
        <v>670761.56999999995</v>
      </c>
      <c r="K579" s="126">
        <v>767750.2</v>
      </c>
      <c r="L579" s="126">
        <v>857743.76</v>
      </c>
      <c r="M579" s="127"/>
    </row>
    <row r="580" spans="1:13" x14ac:dyDescent="0.2">
      <c r="A580" s="113" t="s">
        <v>16</v>
      </c>
      <c r="B580" s="113" t="s">
        <v>109</v>
      </c>
      <c r="C580" s="113" t="s">
        <v>223</v>
      </c>
      <c r="D580" s="114">
        <v>1353441.55</v>
      </c>
      <c r="E580" s="115">
        <v>1354208.55</v>
      </c>
      <c r="F580" s="115">
        <v>1348827.55</v>
      </c>
      <c r="G580" s="115"/>
      <c r="H580" s="116"/>
      <c r="I580" s="114">
        <v>379687.48</v>
      </c>
      <c r="J580" s="115">
        <v>527795.99</v>
      </c>
      <c r="K580" s="115">
        <v>605071.22</v>
      </c>
      <c r="L580" s="115"/>
      <c r="M580" s="116"/>
    </row>
    <row r="581" spans="1:13" x14ac:dyDescent="0.2">
      <c r="A581" t="s">
        <v>16</v>
      </c>
      <c r="B581" t="s">
        <v>109</v>
      </c>
      <c r="C581" t="s">
        <v>224</v>
      </c>
      <c r="D581" s="110">
        <v>543129.1</v>
      </c>
      <c r="E581" s="111">
        <v>544854.06000000006</v>
      </c>
      <c r="F581" s="111"/>
      <c r="G581" s="111"/>
      <c r="H581" s="112"/>
      <c r="I581" s="110">
        <v>102212.52</v>
      </c>
      <c r="J581" s="111">
        <v>180536.33</v>
      </c>
      <c r="K581" s="111"/>
      <c r="L581" s="111"/>
      <c r="M581" s="112"/>
    </row>
    <row r="582" spans="1:13" x14ac:dyDescent="0.2">
      <c r="A582" s="117" t="s">
        <v>16</v>
      </c>
      <c r="B582" s="117" t="s">
        <v>109</v>
      </c>
      <c r="C582" s="117" t="s">
        <v>225</v>
      </c>
      <c r="D582" s="118">
        <v>1343315.49</v>
      </c>
      <c r="E582" s="119"/>
      <c r="F582" s="119"/>
      <c r="G582" s="119"/>
      <c r="H582" s="120"/>
      <c r="I582" s="118">
        <v>230704.99</v>
      </c>
      <c r="J582" s="119"/>
      <c r="K582" s="119"/>
      <c r="L582" s="119"/>
      <c r="M582" s="120"/>
    </row>
    <row r="583" spans="1:13" x14ac:dyDescent="0.2">
      <c r="A583" t="s">
        <v>16</v>
      </c>
      <c r="B583" t="s">
        <v>106</v>
      </c>
      <c r="C583" t="s">
        <v>222</v>
      </c>
      <c r="D583" s="110">
        <v>1532318.32</v>
      </c>
      <c r="E583" s="111">
        <v>1528260.82</v>
      </c>
      <c r="F583" s="111">
        <v>1525894.82</v>
      </c>
      <c r="G583" s="111">
        <v>1523457.82</v>
      </c>
      <c r="H583" s="112"/>
      <c r="I583" s="110">
        <v>1517407.29</v>
      </c>
      <c r="J583" s="111">
        <v>1517601.82</v>
      </c>
      <c r="K583" s="111">
        <v>1515599.82</v>
      </c>
      <c r="L583" s="111">
        <v>1513261.82</v>
      </c>
      <c r="M583" s="112"/>
    </row>
    <row r="584" spans="1:13" x14ac:dyDescent="0.2">
      <c r="A584" s="113" t="s">
        <v>16</v>
      </c>
      <c r="B584" s="113" t="s">
        <v>106</v>
      </c>
      <c r="C584" s="113" t="s">
        <v>223</v>
      </c>
      <c r="D584" s="114">
        <v>1394236.77</v>
      </c>
      <c r="E584" s="115">
        <v>1382696.77</v>
      </c>
      <c r="F584" s="115">
        <v>1379014.77</v>
      </c>
      <c r="G584" s="115"/>
      <c r="H584" s="116"/>
      <c r="I584" s="114">
        <v>1385942.27</v>
      </c>
      <c r="J584" s="115">
        <v>1377041.77</v>
      </c>
      <c r="K584" s="115">
        <v>1373310.77</v>
      </c>
      <c r="L584" s="115"/>
      <c r="M584" s="116"/>
    </row>
    <row r="585" spans="1:13" x14ac:dyDescent="0.2">
      <c r="A585" t="s">
        <v>16</v>
      </c>
      <c r="B585" t="s">
        <v>106</v>
      </c>
      <c r="C585" t="s">
        <v>224</v>
      </c>
      <c r="D585" s="110">
        <v>783193.35</v>
      </c>
      <c r="E585" s="111">
        <v>781487.19</v>
      </c>
      <c r="F585" s="111"/>
      <c r="G585" s="111"/>
      <c r="H585" s="112"/>
      <c r="I585" s="110">
        <v>778689.19</v>
      </c>
      <c r="J585" s="111">
        <v>779183.19</v>
      </c>
      <c r="K585" s="111"/>
      <c r="L585" s="111"/>
      <c r="M585" s="112"/>
    </row>
    <row r="586" spans="1:13" x14ac:dyDescent="0.2">
      <c r="A586" s="117" t="s">
        <v>16</v>
      </c>
      <c r="B586" s="117" t="s">
        <v>106</v>
      </c>
      <c r="C586" s="117" t="s">
        <v>225</v>
      </c>
      <c r="D586" s="118">
        <v>879534.17</v>
      </c>
      <c r="E586" s="119"/>
      <c r="F586" s="119"/>
      <c r="G586" s="119"/>
      <c r="H586" s="120"/>
      <c r="I586" s="118">
        <v>871690.58</v>
      </c>
      <c r="J586" s="119"/>
      <c r="K586" s="119"/>
      <c r="L586" s="119"/>
      <c r="M586" s="120"/>
    </row>
    <row r="587" spans="1:13" x14ac:dyDescent="0.2">
      <c r="A587" t="s">
        <v>16</v>
      </c>
      <c r="B587" t="s">
        <v>107</v>
      </c>
      <c r="C587" t="s">
        <v>222</v>
      </c>
      <c r="D587" s="110">
        <v>2102571.83</v>
      </c>
      <c r="E587" s="111">
        <v>2123995.83</v>
      </c>
      <c r="F587" s="111">
        <v>2122721.83</v>
      </c>
      <c r="G587" s="111">
        <v>2121986.83</v>
      </c>
      <c r="H587" s="112"/>
      <c r="I587" s="110">
        <v>2097067.83</v>
      </c>
      <c r="J587" s="111">
        <v>2093559.83</v>
      </c>
      <c r="K587" s="111">
        <v>2092376.83</v>
      </c>
      <c r="L587" s="111">
        <v>2091823.83</v>
      </c>
      <c r="M587" s="112"/>
    </row>
    <row r="588" spans="1:13" x14ac:dyDescent="0.2">
      <c r="A588" s="113" t="s">
        <v>16</v>
      </c>
      <c r="B588" s="113" t="s">
        <v>107</v>
      </c>
      <c r="C588" s="113" t="s">
        <v>223</v>
      </c>
      <c r="D588" s="114">
        <v>2132477.83</v>
      </c>
      <c r="E588" s="115">
        <v>2121239.83</v>
      </c>
      <c r="F588" s="115">
        <v>2117280.83</v>
      </c>
      <c r="G588" s="115"/>
      <c r="H588" s="116"/>
      <c r="I588" s="114">
        <v>2123034.33</v>
      </c>
      <c r="J588" s="115">
        <v>2118830.33</v>
      </c>
      <c r="K588" s="115">
        <v>2114513.33</v>
      </c>
      <c r="L588" s="115"/>
      <c r="M588" s="116"/>
    </row>
    <row r="589" spans="1:13" x14ac:dyDescent="0.2">
      <c r="A589" t="s">
        <v>16</v>
      </c>
      <c r="B589" t="s">
        <v>107</v>
      </c>
      <c r="C589" t="s">
        <v>224</v>
      </c>
      <c r="D589" s="110">
        <v>1255305.79</v>
      </c>
      <c r="E589" s="111">
        <v>1245271.79</v>
      </c>
      <c r="F589" s="111"/>
      <c r="G589" s="111"/>
      <c r="H589" s="112"/>
      <c r="I589" s="110">
        <v>1187288.3400000001</v>
      </c>
      <c r="J589" s="111">
        <v>1177236.3400000001</v>
      </c>
      <c r="K589" s="111"/>
      <c r="L589" s="111"/>
      <c r="M589" s="112"/>
    </row>
    <row r="590" spans="1:13" x14ac:dyDescent="0.2">
      <c r="A590" s="117" t="s">
        <v>16</v>
      </c>
      <c r="B590" s="117" t="s">
        <v>107</v>
      </c>
      <c r="C590" s="117" t="s">
        <v>225</v>
      </c>
      <c r="D590" s="118">
        <v>1735716.71</v>
      </c>
      <c r="E590" s="119"/>
      <c r="F590" s="119"/>
      <c r="G590" s="119"/>
      <c r="H590" s="120"/>
      <c r="I590" s="118">
        <v>1731823.42</v>
      </c>
      <c r="J590" s="119"/>
      <c r="K590" s="119"/>
      <c r="L590" s="119"/>
      <c r="M590" s="120"/>
    </row>
    <row r="591" spans="1:13" x14ac:dyDescent="0.2">
      <c r="A591" t="s">
        <v>16</v>
      </c>
      <c r="B591" t="s">
        <v>108</v>
      </c>
      <c r="C591" t="s">
        <v>222</v>
      </c>
      <c r="D591" s="110">
        <v>222611.29</v>
      </c>
      <c r="E591" s="111">
        <v>221749.29</v>
      </c>
      <c r="F591" s="111">
        <v>221749.29</v>
      </c>
      <c r="G591" s="111">
        <v>221749.29</v>
      </c>
      <c r="H591" s="112"/>
      <c r="I591" s="110">
        <v>221456.29</v>
      </c>
      <c r="J591" s="111">
        <v>221287.29</v>
      </c>
      <c r="K591" s="111">
        <v>221518.29</v>
      </c>
      <c r="L591" s="111">
        <v>221518.29</v>
      </c>
      <c r="M591" s="112"/>
    </row>
    <row r="592" spans="1:13" x14ac:dyDescent="0.2">
      <c r="A592" s="113" t="s">
        <v>16</v>
      </c>
      <c r="B592" s="113" t="s">
        <v>108</v>
      </c>
      <c r="C592" s="113" t="s">
        <v>223</v>
      </c>
      <c r="D592" s="114">
        <v>242752.54</v>
      </c>
      <c r="E592" s="115">
        <v>242079.54</v>
      </c>
      <c r="F592" s="115">
        <v>242059.54</v>
      </c>
      <c r="G592" s="115"/>
      <c r="H592" s="116"/>
      <c r="I592" s="114">
        <v>240188.54</v>
      </c>
      <c r="J592" s="115">
        <v>240912.54</v>
      </c>
      <c r="K592" s="115">
        <v>241354.54</v>
      </c>
      <c r="L592" s="115"/>
      <c r="M592" s="116"/>
    </row>
    <row r="593" spans="1:13" x14ac:dyDescent="0.2">
      <c r="A593" t="s">
        <v>16</v>
      </c>
      <c r="B593" t="s">
        <v>108</v>
      </c>
      <c r="C593" t="s">
        <v>224</v>
      </c>
      <c r="D593" s="110">
        <v>233618.39</v>
      </c>
      <c r="E593" s="111">
        <v>231936.39</v>
      </c>
      <c r="F593" s="111"/>
      <c r="G593" s="111"/>
      <c r="H593" s="112"/>
      <c r="I593" s="110">
        <v>233095.39</v>
      </c>
      <c r="J593" s="111">
        <v>232117.39</v>
      </c>
      <c r="K593" s="111"/>
      <c r="L593" s="111"/>
      <c r="M593" s="112"/>
    </row>
    <row r="594" spans="1:13" x14ac:dyDescent="0.2">
      <c r="A594" s="117" t="s">
        <v>16</v>
      </c>
      <c r="B594" s="117" t="s">
        <v>108</v>
      </c>
      <c r="C594" s="117" t="s">
        <v>225</v>
      </c>
      <c r="D594" s="118">
        <v>282417.93</v>
      </c>
      <c r="E594" s="119"/>
      <c r="F594" s="119"/>
      <c r="G594" s="119"/>
      <c r="H594" s="120"/>
      <c r="I594" s="118">
        <v>27694.93</v>
      </c>
      <c r="J594" s="119"/>
      <c r="K594" s="119"/>
      <c r="L594" s="119"/>
      <c r="M594" s="120"/>
    </row>
    <row r="595" spans="1:13" x14ac:dyDescent="0.2">
      <c r="A595" t="s">
        <v>16</v>
      </c>
      <c r="B595" t="s">
        <v>70</v>
      </c>
      <c r="C595" t="s">
        <v>222</v>
      </c>
      <c r="D595" s="110">
        <v>539387.1</v>
      </c>
      <c r="E595" s="111">
        <v>538826.1</v>
      </c>
      <c r="F595" s="111">
        <v>538426.1</v>
      </c>
      <c r="G595" s="111">
        <v>538426.1</v>
      </c>
      <c r="H595" s="112"/>
      <c r="I595" s="110">
        <v>523321.1</v>
      </c>
      <c r="J595" s="111">
        <v>523730.1</v>
      </c>
      <c r="K595" s="111">
        <v>523730.1</v>
      </c>
      <c r="L595" s="111">
        <v>523730.1</v>
      </c>
      <c r="M595" s="112"/>
    </row>
    <row r="596" spans="1:13" x14ac:dyDescent="0.2">
      <c r="A596" s="113" t="s">
        <v>16</v>
      </c>
      <c r="B596" s="113" t="s">
        <v>70</v>
      </c>
      <c r="C596" s="113" t="s">
        <v>223</v>
      </c>
      <c r="D596" s="114">
        <v>573039.21</v>
      </c>
      <c r="E596" s="115">
        <v>559648.5</v>
      </c>
      <c r="F596" s="115">
        <v>559648.5</v>
      </c>
      <c r="G596" s="115"/>
      <c r="H596" s="116"/>
      <c r="I596" s="114">
        <v>548316.5</v>
      </c>
      <c r="J596" s="115">
        <v>547915.5</v>
      </c>
      <c r="K596" s="115">
        <v>547925.5</v>
      </c>
      <c r="L596" s="115"/>
      <c r="M596" s="116"/>
    </row>
    <row r="597" spans="1:13" x14ac:dyDescent="0.2">
      <c r="A597" t="s">
        <v>16</v>
      </c>
      <c r="B597" t="s">
        <v>70</v>
      </c>
      <c r="C597" t="s">
        <v>224</v>
      </c>
      <c r="D597" s="110">
        <v>427840.37</v>
      </c>
      <c r="E597" s="111">
        <v>427833.87</v>
      </c>
      <c r="F597" s="111"/>
      <c r="G597" s="111"/>
      <c r="H597" s="112"/>
      <c r="I597" s="110">
        <v>415744.3</v>
      </c>
      <c r="J597" s="111">
        <v>415747.87</v>
      </c>
      <c r="K597" s="111"/>
      <c r="L597" s="111"/>
      <c r="M597" s="112"/>
    </row>
    <row r="598" spans="1:13" x14ac:dyDescent="0.2">
      <c r="A598" s="117" t="s">
        <v>16</v>
      </c>
      <c r="B598" s="117" t="s">
        <v>70</v>
      </c>
      <c r="C598" s="117" t="s">
        <v>225</v>
      </c>
      <c r="D598" s="118">
        <v>517337</v>
      </c>
      <c r="E598" s="119"/>
      <c r="F598" s="119"/>
      <c r="G598" s="119"/>
      <c r="H598" s="120"/>
      <c r="I598" s="118">
        <v>502064</v>
      </c>
      <c r="J598" s="119"/>
      <c r="K598" s="119"/>
      <c r="L598" s="119"/>
      <c r="M598" s="120"/>
    </row>
    <row r="599" spans="1:13" x14ac:dyDescent="0.2">
      <c r="A599" t="s">
        <v>16</v>
      </c>
      <c r="B599" t="s">
        <v>110</v>
      </c>
      <c r="C599" t="s">
        <v>222</v>
      </c>
      <c r="D599" s="110">
        <v>3136283.98</v>
      </c>
      <c r="E599" s="111">
        <v>3298047.47</v>
      </c>
      <c r="F599" s="111">
        <v>3301958.66</v>
      </c>
      <c r="G599" s="111">
        <v>3330257.3</v>
      </c>
      <c r="H599" s="112"/>
      <c r="I599" s="110">
        <v>1632099.44</v>
      </c>
      <c r="J599" s="111">
        <v>2570700.2799999998</v>
      </c>
      <c r="K599" s="111">
        <v>2768344.59</v>
      </c>
      <c r="L599" s="111">
        <v>2842409.67</v>
      </c>
      <c r="M599" s="112"/>
    </row>
    <row r="600" spans="1:13" x14ac:dyDescent="0.2">
      <c r="A600" s="113" t="s">
        <v>16</v>
      </c>
      <c r="B600" s="113" t="s">
        <v>110</v>
      </c>
      <c r="C600" s="113" t="s">
        <v>223</v>
      </c>
      <c r="D600" s="114">
        <v>3382609.39</v>
      </c>
      <c r="E600" s="115">
        <v>3398472.48</v>
      </c>
      <c r="F600" s="115">
        <v>3557022.56</v>
      </c>
      <c r="G600" s="115"/>
      <c r="H600" s="116"/>
      <c r="I600" s="114">
        <v>1807337.8</v>
      </c>
      <c r="J600" s="115">
        <v>2508424.16</v>
      </c>
      <c r="K600" s="115">
        <v>2700853.47</v>
      </c>
      <c r="L600" s="115"/>
      <c r="M600" s="116"/>
    </row>
    <row r="601" spans="1:13" x14ac:dyDescent="0.2">
      <c r="A601" t="s">
        <v>16</v>
      </c>
      <c r="B601" t="s">
        <v>110</v>
      </c>
      <c r="C601" t="s">
        <v>224</v>
      </c>
      <c r="D601" s="110">
        <v>2030520.71</v>
      </c>
      <c r="E601" s="111">
        <v>2155735.27</v>
      </c>
      <c r="F601" s="111"/>
      <c r="G601" s="111"/>
      <c r="H601" s="112"/>
      <c r="I601" s="110">
        <v>793306.86</v>
      </c>
      <c r="J601" s="111">
        <v>1344208.27</v>
      </c>
      <c r="K601" s="111"/>
      <c r="L601" s="111"/>
      <c r="M601" s="112"/>
    </row>
    <row r="602" spans="1:13" ht="13.5" thickBot="1" x14ac:dyDescent="0.25">
      <c r="A602" s="128" t="s">
        <v>16</v>
      </c>
      <c r="B602" s="128" t="s">
        <v>110</v>
      </c>
      <c r="C602" s="128" t="s">
        <v>225</v>
      </c>
      <c r="D602" s="129">
        <v>4022999.78</v>
      </c>
      <c r="E602" s="130"/>
      <c r="F602" s="130"/>
      <c r="G602" s="130"/>
      <c r="H602" s="131"/>
      <c r="I602" s="129">
        <v>1621221.57</v>
      </c>
      <c r="J602" s="130"/>
      <c r="K602" s="130"/>
      <c r="L602" s="130"/>
      <c r="M602" s="131"/>
    </row>
    <row r="603" spans="1:13" x14ac:dyDescent="0.2">
      <c r="A603" s="132" t="s">
        <v>17</v>
      </c>
      <c r="B603" s="132" t="s">
        <v>104</v>
      </c>
      <c r="C603" s="132" t="s">
        <v>222</v>
      </c>
      <c r="D603" s="133">
        <v>3782348.7999999998</v>
      </c>
      <c r="E603" s="134">
        <v>3778463.3</v>
      </c>
      <c r="F603" s="134">
        <v>3774133.25</v>
      </c>
      <c r="G603" s="134">
        <v>3770540.25</v>
      </c>
      <c r="H603" s="135"/>
      <c r="I603" s="133">
        <v>56497.58</v>
      </c>
      <c r="J603" s="134">
        <v>79710.62</v>
      </c>
      <c r="K603" s="134">
        <v>95056.11</v>
      </c>
      <c r="L603" s="134">
        <v>114939.13</v>
      </c>
      <c r="M603" s="135"/>
    </row>
    <row r="604" spans="1:13" x14ac:dyDescent="0.2">
      <c r="A604" s="113" t="s">
        <v>17</v>
      </c>
      <c r="B604" s="113" t="s">
        <v>104</v>
      </c>
      <c r="C604" s="113" t="s">
        <v>223</v>
      </c>
      <c r="D604" s="114">
        <v>2260171.0699999998</v>
      </c>
      <c r="E604" s="115">
        <v>2259477.0699999998</v>
      </c>
      <c r="F604" s="115">
        <v>2257353.0699999998</v>
      </c>
      <c r="G604" s="115"/>
      <c r="H604" s="116"/>
      <c r="I604" s="114">
        <v>53112.45</v>
      </c>
      <c r="J604" s="115">
        <v>73981.740000000005</v>
      </c>
      <c r="K604" s="115">
        <v>91638.24</v>
      </c>
      <c r="L604" s="115"/>
      <c r="M604" s="116"/>
    </row>
    <row r="605" spans="1:13" x14ac:dyDescent="0.2">
      <c r="A605" t="s">
        <v>17</v>
      </c>
      <c r="B605" t="s">
        <v>104</v>
      </c>
      <c r="C605" t="s">
        <v>224</v>
      </c>
      <c r="D605" s="110">
        <v>506811.35</v>
      </c>
      <c r="E605" s="111">
        <v>505846.35</v>
      </c>
      <c r="F605" s="111"/>
      <c r="G605" s="111"/>
      <c r="H605" s="112"/>
      <c r="I605" s="110">
        <v>28427.599999999999</v>
      </c>
      <c r="J605" s="111">
        <v>37868.32</v>
      </c>
      <c r="K605" s="111"/>
      <c r="L605" s="111"/>
      <c r="M605" s="112"/>
    </row>
    <row r="606" spans="1:13" x14ac:dyDescent="0.2">
      <c r="A606" s="117" t="s">
        <v>17</v>
      </c>
      <c r="B606" s="117" t="s">
        <v>104</v>
      </c>
      <c r="C606" s="117" t="s">
        <v>225</v>
      </c>
      <c r="D606" s="118">
        <v>839232.42</v>
      </c>
      <c r="E606" s="119"/>
      <c r="F606" s="119"/>
      <c r="G606" s="119"/>
      <c r="H606" s="120"/>
      <c r="I606" s="118">
        <v>44012.56</v>
      </c>
      <c r="J606" s="119"/>
      <c r="K606" s="119"/>
      <c r="L606" s="119"/>
      <c r="M606" s="120"/>
    </row>
    <row r="607" spans="1:13" x14ac:dyDescent="0.2">
      <c r="A607" t="s">
        <v>17</v>
      </c>
      <c r="B607" t="s">
        <v>140</v>
      </c>
      <c r="C607" t="s">
        <v>222</v>
      </c>
      <c r="D607" s="110">
        <v>2899854</v>
      </c>
      <c r="E607" s="111">
        <v>2899804</v>
      </c>
      <c r="F607" s="111">
        <v>2899804</v>
      </c>
      <c r="G607" s="111">
        <v>2899754</v>
      </c>
      <c r="H607" s="112"/>
      <c r="I607" s="110">
        <v>241</v>
      </c>
      <c r="J607" s="111">
        <v>241</v>
      </c>
      <c r="K607" s="111">
        <v>241</v>
      </c>
      <c r="L607" s="111">
        <v>241</v>
      </c>
      <c r="M607" s="112"/>
    </row>
    <row r="608" spans="1:13" x14ac:dyDescent="0.2">
      <c r="A608" s="113" t="s">
        <v>17</v>
      </c>
      <c r="B608" s="113" t="s">
        <v>140</v>
      </c>
      <c r="C608" s="113" t="s">
        <v>223</v>
      </c>
      <c r="D608" s="114">
        <v>1062198</v>
      </c>
      <c r="E608" s="115">
        <v>1062148</v>
      </c>
      <c r="F608" s="115">
        <v>1062141</v>
      </c>
      <c r="G608" s="115"/>
      <c r="H608" s="116"/>
      <c r="I608" s="114">
        <v>689</v>
      </c>
      <c r="J608" s="115">
        <v>689</v>
      </c>
      <c r="K608" s="115">
        <v>696</v>
      </c>
      <c r="L608" s="115"/>
      <c r="M608" s="116"/>
    </row>
    <row r="609" spans="1:13" x14ac:dyDescent="0.2">
      <c r="A609" t="s">
        <v>17</v>
      </c>
      <c r="B609" t="s">
        <v>140</v>
      </c>
      <c r="C609" t="s">
        <v>224</v>
      </c>
      <c r="D609" s="110">
        <v>53855</v>
      </c>
      <c r="E609" s="111">
        <v>53755</v>
      </c>
      <c r="F609" s="111"/>
      <c r="G609" s="111"/>
      <c r="H609" s="112"/>
      <c r="I609" s="110">
        <v>125</v>
      </c>
      <c r="J609" s="111">
        <v>146</v>
      </c>
      <c r="K609" s="111"/>
      <c r="L609" s="111"/>
      <c r="M609" s="112"/>
    </row>
    <row r="610" spans="1:13" x14ac:dyDescent="0.2">
      <c r="A610" s="117" t="s">
        <v>17</v>
      </c>
      <c r="B610" s="117" t="s">
        <v>140</v>
      </c>
      <c r="C610" s="117" t="s">
        <v>225</v>
      </c>
      <c r="D610" s="118">
        <v>267898</v>
      </c>
      <c r="E610" s="119"/>
      <c r="F610" s="119"/>
      <c r="G610" s="119"/>
      <c r="H610" s="120"/>
      <c r="I610" s="118">
        <v>295</v>
      </c>
      <c r="J610" s="119"/>
      <c r="K610" s="119"/>
      <c r="L610" s="119"/>
      <c r="M610" s="120"/>
    </row>
    <row r="611" spans="1:13" x14ac:dyDescent="0.2">
      <c r="A611" t="s">
        <v>17</v>
      </c>
      <c r="B611" t="s">
        <v>105</v>
      </c>
      <c r="C611" t="s">
        <v>222</v>
      </c>
      <c r="D611" s="110">
        <v>578075.06999999995</v>
      </c>
      <c r="E611" s="111">
        <v>573383.81999999995</v>
      </c>
      <c r="F611" s="111">
        <v>572243.81999999995</v>
      </c>
      <c r="G611" s="111">
        <v>569042.5</v>
      </c>
      <c r="H611" s="112"/>
      <c r="I611" s="110">
        <v>138828.60999999999</v>
      </c>
      <c r="J611" s="111">
        <v>190734.74</v>
      </c>
      <c r="K611" s="111">
        <v>229591.06</v>
      </c>
      <c r="L611" s="111">
        <v>268788.56</v>
      </c>
      <c r="M611" s="112"/>
    </row>
    <row r="612" spans="1:13" x14ac:dyDescent="0.2">
      <c r="A612" s="113" t="s">
        <v>17</v>
      </c>
      <c r="B612" s="113" t="s">
        <v>105</v>
      </c>
      <c r="C612" s="113" t="s">
        <v>223</v>
      </c>
      <c r="D612" s="114">
        <v>551879.09</v>
      </c>
      <c r="E612" s="115">
        <v>550370.09</v>
      </c>
      <c r="F612" s="115">
        <v>548883.09</v>
      </c>
      <c r="G612" s="115"/>
      <c r="H612" s="116"/>
      <c r="I612" s="114">
        <v>147563.34</v>
      </c>
      <c r="J612" s="115">
        <v>180422.88</v>
      </c>
      <c r="K612" s="115">
        <v>209525.59</v>
      </c>
      <c r="L612" s="115"/>
      <c r="M612" s="116"/>
    </row>
    <row r="613" spans="1:13" x14ac:dyDescent="0.2">
      <c r="A613" t="s">
        <v>17</v>
      </c>
      <c r="B613" t="s">
        <v>105</v>
      </c>
      <c r="C613" t="s">
        <v>224</v>
      </c>
      <c r="D613" s="110">
        <v>373995.42</v>
      </c>
      <c r="E613" s="111">
        <v>373240.42</v>
      </c>
      <c r="F613" s="111"/>
      <c r="G613" s="111"/>
      <c r="H613" s="112"/>
      <c r="I613" s="110">
        <v>108641.06</v>
      </c>
      <c r="J613" s="111">
        <v>139278.44</v>
      </c>
      <c r="K613" s="111"/>
      <c r="L613" s="111"/>
      <c r="M613" s="112"/>
    </row>
    <row r="614" spans="1:13" x14ac:dyDescent="0.2">
      <c r="A614" s="117" t="s">
        <v>17</v>
      </c>
      <c r="B614" s="117" t="s">
        <v>105</v>
      </c>
      <c r="C614" s="117" t="s">
        <v>225</v>
      </c>
      <c r="D614" s="118">
        <v>417746.16</v>
      </c>
      <c r="E614" s="119"/>
      <c r="F614" s="119"/>
      <c r="G614" s="119"/>
      <c r="H614" s="120"/>
      <c r="I614" s="118">
        <v>104613.91</v>
      </c>
      <c r="J614" s="119"/>
      <c r="K614" s="119"/>
      <c r="L614" s="119"/>
      <c r="M614" s="120"/>
    </row>
    <row r="615" spans="1:13" x14ac:dyDescent="0.2">
      <c r="A615" t="s">
        <v>17</v>
      </c>
      <c r="B615" t="s">
        <v>111</v>
      </c>
      <c r="C615" t="s">
        <v>222</v>
      </c>
      <c r="D615" s="110">
        <v>103121.89</v>
      </c>
      <c r="E615" s="111">
        <v>100151.76</v>
      </c>
      <c r="F615" s="111">
        <v>91496.56</v>
      </c>
      <c r="G615" s="111">
        <v>77583.05</v>
      </c>
      <c r="H615" s="112"/>
      <c r="I615" s="110">
        <v>2628.6</v>
      </c>
      <c r="J615" s="111">
        <v>4159.6899999999996</v>
      </c>
      <c r="K615" s="111">
        <v>4448.59</v>
      </c>
      <c r="L615" s="111">
        <v>4843.87</v>
      </c>
      <c r="M615" s="112"/>
    </row>
    <row r="616" spans="1:13" x14ac:dyDescent="0.2">
      <c r="A616" s="113" t="s">
        <v>17</v>
      </c>
      <c r="B616" s="113" t="s">
        <v>111</v>
      </c>
      <c r="C616" s="113" t="s">
        <v>223</v>
      </c>
      <c r="D616" s="114">
        <v>61921.9</v>
      </c>
      <c r="E616" s="115">
        <v>60819.48</v>
      </c>
      <c r="F616" s="115">
        <v>52605.760000000002</v>
      </c>
      <c r="G616" s="115"/>
      <c r="H616" s="116"/>
      <c r="I616" s="114">
        <v>2714.4</v>
      </c>
      <c r="J616" s="115">
        <v>3620.4</v>
      </c>
      <c r="K616" s="115">
        <v>4794.3999999999996</v>
      </c>
      <c r="L616" s="115"/>
      <c r="M616" s="116"/>
    </row>
    <row r="617" spans="1:13" x14ac:dyDescent="0.2">
      <c r="A617" t="s">
        <v>17</v>
      </c>
      <c r="B617" t="s">
        <v>111</v>
      </c>
      <c r="C617" t="s">
        <v>224</v>
      </c>
      <c r="D617" s="110">
        <v>33531</v>
      </c>
      <c r="E617" s="111">
        <v>28121.66</v>
      </c>
      <c r="F617" s="111"/>
      <c r="G617" s="111"/>
      <c r="H617" s="112"/>
      <c r="I617" s="110">
        <v>2644.5</v>
      </c>
      <c r="J617" s="111">
        <v>2748</v>
      </c>
      <c r="K617" s="111"/>
      <c r="L617" s="111"/>
      <c r="M617" s="112"/>
    </row>
    <row r="618" spans="1:13" x14ac:dyDescent="0.2">
      <c r="A618" s="117" t="s">
        <v>17</v>
      </c>
      <c r="B618" s="117" t="s">
        <v>111</v>
      </c>
      <c r="C618" s="117" t="s">
        <v>225</v>
      </c>
      <c r="D618" s="118">
        <v>51750.45</v>
      </c>
      <c r="E618" s="119"/>
      <c r="F618" s="119"/>
      <c r="G618" s="119"/>
      <c r="H618" s="120"/>
      <c r="I618" s="118">
        <v>2022.98</v>
      </c>
      <c r="J618" s="119"/>
      <c r="K618" s="119"/>
      <c r="L618" s="119"/>
      <c r="M618" s="120"/>
    </row>
    <row r="619" spans="1:13" x14ac:dyDescent="0.2">
      <c r="A619" s="124" t="s">
        <v>17</v>
      </c>
      <c r="B619" s="124" t="s">
        <v>109</v>
      </c>
      <c r="C619" s="124" t="s">
        <v>222</v>
      </c>
      <c r="D619" s="125">
        <v>265423.58</v>
      </c>
      <c r="E619" s="126">
        <v>260914.08</v>
      </c>
      <c r="F619" s="126">
        <v>260355.08</v>
      </c>
      <c r="G619" s="126">
        <v>260308.08</v>
      </c>
      <c r="H619" s="127"/>
      <c r="I619" s="125">
        <v>52373.8</v>
      </c>
      <c r="J619" s="126">
        <v>93604.58</v>
      </c>
      <c r="K619" s="126">
        <v>111479.08</v>
      </c>
      <c r="L619" s="126">
        <v>121634.68</v>
      </c>
      <c r="M619" s="127"/>
    </row>
    <row r="620" spans="1:13" x14ac:dyDescent="0.2">
      <c r="A620" s="113" t="s">
        <v>17</v>
      </c>
      <c r="B620" s="113" t="s">
        <v>109</v>
      </c>
      <c r="C620" s="113" t="s">
        <v>223</v>
      </c>
      <c r="D620" s="114">
        <v>232618.06</v>
      </c>
      <c r="E620" s="115">
        <v>242215.06</v>
      </c>
      <c r="F620" s="115">
        <v>240052.06</v>
      </c>
      <c r="G620" s="115"/>
      <c r="H620" s="116"/>
      <c r="I620" s="114">
        <v>62445.06</v>
      </c>
      <c r="J620" s="115">
        <v>87193.81</v>
      </c>
      <c r="K620" s="115">
        <v>98528.51</v>
      </c>
      <c r="L620" s="115"/>
      <c r="M620" s="116"/>
    </row>
    <row r="621" spans="1:13" x14ac:dyDescent="0.2">
      <c r="A621" t="s">
        <v>17</v>
      </c>
      <c r="B621" t="s">
        <v>109</v>
      </c>
      <c r="C621" t="s">
        <v>224</v>
      </c>
      <c r="D621" s="110">
        <v>133779.5</v>
      </c>
      <c r="E621" s="111">
        <v>130796.5</v>
      </c>
      <c r="F621" s="111"/>
      <c r="G621" s="111"/>
      <c r="H621" s="112"/>
      <c r="I621" s="110">
        <v>29369.88</v>
      </c>
      <c r="J621" s="111">
        <v>46174.13</v>
      </c>
      <c r="K621" s="111"/>
      <c r="L621" s="111"/>
      <c r="M621" s="112"/>
    </row>
    <row r="622" spans="1:13" x14ac:dyDescent="0.2">
      <c r="A622" s="117" t="s">
        <v>17</v>
      </c>
      <c r="B622" s="117" t="s">
        <v>109</v>
      </c>
      <c r="C622" s="117" t="s">
        <v>225</v>
      </c>
      <c r="D622" s="118">
        <v>150442.22</v>
      </c>
      <c r="E622" s="119"/>
      <c r="F622" s="119"/>
      <c r="G622" s="119"/>
      <c r="H622" s="120"/>
      <c r="I622" s="118">
        <v>34005.97</v>
      </c>
      <c r="J622" s="119"/>
      <c r="K622" s="119"/>
      <c r="L622" s="119"/>
      <c r="M622" s="120"/>
    </row>
    <row r="623" spans="1:13" x14ac:dyDescent="0.2">
      <c r="A623" t="s">
        <v>17</v>
      </c>
      <c r="B623" t="s">
        <v>106</v>
      </c>
      <c r="C623" t="s">
        <v>222</v>
      </c>
      <c r="D623" s="110">
        <v>353440.74</v>
      </c>
      <c r="E623" s="111">
        <v>353430.74</v>
      </c>
      <c r="F623" s="111">
        <v>353540.74</v>
      </c>
      <c r="G623" s="111">
        <v>353540.74</v>
      </c>
      <c r="H623" s="112"/>
      <c r="I623" s="110">
        <v>347059.74</v>
      </c>
      <c r="J623" s="111">
        <v>348633.24</v>
      </c>
      <c r="K623" s="111">
        <v>349290.23999999999</v>
      </c>
      <c r="L623" s="111">
        <v>350201.24</v>
      </c>
      <c r="M623" s="112"/>
    </row>
    <row r="624" spans="1:13" x14ac:dyDescent="0.2">
      <c r="A624" s="113" t="s">
        <v>17</v>
      </c>
      <c r="B624" s="113" t="s">
        <v>106</v>
      </c>
      <c r="C624" s="113" t="s">
        <v>223</v>
      </c>
      <c r="D624" s="114">
        <v>380790.81</v>
      </c>
      <c r="E624" s="115">
        <v>332458.31</v>
      </c>
      <c r="F624" s="115">
        <v>331496.31</v>
      </c>
      <c r="G624" s="115"/>
      <c r="H624" s="116"/>
      <c r="I624" s="114">
        <v>325559.59999999998</v>
      </c>
      <c r="J624" s="115">
        <v>326561.59999999998</v>
      </c>
      <c r="K624" s="115">
        <v>328680.31</v>
      </c>
      <c r="L624" s="115"/>
      <c r="M624" s="116"/>
    </row>
    <row r="625" spans="1:13" x14ac:dyDescent="0.2">
      <c r="A625" t="s">
        <v>17</v>
      </c>
      <c r="B625" t="s">
        <v>106</v>
      </c>
      <c r="C625" t="s">
        <v>224</v>
      </c>
      <c r="D625" s="110">
        <v>166416.1</v>
      </c>
      <c r="E625" s="111">
        <v>165616.1</v>
      </c>
      <c r="F625" s="111"/>
      <c r="G625" s="111"/>
      <c r="H625" s="112"/>
      <c r="I625" s="110">
        <v>160392.79999999999</v>
      </c>
      <c r="J625" s="111">
        <v>161618.1</v>
      </c>
      <c r="K625" s="111"/>
      <c r="L625" s="111"/>
      <c r="M625" s="112"/>
    </row>
    <row r="626" spans="1:13" x14ac:dyDescent="0.2">
      <c r="A626" s="117" t="s">
        <v>17</v>
      </c>
      <c r="B626" s="117" t="s">
        <v>106</v>
      </c>
      <c r="C626" s="117" t="s">
        <v>225</v>
      </c>
      <c r="D626" s="118">
        <v>215929.63</v>
      </c>
      <c r="E626" s="119"/>
      <c r="F626" s="119"/>
      <c r="G626" s="119"/>
      <c r="H626" s="120"/>
      <c r="I626" s="118">
        <v>205410.24</v>
      </c>
      <c r="J626" s="119"/>
      <c r="K626" s="119"/>
      <c r="L626" s="119"/>
      <c r="M626" s="120"/>
    </row>
    <row r="627" spans="1:13" x14ac:dyDescent="0.2">
      <c r="A627" t="s">
        <v>17</v>
      </c>
      <c r="B627" t="s">
        <v>107</v>
      </c>
      <c r="C627" t="s">
        <v>222</v>
      </c>
      <c r="D627" s="110">
        <v>410671.73</v>
      </c>
      <c r="E627" s="111">
        <v>410671.73</v>
      </c>
      <c r="F627" s="111">
        <v>410671.73</v>
      </c>
      <c r="G627" s="111">
        <v>410671.73</v>
      </c>
      <c r="H627" s="112"/>
      <c r="I627" s="110">
        <v>410438.83</v>
      </c>
      <c r="J627" s="111">
        <v>410608.81</v>
      </c>
      <c r="K627" s="111">
        <v>410608.81</v>
      </c>
      <c r="L627" s="111">
        <v>410608.81</v>
      </c>
      <c r="M627" s="112"/>
    </row>
    <row r="628" spans="1:13" x14ac:dyDescent="0.2">
      <c r="A628" s="113" t="s">
        <v>17</v>
      </c>
      <c r="B628" s="113" t="s">
        <v>107</v>
      </c>
      <c r="C628" s="113" t="s">
        <v>223</v>
      </c>
      <c r="D628" s="114">
        <v>395968.46</v>
      </c>
      <c r="E628" s="115">
        <v>395668.46</v>
      </c>
      <c r="F628" s="115">
        <v>395618.46</v>
      </c>
      <c r="G628" s="115"/>
      <c r="H628" s="116"/>
      <c r="I628" s="114">
        <v>393484.66</v>
      </c>
      <c r="J628" s="115">
        <v>394489.66</v>
      </c>
      <c r="K628" s="115">
        <v>394489.66</v>
      </c>
      <c r="L628" s="115"/>
      <c r="M628" s="116"/>
    </row>
    <row r="629" spans="1:13" x14ac:dyDescent="0.2">
      <c r="A629" t="s">
        <v>17</v>
      </c>
      <c r="B629" t="s">
        <v>107</v>
      </c>
      <c r="C629" t="s">
        <v>224</v>
      </c>
      <c r="D629" s="110">
        <v>195714.25</v>
      </c>
      <c r="E629" s="111">
        <v>195631.75</v>
      </c>
      <c r="F629" s="111"/>
      <c r="G629" s="111"/>
      <c r="H629" s="112"/>
      <c r="I629" s="110">
        <v>194803.75</v>
      </c>
      <c r="J629" s="111">
        <v>195083.75</v>
      </c>
      <c r="K629" s="111"/>
      <c r="L629" s="111"/>
      <c r="M629" s="112"/>
    </row>
    <row r="630" spans="1:13" x14ac:dyDescent="0.2">
      <c r="A630" s="117" t="s">
        <v>17</v>
      </c>
      <c r="B630" s="117" t="s">
        <v>107</v>
      </c>
      <c r="C630" s="117" t="s">
        <v>225</v>
      </c>
      <c r="D630" s="118">
        <v>306980.45</v>
      </c>
      <c r="E630" s="119"/>
      <c r="F630" s="119"/>
      <c r="G630" s="119"/>
      <c r="H630" s="120"/>
      <c r="I630" s="118">
        <v>301015.28000000003</v>
      </c>
      <c r="J630" s="119"/>
      <c r="K630" s="119"/>
      <c r="L630" s="119"/>
      <c r="M630" s="120"/>
    </row>
    <row r="631" spans="1:13" x14ac:dyDescent="0.2">
      <c r="A631" t="s">
        <v>17</v>
      </c>
      <c r="B631" t="s">
        <v>108</v>
      </c>
      <c r="C631" t="s">
        <v>222</v>
      </c>
      <c r="D631" s="110">
        <v>91724.3</v>
      </c>
      <c r="E631" s="111">
        <v>91724.3</v>
      </c>
      <c r="F631" s="111">
        <v>91674.3</v>
      </c>
      <c r="G631" s="111">
        <v>91674.3</v>
      </c>
      <c r="H631" s="112"/>
      <c r="I631" s="110">
        <v>91374.3</v>
      </c>
      <c r="J631" s="111">
        <v>91529.3</v>
      </c>
      <c r="K631" s="111">
        <v>91529.3</v>
      </c>
      <c r="L631" s="111">
        <v>91529.3</v>
      </c>
      <c r="M631" s="112"/>
    </row>
    <row r="632" spans="1:13" x14ac:dyDescent="0.2">
      <c r="A632" s="113" t="s">
        <v>17</v>
      </c>
      <c r="B632" s="113" t="s">
        <v>108</v>
      </c>
      <c r="C632" s="113" t="s">
        <v>223</v>
      </c>
      <c r="D632" s="114">
        <v>112665.97</v>
      </c>
      <c r="E632" s="115">
        <v>112665.97</v>
      </c>
      <c r="F632" s="115">
        <v>112665.97</v>
      </c>
      <c r="G632" s="115"/>
      <c r="H632" s="116"/>
      <c r="I632" s="114">
        <v>111268.35</v>
      </c>
      <c r="J632" s="115">
        <v>112094.97</v>
      </c>
      <c r="K632" s="115">
        <v>112094.97</v>
      </c>
      <c r="L632" s="115"/>
      <c r="M632" s="116"/>
    </row>
    <row r="633" spans="1:13" x14ac:dyDescent="0.2">
      <c r="A633" t="s">
        <v>17</v>
      </c>
      <c r="B633" t="s">
        <v>108</v>
      </c>
      <c r="C633" t="s">
        <v>224</v>
      </c>
      <c r="D633" s="110">
        <v>105625.22</v>
      </c>
      <c r="E633" s="111">
        <v>105584.22</v>
      </c>
      <c r="F633" s="111"/>
      <c r="G633" s="111"/>
      <c r="H633" s="112"/>
      <c r="I633" s="110">
        <v>104874.72</v>
      </c>
      <c r="J633" s="111">
        <v>105449.72</v>
      </c>
      <c r="K633" s="111"/>
      <c r="L633" s="111"/>
      <c r="M633" s="112"/>
    </row>
    <row r="634" spans="1:13" x14ac:dyDescent="0.2">
      <c r="A634" s="117" t="s">
        <v>17</v>
      </c>
      <c r="B634" s="117" t="s">
        <v>108</v>
      </c>
      <c r="C634" s="117" t="s">
        <v>225</v>
      </c>
      <c r="D634" s="118">
        <v>100407.6</v>
      </c>
      <c r="E634" s="119"/>
      <c r="F634" s="119"/>
      <c r="G634" s="119"/>
      <c r="H634" s="120"/>
      <c r="I634" s="118">
        <v>98978.6</v>
      </c>
      <c r="J634" s="119"/>
      <c r="K634" s="119"/>
      <c r="L634" s="119"/>
      <c r="M634" s="120"/>
    </row>
    <row r="635" spans="1:13" x14ac:dyDescent="0.2">
      <c r="A635" t="s">
        <v>17</v>
      </c>
      <c r="B635" t="s">
        <v>70</v>
      </c>
      <c r="C635" t="s">
        <v>222</v>
      </c>
      <c r="D635" s="110">
        <v>161473.75</v>
      </c>
      <c r="E635" s="111">
        <v>159227.75</v>
      </c>
      <c r="F635" s="111">
        <v>159165.75</v>
      </c>
      <c r="G635" s="111">
        <v>159165.75</v>
      </c>
      <c r="H635" s="112"/>
      <c r="I635" s="110">
        <v>154072.9</v>
      </c>
      <c r="J635" s="111">
        <v>155031.54999999999</v>
      </c>
      <c r="K635" s="111">
        <v>155549.54999999999</v>
      </c>
      <c r="L635" s="111">
        <v>155559.54999999999</v>
      </c>
      <c r="M635" s="112"/>
    </row>
    <row r="636" spans="1:13" x14ac:dyDescent="0.2">
      <c r="A636" s="113" t="s">
        <v>17</v>
      </c>
      <c r="B636" s="113" t="s">
        <v>70</v>
      </c>
      <c r="C636" s="113" t="s">
        <v>223</v>
      </c>
      <c r="D636" s="114">
        <v>176366.6</v>
      </c>
      <c r="E636" s="115">
        <v>174358.6</v>
      </c>
      <c r="F636" s="115">
        <v>173909.1</v>
      </c>
      <c r="G636" s="115"/>
      <c r="H636" s="116"/>
      <c r="I636" s="114">
        <v>162057.25</v>
      </c>
      <c r="J636" s="115">
        <v>166256.18</v>
      </c>
      <c r="K636" s="115">
        <v>166767.03</v>
      </c>
      <c r="L636" s="115"/>
      <c r="M636" s="116"/>
    </row>
    <row r="637" spans="1:13" x14ac:dyDescent="0.2">
      <c r="A637" t="s">
        <v>17</v>
      </c>
      <c r="B637" t="s">
        <v>70</v>
      </c>
      <c r="C637" t="s">
        <v>224</v>
      </c>
      <c r="D637" s="110">
        <v>127995.12</v>
      </c>
      <c r="E637" s="111">
        <v>126255.12</v>
      </c>
      <c r="F637" s="111"/>
      <c r="G637" s="111"/>
      <c r="H637" s="112"/>
      <c r="I637" s="110">
        <v>111331.07</v>
      </c>
      <c r="J637" s="111">
        <v>116320.57</v>
      </c>
      <c r="K637" s="111"/>
      <c r="L637" s="111"/>
      <c r="M637" s="112"/>
    </row>
    <row r="638" spans="1:13" x14ac:dyDescent="0.2">
      <c r="A638" s="117" t="s">
        <v>17</v>
      </c>
      <c r="B638" s="117" t="s">
        <v>70</v>
      </c>
      <c r="C638" s="117" t="s">
        <v>225</v>
      </c>
      <c r="D638" s="118">
        <v>154780.75</v>
      </c>
      <c r="E638" s="119"/>
      <c r="F638" s="119"/>
      <c r="G638" s="119"/>
      <c r="H638" s="120"/>
      <c r="I638" s="118">
        <v>128315.25</v>
      </c>
      <c r="J638" s="119"/>
      <c r="K638" s="119"/>
      <c r="L638" s="119"/>
      <c r="M638" s="120"/>
    </row>
    <row r="639" spans="1:13" x14ac:dyDescent="0.2">
      <c r="A639" t="s">
        <v>17</v>
      </c>
      <c r="B639" t="s">
        <v>110</v>
      </c>
      <c r="C639" t="s">
        <v>222</v>
      </c>
      <c r="D639" s="110">
        <v>991640.32</v>
      </c>
      <c r="E639" s="111">
        <v>956021.25</v>
      </c>
      <c r="F639" s="111">
        <v>953888.62</v>
      </c>
      <c r="G639" s="111">
        <v>949189.33</v>
      </c>
      <c r="H639" s="112"/>
      <c r="I639" s="110">
        <v>499725.34</v>
      </c>
      <c r="J639" s="111">
        <v>767721.91</v>
      </c>
      <c r="K639" s="111">
        <v>794185.61</v>
      </c>
      <c r="L639" s="111">
        <v>810494.2</v>
      </c>
      <c r="M639" s="112"/>
    </row>
    <row r="640" spans="1:13" x14ac:dyDescent="0.2">
      <c r="A640" s="113" t="s">
        <v>17</v>
      </c>
      <c r="B640" s="113" t="s">
        <v>110</v>
      </c>
      <c r="C640" s="113" t="s">
        <v>223</v>
      </c>
      <c r="D640" s="114">
        <v>799854.07</v>
      </c>
      <c r="E640" s="115">
        <v>801999.33</v>
      </c>
      <c r="F640" s="115">
        <v>799159.32</v>
      </c>
      <c r="G640" s="115"/>
      <c r="H640" s="116"/>
      <c r="I640" s="114">
        <v>419496.39</v>
      </c>
      <c r="J640" s="115">
        <v>621227.06000000006</v>
      </c>
      <c r="K640" s="115">
        <v>643362.68000000005</v>
      </c>
      <c r="L640" s="115"/>
      <c r="M640" s="116"/>
    </row>
    <row r="641" spans="1:13" x14ac:dyDescent="0.2">
      <c r="A641" t="s">
        <v>17</v>
      </c>
      <c r="B641" t="s">
        <v>110</v>
      </c>
      <c r="C641" t="s">
        <v>224</v>
      </c>
      <c r="D641" s="110">
        <v>581353.06999999995</v>
      </c>
      <c r="E641" s="111">
        <v>578396.42000000004</v>
      </c>
      <c r="F641" s="111"/>
      <c r="G641" s="111"/>
      <c r="H641" s="112"/>
      <c r="I641" s="110">
        <v>250708.82</v>
      </c>
      <c r="J641" s="111">
        <v>419873.68</v>
      </c>
      <c r="K641" s="111"/>
      <c r="L641" s="111"/>
      <c r="M641" s="112"/>
    </row>
    <row r="642" spans="1:13" ht="13.5" thickBot="1" x14ac:dyDescent="0.25">
      <c r="A642" s="128" t="s">
        <v>17</v>
      </c>
      <c r="B642" s="128" t="s">
        <v>110</v>
      </c>
      <c r="C642" s="128" t="s">
        <v>225</v>
      </c>
      <c r="D642" s="129">
        <v>594421.12</v>
      </c>
      <c r="E642" s="130"/>
      <c r="F642" s="130"/>
      <c r="G642" s="130"/>
      <c r="H642" s="131"/>
      <c r="I642" s="129">
        <v>297346.98</v>
      </c>
      <c r="J642" s="130"/>
      <c r="K642" s="130"/>
      <c r="L642" s="130"/>
      <c r="M642" s="131"/>
    </row>
    <row r="643" spans="1:13" x14ac:dyDescent="0.2">
      <c r="A643" s="132" t="s">
        <v>18</v>
      </c>
      <c r="B643" s="132" t="s">
        <v>104</v>
      </c>
      <c r="C643" s="132" t="s">
        <v>222</v>
      </c>
      <c r="D643" s="133">
        <v>269743</v>
      </c>
      <c r="E643" s="134">
        <v>269693</v>
      </c>
      <c r="F643" s="134">
        <v>269593</v>
      </c>
      <c r="G643" s="134">
        <v>269543</v>
      </c>
      <c r="H643" s="135"/>
      <c r="I643" s="133">
        <v>4156.9799999999996</v>
      </c>
      <c r="J643" s="134">
        <v>7390.65</v>
      </c>
      <c r="K643" s="134">
        <v>11529.19</v>
      </c>
      <c r="L643" s="134">
        <v>15147.21</v>
      </c>
      <c r="M643" s="135"/>
    </row>
    <row r="644" spans="1:13" x14ac:dyDescent="0.2">
      <c r="A644" s="113" t="s">
        <v>18</v>
      </c>
      <c r="B644" s="113" t="s">
        <v>104</v>
      </c>
      <c r="C644" s="113" t="s">
        <v>223</v>
      </c>
      <c r="D644" s="114">
        <v>185314</v>
      </c>
      <c r="E644" s="115">
        <v>184628</v>
      </c>
      <c r="F644" s="115">
        <v>184598</v>
      </c>
      <c r="G644" s="115"/>
      <c r="H644" s="116"/>
      <c r="I644" s="114">
        <v>2710.76</v>
      </c>
      <c r="J644" s="115">
        <v>4491.93</v>
      </c>
      <c r="K644" s="115">
        <v>7039.71</v>
      </c>
      <c r="L644" s="115"/>
      <c r="M644" s="116"/>
    </row>
    <row r="645" spans="1:13" x14ac:dyDescent="0.2">
      <c r="A645" t="s">
        <v>18</v>
      </c>
      <c r="B645" t="s">
        <v>104</v>
      </c>
      <c r="C645" t="s">
        <v>224</v>
      </c>
      <c r="D645" s="110">
        <v>95254</v>
      </c>
      <c r="E645" s="111">
        <v>95972</v>
      </c>
      <c r="F645" s="111"/>
      <c r="G645" s="111"/>
      <c r="H645" s="112"/>
      <c r="I645" s="110">
        <v>1020.36</v>
      </c>
      <c r="J645" s="111">
        <v>3086.61</v>
      </c>
      <c r="K645" s="111"/>
      <c r="L645" s="111"/>
      <c r="M645" s="112"/>
    </row>
    <row r="646" spans="1:13" x14ac:dyDescent="0.2">
      <c r="A646" s="117" t="s">
        <v>18</v>
      </c>
      <c r="B646" s="117" t="s">
        <v>104</v>
      </c>
      <c r="C646" s="117" t="s">
        <v>225</v>
      </c>
      <c r="D646" s="118">
        <v>150314</v>
      </c>
      <c r="E646" s="119"/>
      <c r="F646" s="119"/>
      <c r="G646" s="119"/>
      <c r="H646" s="120"/>
      <c r="I646" s="118">
        <v>3851.21</v>
      </c>
      <c r="J646" s="119"/>
      <c r="K646" s="119"/>
      <c r="L646" s="119"/>
      <c r="M646" s="120"/>
    </row>
    <row r="647" spans="1:13" x14ac:dyDescent="0.2">
      <c r="A647" t="s">
        <v>18</v>
      </c>
      <c r="B647" t="s">
        <v>140</v>
      </c>
      <c r="C647" t="s">
        <v>222</v>
      </c>
      <c r="D647" s="110">
        <v>0</v>
      </c>
      <c r="E647" s="111">
        <v>105718</v>
      </c>
      <c r="F647" s="111">
        <v>105718</v>
      </c>
      <c r="G647" s="111">
        <v>105718</v>
      </c>
      <c r="H647" s="112"/>
      <c r="I647" s="110">
        <v>0</v>
      </c>
      <c r="J647" s="111">
        <v>0</v>
      </c>
      <c r="K647" s="111">
        <v>0</v>
      </c>
      <c r="L647" s="111">
        <v>0</v>
      </c>
      <c r="M647" s="112"/>
    </row>
    <row r="648" spans="1:13" x14ac:dyDescent="0.2">
      <c r="A648" s="113" t="s">
        <v>18</v>
      </c>
      <c r="B648" s="113" t="s">
        <v>140</v>
      </c>
      <c r="C648" s="113" t="s">
        <v>223</v>
      </c>
      <c r="D648" s="114">
        <v>55147</v>
      </c>
      <c r="E648" s="115">
        <v>55147</v>
      </c>
      <c r="F648" s="115">
        <v>55147</v>
      </c>
      <c r="G648" s="115"/>
      <c r="H648" s="116"/>
      <c r="I648" s="114">
        <v>25</v>
      </c>
      <c r="J648" s="115">
        <v>25</v>
      </c>
      <c r="K648" s="115">
        <v>25</v>
      </c>
      <c r="L648" s="115"/>
      <c r="M648" s="116"/>
    </row>
    <row r="649" spans="1:13" x14ac:dyDescent="0.2">
      <c r="A649" t="s">
        <v>18</v>
      </c>
      <c r="B649" t="s">
        <v>140</v>
      </c>
      <c r="C649" t="s">
        <v>224</v>
      </c>
      <c r="D649" s="110">
        <v>718</v>
      </c>
      <c r="E649" s="111">
        <v>718</v>
      </c>
      <c r="F649" s="111"/>
      <c r="G649" s="111"/>
      <c r="H649" s="112"/>
      <c r="I649" s="110">
        <v>0</v>
      </c>
      <c r="J649" s="111">
        <v>0</v>
      </c>
      <c r="K649" s="111"/>
      <c r="L649" s="111"/>
      <c r="M649" s="112"/>
    </row>
    <row r="650" spans="1:13" x14ac:dyDescent="0.2">
      <c r="A650" s="117" t="s">
        <v>18</v>
      </c>
      <c r="B650" s="117" t="s">
        <v>140</v>
      </c>
      <c r="C650" s="117" t="s">
        <v>225</v>
      </c>
      <c r="D650" s="118">
        <v>53736</v>
      </c>
      <c r="E650" s="119"/>
      <c r="F650" s="119"/>
      <c r="G650" s="119"/>
      <c r="H650" s="120"/>
      <c r="I650" s="118">
        <v>0</v>
      </c>
      <c r="J650" s="119"/>
      <c r="K650" s="119"/>
      <c r="L650" s="119"/>
      <c r="M650" s="120"/>
    </row>
    <row r="651" spans="1:13" x14ac:dyDescent="0.2">
      <c r="A651" t="s">
        <v>18</v>
      </c>
      <c r="B651" t="s">
        <v>105</v>
      </c>
      <c r="C651" t="s">
        <v>222</v>
      </c>
      <c r="D651" s="110">
        <v>62442</v>
      </c>
      <c r="E651" s="111">
        <v>62494</v>
      </c>
      <c r="F651" s="111">
        <v>62544</v>
      </c>
      <c r="G651" s="111">
        <v>62946</v>
      </c>
      <c r="H651" s="112"/>
      <c r="I651" s="110">
        <v>10642.94</v>
      </c>
      <c r="J651" s="111">
        <v>18803.52</v>
      </c>
      <c r="K651" s="111">
        <v>24565.79</v>
      </c>
      <c r="L651" s="111">
        <v>27422.400000000001</v>
      </c>
      <c r="M651" s="112"/>
    </row>
    <row r="652" spans="1:13" x14ac:dyDescent="0.2">
      <c r="A652" s="113" t="s">
        <v>18</v>
      </c>
      <c r="B652" s="113" t="s">
        <v>105</v>
      </c>
      <c r="C652" s="113" t="s">
        <v>223</v>
      </c>
      <c r="D652" s="114">
        <v>64742.5</v>
      </c>
      <c r="E652" s="115">
        <v>64742.5</v>
      </c>
      <c r="F652" s="115">
        <v>64392.5</v>
      </c>
      <c r="G652" s="115"/>
      <c r="H652" s="116"/>
      <c r="I652" s="114">
        <v>12206.47</v>
      </c>
      <c r="J652" s="115">
        <v>20855.099999999999</v>
      </c>
      <c r="K652" s="115">
        <v>26941.35</v>
      </c>
      <c r="L652" s="115"/>
      <c r="M652" s="116"/>
    </row>
    <row r="653" spans="1:13" x14ac:dyDescent="0.2">
      <c r="A653" t="s">
        <v>18</v>
      </c>
      <c r="B653" t="s">
        <v>105</v>
      </c>
      <c r="C653" t="s">
        <v>224</v>
      </c>
      <c r="D653" s="110">
        <v>39343</v>
      </c>
      <c r="E653" s="111">
        <v>38948</v>
      </c>
      <c r="F653" s="111"/>
      <c r="G653" s="111"/>
      <c r="H653" s="112"/>
      <c r="I653" s="110">
        <v>4947.5</v>
      </c>
      <c r="J653" s="111">
        <v>10618.36</v>
      </c>
      <c r="K653" s="111"/>
      <c r="L653" s="111"/>
      <c r="M653" s="112"/>
    </row>
    <row r="654" spans="1:13" x14ac:dyDescent="0.2">
      <c r="A654" s="117" t="s">
        <v>18</v>
      </c>
      <c r="B654" s="117" t="s">
        <v>105</v>
      </c>
      <c r="C654" s="117" t="s">
        <v>225</v>
      </c>
      <c r="D654" s="118">
        <v>65762</v>
      </c>
      <c r="E654" s="119"/>
      <c r="F654" s="119"/>
      <c r="G654" s="119"/>
      <c r="H654" s="120"/>
      <c r="I654" s="118">
        <v>13218.85</v>
      </c>
      <c r="J654" s="119"/>
      <c r="K654" s="119"/>
      <c r="L654" s="119"/>
      <c r="M654" s="120"/>
    </row>
    <row r="655" spans="1:13" x14ac:dyDescent="0.2">
      <c r="A655" t="s">
        <v>18</v>
      </c>
      <c r="B655" t="s">
        <v>111</v>
      </c>
      <c r="C655" t="s">
        <v>222</v>
      </c>
      <c r="D655" s="110">
        <v>3779</v>
      </c>
      <c r="E655" s="111">
        <v>3579</v>
      </c>
      <c r="F655" s="111">
        <v>3579</v>
      </c>
      <c r="G655" s="111">
        <v>3579</v>
      </c>
      <c r="H655" s="112"/>
      <c r="I655" s="110">
        <v>19</v>
      </c>
      <c r="J655" s="111">
        <v>307</v>
      </c>
      <c r="K655" s="111">
        <v>583</v>
      </c>
      <c r="L655" s="111">
        <v>583</v>
      </c>
      <c r="M655" s="112"/>
    </row>
    <row r="656" spans="1:13" x14ac:dyDescent="0.2">
      <c r="A656" s="113" t="s">
        <v>18</v>
      </c>
      <c r="B656" s="113" t="s">
        <v>111</v>
      </c>
      <c r="C656" s="113" t="s">
        <v>223</v>
      </c>
      <c r="D656" s="114">
        <v>3178</v>
      </c>
      <c r="E656" s="115">
        <v>3178</v>
      </c>
      <c r="F656" s="115">
        <v>3178</v>
      </c>
      <c r="G656" s="115"/>
      <c r="H656" s="116"/>
      <c r="I656" s="114">
        <v>358</v>
      </c>
      <c r="J656" s="115">
        <v>545</v>
      </c>
      <c r="K656" s="115">
        <v>555</v>
      </c>
      <c r="L656" s="115"/>
      <c r="M656" s="116"/>
    </row>
    <row r="657" spans="1:13" x14ac:dyDescent="0.2">
      <c r="A657" t="s">
        <v>18</v>
      </c>
      <c r="B657" t="s">
        <v>111</v>
      </c>
      <c r="C657" t="s">
        <v>224</v>
      </c>
      <c r="D657" s="110">
        <v>518</v>
      </c>
      <c r="E657" s="111">
        <v>518</v>
      </c>
      <c r="F657" s="111"/>
      <c r="G657" s="111"/>
      <c r="H657" s="112"/>
      <c r="I657" s="110">
        <v>0</v>
      </c>
      <c r="J657" s="111">
        <v>0</v>
      </c>
      <c r="K657" s="111"/>
      <c r="L657" s="111"/>
      <c r="M657" s="112"/>
    </row>
    <row r="658" spans="1:13" x14ac:dyDescent="0.2">
      <c r="A658" s="117" t="s">
        <v>18</v>
      </c>
      <c r="B658" s="117" t="s">
        <v>111</v>
      </c>
      <c r="C658" s="117" t="s">
        <v>225</v>
      </c>
      <c r="D658" s="118">
        <v>3806</v>
      </c>
      <c r="E658" s="119"/>
      <c r="F658" s="119"/>
      <c r="G658" s="119"/>
      <c r="H658" s="120"/>
      <c r="I658" s="118">
        <v>0</v>
      </c>
      <c r="J658" s="119"/>
      <c r="K658" s="119"/>
      <c r="L658" s="119"/>
      <c r="M658" s="120"/>
    </row>
    <row r="659" spans="1:13" x14ac:dyDescent="0.2">
      <c r="A659" s="124" t="s">
        <v>18</v>
      </c>
      <c r="B659" s="124" t="s">
        <v>109</v>
      </c>
      <c r="C659" s="124" t="s">
        <v>222</v>
      </c>
      <c r="D659" s="125">
        <v>123650</v>
      </c>
      <c r="E659" s="126">
        <v>123650</v>
      </c>
      <c r="F659" s="126">
        <v>123766</v>
      </c>
      <c r="G659" s="126">
        <v>123716</v>
      </c>
      <c r="H659" s="127"/>
      <c r="I659" s="125">
        <v>40487.339999999997</v>
      </c>
      <c r="J659" s="126">
        <v>71043.789999999994</v>
      </c>
      <c r="K659" s="126">
        <v>85586.91</v>
      </c>
      <c r="L659" s="126">
        <v>93731.11</v>
      </c>
      <c r="M659" s="127"/>
    </row>
    <row r="660" spans="1:13" x14ac:dyDescent="0.2">
      <c r="A660" s="113" t="s">
        <v>18</v>
      </c>
      <c r="B660" s="113" t="s">
        <v>109</v>
      </c>
      <c r="C660" s="113" t="s">
        <v>223</v>
      </c>
      <c r="D660" s="114">
        <v>101997</v>
      </c>
      <c r="E660" s="115">
        <v>101947</v>
      </c>
      <c r="F660" s="115">
        <v>102179</v>
      </c>
      <c r="G660" s="115"/>
      <c r="H660" s="116"/>
      <c r="I660" s="114">
        <v>33105.199999999997</v>
      </c>
      <c r="J660" s="115">
        <v>50806.400000000001</v>
      </c>
      <c r="K660" s="115">
        <v>59888.04</v>
      </c>
      <c r="L660" s="115"/>
      <c r="M660" s="116"/>
    </row>
    <row r="661" spans="1:13" x14ac:dyDescent="0.2">
      <c r="A661" t="s">
        <v>18</v>
      </c>
      <c r="B661" t="s">
        <v>109</v>
      </c>
      <c r="C661" t="s">
        <v>224</v>
      </c>
      <c r="D661" s="110">
        <v>60293.5</v>
      </c>
      <c r="E661" s="111">
        <v>60691.5</v>
      </c>
      <c r="F661" s="111"/>
      <c r="G661" s="111"/>
      <c r="H661" s="112"/>
      <c r="I661" s="110">
        <v>21305.25</v>
      </c>
      <c r="J661" s="111">
        <v>35334.5</v>
      </c>
      <c r="K661" s="111"/>
      <c r="L661" s="111"/>
      <c r="M661" s="112"/>
    </row>
    <row r="662" spans="1:13" x14ac:dyDescent="0.2">
      <c r="A662" s="117" t="s">
        <v>18</v>
      </c>
      <c r="B662" s="117" t="s">
        <v>109</v>
      </c>
      <c r="C662" s="117" t="s">
        <v>225</v>
      </c>
      <c r="D662" s="118">
        <v>108248.5</v>
      </c>
      <c r="E662" s="119"/>
      <c r="F662" s="119"/>
      <c r="G662" s="119"/>
      <c r="H662" s="120"/>
      <c r="I662" s="118">
        <v>36811.089999999997</v>
      </c>
      <c r="J662" s="119"/>
      <c r="K662" s="119"/>
      <c r="L662" s="119"/>
      <c r="M662" s="120"/>
    </row>
    <row r="663" spans="1:13" x14ac:dyDescent="0.2">
      <c r="A663" t="s">
        <v>18</v>
      </c>
      <c r="B663" t="s">
        <v>106</v>
      </c>
      <c r="C663" t="s">
        <v>222</v>
      </c>
      <c r="D663" s="110">
        <v>172296.18</v>
      </c>
      <c r="E663" s="111">
        <v>172296.18</v>
      </c>
      <c r="F663" s="111">
        <v>172296.18</v>
      </c>
      <c r="G663" s="111">
        <v>172296.18</v>
      </c>
      <c r="H663" s="112"/>
      <c r="I663" s="110">
        <v>172296.18</v>
      </c>
      <c r="J663" s="111">
        <v>172296.18</v>
      </c>
      <c r="K663" s="111">
        <v>172296.18</v>
      </c>
      <c r="L663" s="111">
        <v>172296.18</v>
      </c>
      <c r="M663" s="112"/>
    </row>
    <row r="664" spans="1:13" x14ac:dyDescent="0.2">
      <c r="A664" s="113" t="s">
        <v>18</v>
      </c>
      <c r="B664" s="113" t="s">
        <v>106</v>
      </c>
      <c r="C664" s="113" t="s">
        <v>223</v>
      </c>
      <c r="D664" s="114">
        <v>132963</v>
      </c>
      <c r="E664" s="115">
        <v>132963</v>
      </c>
      <c r="F664" s="115">
        <v>132903</v>
      </c>
      <c r="G664" s="115"/>
      <c r="H664" s="116"/>
      <c r="I664" s="114">
        <v>132828</v>
      </c>
      <c r="J664" s="115">
        <v>132878</v>
      </c>
      <c r="K664" s="115">
        <v>132818</v>
      </c>
      <c r="L664" s="115"/>
      <c r="M664" s="116"/>
    </row>
    <row r="665" spans="1:13" x14ac:dyDescent="0.2">
      <c r="A665" t="s">
        <v>18</v>
      </c>
      <c r="B665" t="s">
        <v>106</v>
      </c>
      <c r="C665" t="s">
        <v>224</v>
      </c>
      <c r="D665" s="110">
        <v>77440.460000000006</v>
      </c>
      <c r="E665" s="111">
        <v>77440.460000000006</v>
      </c>
      <c r="F665" s="111"/>
      <c r="G665" s="111"/>
      <c r="H665" s="112"/>
      <c r="I665" s="110">
        <v>77440.460000000006</v>
      </c>
      <c r="J665" s="111">
        <v>77440.460000000006</v>
      </c>
      <c r="K665" s="111"/>
      <c r="L665" s="111"/>
      <c r="M665" s="112"/>
    </row>
    <row r="666" spans="1:13" x14ac:dyDescent="0.2">
      <c r="A666" s="117" t="s">
        <v>18</v>
      </c>
      <c r="B666" s="117" t="s">
        <v>106</v>
      </c>
      <c r="C666" s="117" t="s">
        <v>225</v>
      </c>
      <c r="D666" s="118">
        <v>73513.23</v>
      </c>
      <c r="E666" s="119"/>
      <c r="F666" s="119"/>
      <c r="G666" s="119"/>
      <c r="H666" s="120"/>
      <c r="I666" s="118">
        <v>73463.23</v>
      </c>
      <c r="J666" s="119"/>
      <c r="K666" s="119"/>
      <c r="L666" s="119"/>
      <c r="M666" s="120"/>
    </row>
    <row r="667" spans="1:13" x14ac:dyDescent="0.2">
      <c r="A667" t="s">
        <v>18</v>
      </c>
      <c r="B667" t="s">
        <v>107</v>
      </c>
      <c r="C667" t="s">
        <v>222</v>
      </c>
      <c r="D667" s="110">
        <v>213523.69</v>
      </c>
      <c r="E667" s="111">
        <v>213523.69</v>
      </c>
      <c r="F667" s="111">
        <v>213523.69</v>
      </c>
      <c r="G667" s="111">
        <v>213523.69</v>
      </c>
      <c r="H667" s="112"/>
      <c r="I667" s="110">
        <v>213483.69</v>
      </c>
      <c r="J667" s="111">
        <v>213503.69</v>
      </c>
      <c r="K667" s="111">
        <v>213503.69</v>
      </c>
      <c r="L667" s="111">
        <v>213503.69</v>
      </c>
      <c r="M667" s="112"/>
    </row>
    <row r="668" spans="1:13" x14ac:dyDescent="0.2">
      <c r="A668" s="113" t="s">
        <v>18</v>
      </c>
      <c r="B668" s="113" t="s">
        <v>107</v>
      </c>
      <c r="C668" s="113" t="s">
        <v>223</v>
      </c>
      <c r="D668" s="114">
        <v>194381.96</v>
      </c>
      <c r="E668" s="115">
        <v>192116.96</v>
      </c>
      <c r="F668" s="115">
        <v>192116.96</v>
      </c>
      <c r="G668" s="115"/>
      <c r="H668" s="116"/>
      <c r="I668" s="114">
        <v>191656.95999999999</v>
      </c>
      <c r="J668" s="115">
        <v>192026.96</v>
      </c>
      <c r="K668" s="115">
        <v>192036.96</v>
      </c>
      <c r="L668" s="115"/>
      <c r="M668" s="116"/>
    </row>
    <row r="669" spans="1:13" x14ac:dyDescent="0.2">
      <c r="A669" t="s">
        <v>18</v>
      </c>
      <c r="B669" t="s">
        <v>107</v>
      </c>
      <c r="C669" t="s">
        <v>224</v>
      </c>
      <c r="D669" s="110">
        <v>129597.58</v>
      </c>
      <c r="E669" s="111">
        <v>129287.58</v>
      </c>
      <c r="F669" s="111"/>
      <c r="G669" s="111"/>
      <c r="H669" s="112"/>
      <c r="I669" s="110">
        <v>128522.58</v>
      </c>
      <c r="J669" s="111">
        <v>129287.58</v>
      </c>
      <c r="K669" s="111"/>
      <c r="L669" s="111"/>
      <c r="M669" s="112"/>
    </row>
    <row r="670" spans="1:13" x14ac:dyDescent="0.2">
      <c r="A670" s="117" t="s">
        <v>18</v>
      </c>
      <c r="B670" s="117" t="s">
        <v>107</v>
      </c>
      <c r="C670" s="117" t="s">
        <v>225</v>
      </c>
      <c r="D670" s="118">
        <v>107371.48</v>
      </c>
      <c r="E670" s="119"/>
      <c r="F670" s="119"/>
      <c r="G670" s="119"/>
      <c r="H670" s="120"/>
      <c r="I670" s="118">
        <v>106511.48</v>
      </c>
      <c r="J670" s="119"/>
      <c r="K670" s="119"/>
      <c r="L670" s="119"/>
      <c r="M670" s="120"/>
    </row>
    <row r="671" spans="1:13" x14ac:dyDescent="0.2">
      <c r="A671" t="s">
        <v>18</v>
      </c>
      <c r="B671" t="s">
        <v>108</v>
      </c>
      <c r="C671" t="s">
        <v>222</v>
      </c>
      <c r="D671" s="110">
        <v>54877.5</v>
      </c>
      <c r="E671" s="111">
        <v>54877.5</v>
      </c>
      <c r="F671" s="111">
        <v>54877.5</v>
      </c>
      <c r="G671" s="111">
        <v>54477.5</v>
      </c>
      <c r="H671" s="112"/>
      <c r="I671" s="110">
        <v>54436.5</v>
      </c>
      <c r="J671" s="111">
        <v>54436.5</v>
      </c>
      <c r="K671" s="111">
        <v>54436.5</v>
      </c>
      <c r="L671" s="111">
        <v>54436.5</v>
      </c>
      <c r="M671" s="112"/>
    </row>
    <row r="672" spans="1:13" x14ac:dyDescent="0.2">
      <c r="A672" s="113" t="s">
        <v>18</v>
      </c>
      <c r="B672" s="113" t="s">
        <v>108</v>
      </c>
      <c r="C672" s="113" t="s">
        <v>223</v>
      </c>
      <c r="D672" s="114">
        <v>49590</v>
      </c>
      <c r="E672" s="115">
        <v>49590</v>
      </c>
      <c r="F672" s="115">
        <v>49590</v>
      </c>
      <c r="G672" s="115"/>
      <c r="H672" s="116"/>
      <c r="I672" s="114">
        <v>49590</v>
      </c>
      <c r="J672" s="115">
        <v>49590</v>
      </c>
      <c r="K672" s="115">
        <v>49590</v>
      </c>
      <c r="L672" s="115"/>
      <c r="M672" s="116"/>
    </row>
    <row r="673" spans="1:13" x14ac:dyDescent="0.2">
      <c r="A673" t="s">
        <v>18</v>
      </c>
      <c r="B673" t="s">
        <v>108</v>
      </c>
      <c r="C673" t="s">
        <v>224</v>
      </c>
      <c r="D673" s="110">
        <v>51328</v>
      </c>
      <c r="E673" s="111">
        <v>51328</v>
      </c>
      <c r="F673" s="111"/>
      <c r="G673" s="111"/>
      <c r="H673" s="112"/>
      <c r="I673" s="110">
        <v>50928</v>
      </c>
      <c r="J673" s="111">
        <v>51328</v>
      </c>
      <c r="K673" s="111"/>
      <c r="L673" s="111"/>
      <c r="M673" s="112"/>
    </row>
    <row r="674" spans="1:13" x14ac:dyDescent="0.2">
      <c r="A674" s="117" t="s">
        <v>18</v>
      </c>
      <c r="B674" s="117" t="s">
        <v>108</v>
      </c>
      <c r="C674" s="117" t="s">
        <v>225</v>
      </c>
      <c r="D674" s="118">
        <v>61530</v>
      </c>
      <c r="E674" s="119"/>
      <c r="F674" s="119"/>
      <c r="G674" s="119"/>
      <c r="H674" s="120"/>
      <c r="I674" s="118">
        <v>61480</v>
      </c>
      <c r="J674" s="119"/>
      <c r="K674" s="119"/>
      <c r="L674" s="119"/>
      <c r="M674" s="120"/>
    </row>
    <row r="675" spans="1:13" x14ac:dyDescent="0.2">
      <c r="A675" t="s">
        <v>18</v>
      </c>
      <c r="B675" t="s">
        <v>70</v>
      </c>
      <c r="C675" t="s">
        <v>222</v>
      </c>
      <c r="D675" s="110">
        <v>53191</v>
      </c>
      <c r="E675" s="111">
        <v>52891</v>
      </c>
      <c r="F675" s="111">
        <v>52891</v>
      </c>
      <c r="G675" s="111">
        <v>52891</v>
      </c>
      <c r="H675" s="112"/>
      <c r="I675" s="110">
        <v>51809.16</v>
      </c>
      <c r="J675" s="111">
        <v>52119.5</v>
      </c>
      <c r="K675" s="111">
        <v>52119.5</v>
      </c>
      <c r="L675" s="111">
        <v>52119.5</v>
      </c>
      <c r="M675" s="112"/>
    </row>
    <row r="676" spans="1:13" x14ac:dyDescent="0.2">
      <c r="A676" s="113" t="s">
        <v>18</v>
      </c>
      <c r="B676" s="113" t="s">
        <v>70</v>
      </c>
      <c r="C676" s="113" t="s">
        <v>223</v>
      </c>
      <c r="D676" s="114">
        <v>59460.5</v>
      </c>
      <c r="E676" s="115">
        <v>59460.5</v>
      </c>
      <c r="F676" s="115">
        <v>59460.5</v>
      </c>
      <c r="G676" s="115"/>
      <c r="H676" s="116"/>
      <c r="I676" s="114">
        <v>58749.5</v>
      </c>
      <c r="J676" s="115">
        <v>59016.5</v>
      </c>
      <c r="K676" s="115">
        <v>59026.5</v>
      </c>
      <c r="L676" s="115"/>
      <c r="M676" s="116"/>
    </row>
    <row r="677" spans="1:13" x14ac:dyDescent="0.2">
      <c r="A677" t="s">
        <v>18</v>
      </c>
      <c r="B677" t="s">
        <v>70</v>
      </c>
      <c r="C677" t="s">
        <v>224</v>
      </c>
      <c r="D677" s="110">
        <v>40865.5</v>
      </c>
      <c r="E677" s="111">
        <v>40865.5</v>
      </c>
      <c r="F677" s="111"/>
      <c r="G677" s="111"/>
      <c r="H677" s="112"/>
      <c r="I677" s="110">
        <v>38446.5</v>
      </c>
      <c r="J677" s="111">
        <v>39329.5</v>
      </c>
      <c r="K677" s="111"/>
      <c r="L677" s="111"/>
      <c r="M677" s="112"/>
    </row>
    <row r="678" spans="1:13" x14ac:dyDescent="0.2">
      <c r="A678" s="117" t="s">
        <v>18</v>
      </c>
      <c r="B678" s="117" t="s">
        <v>70</v>
      </c>
      <c r="C678" s="117" t="s">
        <v>225</v>
      </c>
      <c r="D678" s="118">
        <v>65260.49</v>
      </c>
      <c r="E678" s="119"/>
      <c r="F678" s="119"/>
      <c r="G678" s="119"/>
      <c r="H678" s="120"/>
      <c r="I678" s="118">
        <v>62953.49</v>
      </c>
      <c r="J678" s="119"/>
      <c r="K678" s="119"/>
      <c r="L678" s="119"/>
      <c r="M678" s="120"/>
    </row>
    <row r="679" spans="1:13" x14ac:dyDescent="0.2">
      <c r="A679" t="s">
        <v>18</v>
      </c>
      <c r="B679" t="s">
        <v>110</v>
      </c>
      <c r="C679" t="s">
        <v>222</v>
      </c>
      <c r="D679" s="110">
        <v>280075.55</v>
      </c>
      <c r="E679" s="111">
        <v>269520.15000000002</v>
      </c>
      <c r="F679" s="111">
        <v>269231.05</v>
      </c>
      <c r="G679" s="111">
        <v>268075.05</v>
      </c>
      <c r="H679" s="112"/>
      <c r="I679" s="110">
        <v>143864.10999999999</v>
      </c>
      <c r="J679" s="111">
        <v>230815.88</v>
      </c>
      <c r="K679" s="111">
        <v>238969.47</v>
      </c>
      <c r="L679" s="111">
        <v>244991.9</v>
      </c>
      <c r="M679" s="112"/>
    </row>
    <row r="680" spans="1:13" x14ac:dyDescent="0.2">
      <c r="A680" s="113" t="s">
        <v>18</v>
      </c>
      <c r="B680" s="113" t="s">
        <v>110</v>
      </c>
      <c r="C680" s="113" t="s">
        <v>223</v>
      </c>
      <c r="D680" s="114">
        <v>274000.05</v>
      </c>
      <c r="E680" s="115">
        <v>268825.84999999998</v>
      </c>
      <c r="F680" s="115">
        <v>268122.25</v>
      </c>
      <c r="G680" s="115"/>
      <c r="H680" s="116"/>
      <c r="I680" s="114">
        <v>148658.29999999999</v>
      </c>
      <c r="J680" s="115">
        <v>201400.75</v>
      </c>
      <c r="K680" s="115">
        <v>232376.94</v>
      </c>
      <c r="L680" s="115"/>
      <c r="M680" s="116"/>
    </row>
    <row r="681" spans="1:13" x14ac:dyDescent="0.2">
      <c r="A681" t="s">
        <v>18</v>
      </c>
      <c r="B681" t="s">
        <v>110</v>
      </c>
      <c r="C681" t="s">
        <v>224</v>
      </c>
      <c r="D681" s="110">
        <v>183881.55</v>
      </c>
      <c r="E681" s="111">
        <v>175083.05</v>
      </c>
      <c r="F681" s="111"/>
      <c r="G681" s="111"/>
      <c r="H681" s="112"/>
      <c r="I681" s="110">
        <v>76847.600000000006</v>
      </c>
      <c r="J681" s="111">
        <v>140812.70000000001</v>
      </c>
      <c r="K681" s="111"/>
      <c r="L681" s="111"/>
      <c r="M681" s="112"/>
    </row>
    <row r="682" spans="1:13" ht="13.5" thickBot="1" x14ac:dyDescent="0.25">
      <c r="A682" s="128" t="s">
        <v>18</v>
      </c>
      <c r="B682" s="128" t="s">
        <v>110</v>
      </c>
      <c r="C682" s="128" t="s">
        <v>225</v>
      </c>
      <c r="D682" s="129">
        <v>250798.95</v>
      </c>
      <c r="E682" s="130"/>
      <c r="F682" s="130"/>
      <c r="G682" s="130"/>
      <c r="H682" s="131"/>
      <c r="I682" s="129">
        <v>110948.7</v>
      </c>
      <c r="J682" s="130"/>
      <c r="K682" s="130"/>
      <c r="L682" s="130"/>
      <c r="M682" s="131"/>
    </row>
    <row r="683" spans="1:13" x14ac:dyDescent="0.2">
      <c r="A683" s="132" t="s">
        <v>19</v>
      </c>
      <c r="B683" s="132" t="s">
        <v>104</v>
      </c>
      <c r="C683" s="132" t="s">
        <v>222</v>
      </c>
      <c r="D683" s="133">
        <v>38695</v>
      </c>
      <c r="E683" s="134">
        <v>38695</v>
      </c>
      <c r="F683" s="134">
        <v>38695</v>
      </c>
      <c r="G683" s="134">
        <v>38695</v>
      </c>
      <c r="H683" s="135"/>
      <c r="I683" s="133">
        <v>125</v>
      </c>
      <c r="J683" s="134">
        <v>1008.91</v>
      </c>
      <c r="K683" s="134">
        <v>1136.06</v>
      </c>
      <c r="L683" s="134">
        <v>1345</v>
      </c>
      <c r="M683" s="135"/>
    </row>
    <row r="684" spans="1:13" x14ac:dyDescent="0.2">
      <c r="A684" s="113" t="s">
        <v>19</v>
      </c>
      <c r="B684" s="113" t="s">
        <v>104</v>
      </c>
      <c r="C684" s="113" t="s">
        <v>223</v>
      </c>
      <c r="D684" s="114">
        <v>39383</v>
      </c>
      <c r="E684" s="115">
        <v>39383</v>
      </c>
      <c r="F684" s="115">
        <v>39383</v>
      </c>
      <c r="G684" s="115"/>
      <c r="H684" s="116"/>
      <c r="I684" s="114">
        <v>1637.44</v>
      </c>
      <c r="J684" s="115">
        <v>3631.16</v>
      </c>
      <c r="K684" s="115">
        <v>4696.62</v>
      </c>
      <c r="L684" s="115"/>
      <c r="M684" s="116"/>
    </row>
    <row r="685" spans="1:13" x14ac:dyDescent="0.2">
      <c r="A685" t="s">
        <v>19</v>
      </c>
      <c r="B685" t="s">
        <v>104</v>
      </c>
      <c r="C685" t="s">
        <v>224</v>
      </c>
      <c r="D685" s="110">
        <v>10665</v>
      </c>
      <c r="E685" s="111">
        <v>10665</v>
      </c>
      <c r="F685" s="111"/>
      <c r="G685" s="111"/>
      <c r="H685" s="112"/>
      <c r="I685" s="110">
        <v>550</v>
      </c>
      <c r="J685" s="111">
        <v>550</v>
      </c>
      <c r="K685" s="111"/>
      <c r="L685" s="111"/>
      <c r="M685" s="112"/>
    </row>
    <row r="686" spans="1:13" x14ac:dyDescent="0.2">
      <c r="A686" s="117" t="s">
        <v>19</v>
      </c>
      <c r="B686" s="117" t="s">
        <v>104</v>
      </c>
      <c r="C686" s="117" t="s">
        <v>225</v>
      </c>
      <c r="D686" s="118">
        <v>13956</v>
      </c>
      <c r="E686" s="119"/>
      <c r="F686" s="119"/>
      <c r="G686" s="119"/>
      <c r="H686" s="120"/>
      <c r="I686" s="118">
        <v>167</v>
      </c>
      <c r="J686" s="119"/>
      <c r="K686" s="119"/>
      <c r="L686" s="119"/>
      <c r="M686" s="120"/>
    </row>
    <row r="687" spans="1:13" x14ac:dyDescent="0.2">
      <c r="A687" t="s">
        <v>19</v>
      </c>
      <c r="B687" t="s">
        <v>140</v>
      </c>
      <c r="C687" t="s">
        <v>222</v>
      </c>
      <c r="D687" s="110">
        <v>0</v>
      </c>
      <c r="E687" s="111">
        <v>0</v>
      </c>
      <c r="F687" s="111">
        <v>0</v>
      </c>
      <c r="G687" s="111">
        <v>0</v>
      </c>
      <c r="H687" s="112"/>
      <c r="I687" s="110">
        <v>0</v>
      </c>
      <c r="J687" s="111">
        <v>0</v>
      </c>
      <c r="K687" s="111">
        <v>0</v>
      </c>
      <c r="L687" s="111">
        <v>0</v>
      </c>
      <c r="M687" s="112"/>
    </row>
    <row r="688" spans="1:13" x14ac:dyDescent="0.2">
      <c r="A688" s="113" t="s">
        <v>19</v>
      </c>
      <c r="B688" s="113" t="s">
        <v>140</v>
      </c>
      <c r="C688" s="113" t="s">
        <v>223</v>
      </c>
      <c r="D688" s="114">
        <v>0</v>
      </c>
      <c r="E688" s="115">
        <v>0</v>
      </c>
      <c r="F688" s="115">
        <v>0</v>
      </c>
      <c r="G688" s="115"/>
      <c r="H688" s="116"/>
      <c r="I688" s="114">
        <v>0</v>
      </c>
      <c r="J688" s="115">
        <v>0</v>
      </c>
      <c r="K688" s="115">
        <v>0</v>
      </c>
      <c r="L688" s="115"/>
      <c r="M688" s="116"/>
    </row>
    <row r="689" spans="1:13" x14ac:dyDescent="0.2">
      <c r="A689" t="s">
        <v>19</v>
      </c>
      <c r="B689" t="s">
        <v>140</v>
      </c>
      <c r="C689" t="s">
        <v>224</v>
      </c>
      <c r="D689" s="110">
        <v>0</v>
      </c>
      <c r="E689" s="111">
        <v>0</v>
      </c>
      <c r="F689" s="111"/>
      <c r="G689" s="111"/>
      <c r="H689" s="112"/>
      <c r="I689" s="110">
        <v>0</v>
      </c>
      <c r="J689" s="111">
        <v>0</v>
      </c>
      <c r="K689" s="111"/>
      <c r="L689" s="111"/>
      <c r="M689" s="112"/>
    </row>
    <row r="690" spans="1:13" x14ac:dyDescent="0.2">
      <c r="A690" s="117" t="s">
        <v>19</v>
      </c>
      <c r="B690" s="117" t="s">
        <v>140</v>
      </c>
      <c r="C690" s="117" t="s">
        <v>225</v>
      </c>
      <c r="D690" s="118">
        <v>0</v>
      </c>
      <c r="E690" s="119"/>
      <c r="F690" s="119"/>
      <c r="G690" s="119"/>
      <c r="H690" s="120"/>
      <c r="I690" s="118">
        <v>0</v>
      </c>
      <c r="J690" s="119"/>
      <c r="K690" s="119"/>
      <c r="L690" s="119"/>
      <c r="M690" s="120"/>
    </row>
    <row r="691" spans="1:13" x14ac:dyDescent="0.2">
      <c r="A691" t="s">
        <v>19</v>
      </c>
      <c r="B691" t="s">
        <v>105</v>
      </c>
      <c r="C691" t="s">
        <v>222</v>
      </c>
      <c r="D691" s="110">
        <v>25291.5</v>
      </c>
      <c r="E691" s="111">
        <v>26441.5</v>
      </c>
      <c r="F691" s="111">
        <v>26369.5</v>
      </c>
      <c r="G691" s="111">
        <v>25869.5</v>
      </c>
      <c r="H691" s="112"/>
      <c r="I691" s="110">
        <v>3776</v>
      </c>
      <c r="J691" s="111">
        <v>7863.5</v>
      </c>
      <c r="K691" s="111">
        <v>9013.5</v>
      </c>
      <c r="L691" s="111">
        <v>9201.94</v>
      </c>
      <c r="M691" s="112"/>
    </row>
    <row r="692" spans="1:13" x14ac:dyDescent="0.2">
      <c r="A692" s="113" t="s">
        <v>19</v>
      </c>
      <c r="B692" s="113" t="s">
        <v>105</v>
      </c>
      <c r="C692" s="113" t="s">
        <v>223</v>
      </c>
      <c r="D692" s="114">
        <v>22997.5</v>
      </c>
      <c r="E692" s="115">
        <v>22899.5</v>
      </c>
      <c r="F692" s="115">
        <v>22749.5</v>
      </c>
      <c r="G692" s="115"/>
      <c r="H692" s="116"/>
      <c r="I692" s="114">
        <v>5328.5</v>
      </c>
      <c r="J692" s="115">
        <v>8260.5</v>
      </c>
      <c r="K692" s="115">
        <v>9270.5</v>
      </c>
      <c r="L692" s="115"/>
      <c r="M692" s="116"/>
    </row>
    <row r="693" spans="1:13" x14ac:dyDescent="0.2">
      <c r="A693" t="s">
        <v>19</v>
      </c>
      <c r="B693" t="s">
        <v>105</v>
      </c>
      <c r="C693" t="s">
        <v>224</v>
      </c>
      <c r="D693" s="110">
        <v>14828</v>
      </c>
      <c r="E693" s="111">
        <v>14738</v>
      </c>
      <c r="F693" s="111"/>
      <c r="G693" s="111"/>
      <c r="H693" s="112"/>
      <c r="I693" s="110">
        <v>6124</v>
      </c>
      <c r="J693" s="111">
        <v>7411</v>
      </c>
      <c r="K693" s="111"/>
      <c r="L693" s="111"/>
      <c r="M693" s="112"/>
    </row>
    <row r="694" spans="1:13" x14ac:dyDescent="0.2">
      <c r="A694" s="117" t="s">
        <v>19</v>
      </c>
      <c r="B694" s="117" t="s">
        <v>105</v>
      </c>
      <c r="C694" s="117" t="s">
        <v>225</v>
      </c>
      <c r="D694" s="118">
        <v>20998.5</v>
      </c>
      <c r="E694" s="119"/>
      <c r="F694" s="119"/>
      <c r="G694" s="119"/>
      <c r="H694" s="120"/>
      <c r="I694" s="118">
        <v>7464.5</v>
      </c>
      <c r="J694" s="119"/>
      <c r="K694" s="119"/>
      <c r="L694" s="119"/>
      <c r="M694" s="120"/>
    </row>
    <row r="695" spans="1:13" x14ac:dyDescent="0.2">
      <c r="A695" t="s">
        <v>19</v>
      </c>
      <c r="B695" t="s">
        <v>111</v>
      </c>
      <c r="C695" t="s">
        <v>222</v>
      </c>
      <c r="D695" s="110">
        <v>564</v>
      </c>
      <c r="E695" s="111">
        <v>1065</v>
      </c>
      <c r="F695" s="111">
        <v>1065</v>
      </c>
      <c r="G695" s="111">
        <v>1065</v>
      </c>
      <c r="H695" s="112"/>
      <c r="I695" s="110">
        <v>14</v>
      </c>
      <c r="J695" s="111">
        <v>164</v>
      </c>
      <c r="K695" s="111">
        <v>164</v>
      </c>
      <c r="L695" s="111">
        <v>164</v>
      </c>
      <c r="M695" s="112"/>
    </row>
    <row r="696" spans="1:13" x14ac:dyDescent="0.2">
      <c r="A696" s="113" t="s">
        <v>19</v>
      </c>
      <c r="B696" s="113" t="s">
        <v>111</v>
      </c>
      <c r="C696" s="113" t="s">
        <v>223</v>
      </c>
      <c r="D696" s="114">
        <v>300</v>
      </c>
      <c r="E696" s="115">
        <v>300</v>
      </c>
      <c r="F696" s="115">
        <v>300</v>
      </c>
      <c r="G696" s="115"/>
      <c r="H696" s="116"/>
      <c r="I696" s="114">
        <v>300</v>
      </c>
      <c r="J696" s="115">
        <v>300</v>
      </c>
      <c r="K696" s="115">
        <v>300</v>
      </c>
      <c r="L696" s="115"/>
      <c r="M696" s="116"/>
    </row>
    <row r="697" spans="1:13" x14ac:dyDescent="0.2">
      <c r="A697" t="s">
        <v>19</v>
      </c>
      <c r="B697" t="s">
        <v>111</v>
      </c>
      <c r="C697" t="s">
        <v>224</v>
      </c>
      <c r="D697" s="110">
        <v>3943.5</v>
      </c>
      <c r="E697" s="111">
        <v>3943.5</v>
      </c>
      <c r="F697" s="111"/>
      <c r="G697" s="111"/>
      <c r="H697" s="112"/>
      <c r="I697" s="110">
        <v>3.5</v>
      </c>
      <c r="J697" s="111">
        <v>3.5</v>
      </c>
      <c r="K697" s="111"/>
      <c r="L697" s="111"/>
      <c r="M697" s="112"/>
    </row>
    <row r="698" spans="1:13" x14ac:dyDescent="0.2">
      <c r="A698" s="117" t="s">
        <v>19</v>
      </c>
      <c r="B698" s="117" t="s">
        <v>111</v>
      </c>
      <c r="C698" s="117" t="s">
        <v>225</v>
      </c>
      <c r="D698" s="118">
        <v>0</v>
      </c>
      <c r="E698" s="119"/>
      <c r="F698" s="119"/>
      <c r="G698" s="119"/>
      <c r="H698" s="120"/>
      <c r="I698" s="118">
        <v>0</v>
      </c>
      <c r="J698" s="119"/>
      <c r="K698" s="119"/>
      <c r="L698" s="119"/>
      <c r="M698" s="120"/>
    </row>
    <row r="699" spans="1:13" x14ac:dyDescent="0.2">
      <c r="A699" s="124" t="s">
        <v>19</v>
      </c>
      <c r="B699" s="124" t="s">
        <v>109</v>
      </c>
      <c r="C699" s="124" t="s">
        <v>222</v>
      </c>
      <c r="D699" s="125">
        <v>6530</v>
      </c>
      <c r="E699" s="126">
        <v>6530</v>
      </c>
      <c r="F699" s="126">
        <v>6530</v>
      </c>
      <c r="G699" s="126">
        <v>6530</v>
      </c>
      <c r="H699" s="127"/>
      <c r="I699" s="125">
        <v>3005</v>
      </c>
      <c r="J699" s="126">
        <v>3555</v>
      </c>
      <c r="K699" s="126">
        <v>4555</v>
      </c>
      <c r="L699" s="126">
        <v>4580</v>
      </c>
      <c r="M699" s="127"/>
    </row>
    <row r="700" spans="1:13" x14ac:dyDescent="0.2">
      <c r="A700" s="113" t="s">
        <v>19</v>
      </c>
      <c r="B700" s="113" t="s">
        <v>109</v>
      </c>
      <c r="C700" s="113" t="s">
        <v>223</v>
      </c>
      <c r="D700" s="114">
        <v>16277</v>
      </c>
      <c r="E700" s="115">
        <v>16327</v>
      </c>
      <c r="F700" s="115">
        <v>16327</v>
      </c>
      <c r="G700" s="115"/>
      <c r="H700" s="116"/>
      <c r="I700" s="114">
        <v>2870</v>
      </c>
      <c r="J700" s="115">
        <v>3968</v>
      </c>
      <c r="K700" s="115">
        <v>5295</v>
      </c>
      <c r="L700" s="115"/>
      <c r="M700" s="116"/>
    </row>
    <row r="701" spans="1:13" x14ac:dyDescent="0.2">
      <c r="A701" t="s">
        <v>19</v>
      </c>
      <c r="B701" t="s">
        <v>109</v>
      </c>
      <c r="C701" t="s">
        <v>224</v>
      </c>
      <c r="D701" s="110">
        <v>3905</v>
      </c>
      <c r="E701" s="111">
        <v>3905</v>
      </c>
      <c r="F701" s="111"/>
      <c r="G701" s="111"/>
      <c r="H701" s="112"/>
      <c r="I701" s="110">
        <v>1615</v>
      </c>
      <c r="J701" s="111">
        <v>2353</v>
      </c>
      <c r="K701" s="111"/>
      <c r="L701" s="111"/>
      <c r="M701" s="112"/>
    </row>
    <row r="702" spans="1:13" x14ac:dyDescent="0.2">
      <c r="A702" s="117" t="s">
        <v>19</v>
      </c>
      <c r="B702" s="117" t="s">
        <v>109</v>
      </c>
      <c r="C702" s="117" t="s">
        <v>225</v>
      </c>
      <c r="D702" s="118">
        <v>5632</v>
      </c>
      <c r="E702" s="119"/>
      <c r="F702" s="119"/>
      <c r="G702" s="119"/>
      <c r="H702" s="120"/>
      <c r="I702" s="118">
        <v>3417</v>
      </c>
      <c r="J702" s="119"/>
      <c r="K702" s="119"/>
      <c r="L702" s="119"/>
      <c r="M702" s="120"/>
    </row>
    <row r="703" spans="1:13" x14ac:dyDescent="0.2">
      <c r="A703" t="s">
        <v>19</v>
      </c>
      <c r="B703" t="s">
        <v>106</v>
      </c>
      <c r="C703" t="s">
        <v>222</v>
      </c>
      <c r="D703" s="110">
        <v>15765</v>
      </c>
      <c r="E703" s="111">
        <v>15765</v>
      </c>
      <c r="F703" s="111">
        <v>15765</v>
      </c>
      <c r="G703" s="111">
        <v>15765</v>
      </c>
      <c r="H703" s="112"/>
      <c r="I703" s="110">
        <v>15765</v>
      </c>
      <c r="J703" s="111">
        <v>15765</v>
      </c>
      <c r="K703" s="111">
        <v>15765</v>
      </c>
      <c r="L703" s="111">
        <v>15765</v>
      </c>
      <c r="M703" s="112"/>
    </row>
    <row r="704" spans="1:13" x14ac:dyDescent="0.2">
      <c r="A704" s="113" t="s">
        <v>19</v>
      </c>
      <c r="B704" s="113" t="s">
        <v>106</v>
      </c>
      <c r="C704" s="113" t="s">
        <v>223</v>
      </c>
      <c r="D704" s="114">
        <v>14210</v>
      </c>
      <c r="E704" s="115">
        <v>14210</v>
      </c>
      <c r="F704" s="115">
        <v>14210</v>
      </c>
      <c r="G704" s="115"/>
      <c r="H704" s="116"/>
      <c r="I704" s="114">
        <v>14210</v>
      </c>
      <c r="J704" s="115">
        <v>14210</v>
      </c>
      <c r="K704" s="115">
        <v>14210</v>
      </c>
      <c r="L704" s="115"/>
      <c r="M704" s="116"/>
    </row>
    <row r="705" spans="1:13" x14ac:dyDescent="0.2">
      <c r="A705" t="s">
        <v>19</v>
      </c>
      <c r="B705" t="s">
        <v>106</v>
      </c>
      <c r="C705" t="s">
        <v>224</v>
      </c>
      <c r="D705" s="110">
        <v>9720</v>
      </c>
      <c r="E705" s="111">
        <v>9720</v>
      </c>
      <c r="F705" s="111"/>
      <c r="G705" s="111"/>
      <c r="H705" s="112"/>
      <c r="I705" s="110">
        <v>9310</v>
      </c>
      <c r="J705" s="111">
        <v>9720</v>
      </c>
      <c r="K705" s="111"/>
      <c r="L705" s="111"/>
      <c r="M705" s="112"/>
    </row>
    <row r="706" spans="1:13" x14ac:dyDescent="0.2">
      <c r="A706" s="117" t="s">
        <v>19</v>
      </c>
      <c r="B706" s="117" t="s">
        <v>106</v>
      </c>
      <c r="C706" s="117" t="s">
        <v>225</v>
      </c>
      <c r="D706" s="118">
        <v>13088.5</v>
      </c>
      <c r="E706" s="119"/>
      <c r="F706" s="119"/>
      <c r="G706" s="119"/>
      <c r="H706" s="120"/>
      <c r="I706" s="118">
        <v>12658.5</v>
      </c>
      <c r="J706" s="119"/>
      <c r="K706" s="119"/>
      <c r="L706" s="119"/>
      <c r="M706" s="120"/>
    </row>
    <row r="707" spans="1:13" x14ac:dyDescent="0.2">
      <c r="A707" t="s">
        <v>19</v>
      </c>
      <c r="B707" t="s">
        <v>107</v>
      </c>
      <c r="C707" t="s">
        <v>222</v>
      </c>
      <c r="D707" s="110">
        <v>8856</v>
      </c>
      <c r="E707" s="111">
        <v>8856</v>
      </c>
      <c r="F707" s="111">
        <v>8856</v>
      </c>
      <c r="G707" s="111">
        <v>8856</v>
      </c>
      <c r="H707" s="112"/>
      <c r="I707" s="110">
        <v>8856</v>
      </c>
      <c r="J707" s="111">
        <v>8856</v>
      </c>
      <c r="K707" s="111">
        <v>8856</v>
      </c>
      <c r="L707" s="111">
        <v>8856</v>
      </c>
      <c r="M707" s="112"/>
    </row>
    <row r="708" spans="1:13" x14ac:dyDescent="0.2">
      <c r="A708" s="113" t="s">
        <v>19</v>
      </c>
      <c r="B708" s="113" t="s">
        <v>107</v>
      </c>
      <c r="C708" s="113" t="s">
        <v>223</v>
      </c>
      <c r="D708" s="114">
        <v>8897</v>
      </c>
      <c r="E708" s="115">
        <v>8897</v>
      </c>
      <c r="F708" s="115">
        <v>8897</v>
      </c>
      <c r="G708" s="115"/>
      <c r="H708" s="116"/>
      <c r="I708" s="114">
        <v>8587</v>
      </c>
      <c r="J708" s="115">
        <v>8897</v>
      </c>
      <c r="K708" s="115">
        <v>8897</v>
      </c>
      <c r="L708" s="115"/>
      <c r="M708" s="116"/>
    </row>
    <row r="709" spans="1:13" x14ac:dyDescent="0.2">
      <c r="A709" t="s">
        <v>19</v>
      </c>
      <c r="B709" t="s">
        <v>107</v>
      </c>
      <c r="C709" t="s">
        <v>224</v>
      </c>
      <c r="D709" s="110">
        <v>5165</v>
      </c>
      <c r="E709" s="111">
        <v>4865</v>
      </c>
      <c r="F709" s="111"/>
      <c r="G709" s="111"/>
      <c r="H709" s="112"/>
      <c r="I709" s="110">
        <v>4470</v>
      </c>
      <c r="J709" s="111">
        <v>4865</v>
      </c>
      <c r="K709" s="111"/>
      <c r="L709" s="111"/>
      <c r="M709" s="112"/>
    </row>
    <row r="710" spans="1:13" x14ac:dyDescent="0.2">
      <c r="A710" s="117" t="s">
        <v>19</v>
      </c>
      <c r="B710" s="117" t="s">
        <v>107</v>
      </c>
      <c r="C710" s="117" t="s">
        <v>225</v>
      </c>
      <c r="D710" s="118">
        <v>10261</v>
      </c>
      <c r="E710" s="119"/>
      <c r="F710" s="119"/>
      <c r="G710" s="119"/>
      <c r="H710" s="120"/>
      <c r="I710" s="118">
        <v>10261</v>
      </c>
      <c r="J710" s="119"/>
      <c r="K710" s="119"/>
      <c r="L710" s="119"/>
      <c r="M710" s="120"/>
    </row>
    <row r="711" spans="1:13" x14ac:dyDescent="0.2">
      <c r="A711" t="s">
        <v>19</v>
      </c>
      <c r="B711" t="s">
        <v>108</v>
      </c>
      <c r="C711" t="s">
        <v>222</v>
      </c>
      <c r="D711" s="110">
        <v>4180</v>
      </c>
      <c r="E711" s="111">
        <v>4180</v>
      </c>
      <c r="F711" s="111">
        <v>4180</v>
      </c>
      <c r="G711" s="111">
        <v>4180</v>
      </c>
      <c r="H711" s="112"/>
      <c r="I711" s="110">
        <v>4180</v>
      </c>
      <c r="J711" s="111">
        <v>4180</v>
      </c>
      <c r="K711" s="111">
        <v>4180</v>
      </c>
      <c r="L711" s="111">
        <v>4180</v>
      </c>
      <c r="M711" s="112"/>
    </row>
    <row r="712" spans="1:13" x14ac:dyDescent="0.2">
      <c r="A712" s="113" t="s">
        <v>19</v>
      </c>
      <c r="B712" s="113" t="s">
        <v>108</v>
      </c>
      <c r="C712" s="113" t="s">
        <v>223</v>
      </c>
      <c r="D712" s="114">
        <v>6298</v>
      </c>
      <c r="E712" s="115">
        <v>6298</v>
      </c>
      <c r="F712" s="115">
        <v>6298</v>
      </c>
      <c r="G712" s="115"/>
      <c r="H712" s="116"/>
      <c r="I712" s="114">
        <v>6298</v>
      </c>
      <c r="J712" s="115">
        <v>6298</v>
      </c>
      <c r="K712" s="115">
        <v>6298</v>
      </c>
      <c r="L712" s="115"/>
      <c r="M712" s="116"/>
    </row>
    <row r="713" spans="1:13" x14ac:dyDescent="0.2">
      <c r="A713" t="s">
        <v>19</v>
      </c>
      <c r="B713" t="s">
        <v>108</v>
      </c>
      <c r="C713" t="s">
        <v>224</v>
      </c>
      <c r="D713" s="110">
        <v>3492</v>
      </c>
      <c r="E713" s="111">
        <v>3492</v>
      </c>
      <c r="F713" s="111"/>
      <c r="G713" s="111"/>
      <c r="H713" s="112"/>
      <c r="I713" s="110">
        <v>3492</v>
      </c>
      <c r="J713" s="111">
        <v>3492</v>
      </c>
      <c r="K713" s="111"/>
      <c r="L713" s="111"/>
      <c r="M713" s="112"/>
    </row>
    <row r="714" spans="1:13" x14ac:dyDescent="0.2">
      <c r="A714" s="117" t="s">
        <v>19</v>
      </c>
      <c r="B714" s="117" t="s">
        <v>108</v>
      </c>
      <c r="C714" s="117" t="s">
        <v>225</v>
      </c>
      <c r="D714" s="118">
        <v>7179</v>
      </c>
      <c r="E714" s="119"/>
      <c r="F714" s="119"/>
      <c r="G714" s="119"/>
      <c r="H714" s="120"/>
      <c r="I714" s="118">
        <v>7179</v>
      </c>
      <c r="J714" s="119"/>
      <c r="K714" s="119"/>
      <c r="L714" s="119"/>
      <c r="M714" s="120"/>
    </row>
    <row r="715" spans="1:13" x14ac:dyDescent="0.2">
      <c r="A715" t="s">
        <v>19</v>
      </c>
      <c r="B715" t="s">
        <v>70</v>
      </c>
      <c r="C715" t="s">
        <v>222</v>
      </c>
      <c r="D715" s="110">
        <v>4568</v>
      </c>
      <c r="E715" s="111">
        <v>4170.5</v>
      </c>
      <c r="F715" s="111">
        <v>4170.5</v>
      </c>
      <c r="G715" s="111">
        <v>4170.5</v>
      </c>
      <c r="H715" s="112"/>
      <c r="I715" s="110">
        <v>3125.5</v>
      </c>
      <c r="J715" s="111">
        <v>3125.5</v>
      </c>
      <c r="K715" s="111">
        <v>3125.5</v>
      </c>
      <c r="L715" s="111">
        <v>3125.5</v>
      </c>
      <c r="M715" s="112"/>
    </row>
    <row r="716" spans="1:13" x14ac:dyDescent="0.2">
      <c r="A716" s="113" t="s">
        <v>19</v>
      </c>
      <c r="B716" s="113" t="s">
        <v>70</v>
      </c>
      <c r="C716" s="113" t="s">
        <v>223</v>
      </c>
      <c r="D716" s="114">
        <v>3472.5</v>
      </c>
      <c r="E716" s="115">
        <v>3472.5</v>
      </c>
      <c r="F716" s="115">
        <v>3472.5</v>
      </c>
      <c r="G716" s="115"/>
      <c r="H716" s="116"/>
      <c r="I716" s="114">
        <v>3222.5</v>
      </c>
      <c r="J716" s="115">
        <v>3222.5</v>
      </c>
      <c r="K716" s="115">
        <v>3222.5</v>
      </c>
      <c r="L716" s="115"/>
      <c r="M716" s="116"/>
    </row>
    <row r="717" spans="1:13" x14ac:dyDescent="0.2">
      <c r="A717" t="s">
        <v>19</v>
      </c>
      <c r="B717" t="s">
        <v>70</v>
      </c>
      <c r="C717" t="s">
        <v>224</v>
      </c>
      <c r="D717" s="110">
        <v>3734.5</v>
      </c>
      <c r="E717" s="111">
        <v>3734.5</v>
      </c>
      <c r="F717" s="111"/>
      <c r="G717" s="111"/>
      <c r="H717" s="112"/>
      <c r="I717" s="110">
        <v>3237</v>
      </c>
      <c r="J717" s="111">
        <v>3237</v>
      </c>
      <c r="K717" s="111"/>
      <c r="L717" s="111"/>
      <c r="M717" s="112"/>
    </row>
    <row r="718" spans="1:13" x14ac:dyDescent="0.2">
      <c r="A718" s="117" t="s">
        <v>19</v>
      </c>
      <c r="B718" s="117" t="s">
        <v>70</v>
      </c>
      <c r="C718" s="117" t="s">
        <v>225</v>
      </c>
      <c r="D718" s="118">
        <v>6522</v>
      </c>
      <c r="E718" s="119"/>
      <c r="F718" s="119"/>
      <c r="G718" s="119"/>
      <c r="H718" s="120"/>
      <c r="I718" s="118">
        <v>6072</v>
      </c>
      <c r="J718" s="119"/>
      <c r="K718" s="119"/>
      <c r="L718" s="119"/>
      <c r="M718" s="120"/>
    </row>
    <row r="719" spans="1:13" x14ac:dyDescent="0.2">
      <c r="A719" t="s">
        <v>19</v>
      </c>
      <c r="B719" t="s">
        <v>110</v>
      </c>
      <c r="C719" t="s">
        <v>222</v>
      </c>
      <c r="D719" s="110">
        <v>17484.2</v>
      </c>
      <c r="E719" s="111">
        <v>16653.55</v>
      </c>
      <c r="F719" s="111">
        <v>16532.8</v>
      </c>
      <c r="G719" s="111">
        <v>16532.8</v>
      </c>
      <c r="H719" s="112"/>
      <c r="I719" s="110">
        <v>8927.01</v>
      </c>
      <c r="J719" s="111">
        <v>12902.36</v>
      </c>
      <c r="K719" s="111">
        <v>14377.36</v>
      </c>
      <c r="L719" s="111">
        <v>14588.36</v>
      </c>
      <c r="M719" s="112"/>
    </row>
    <row r="720" spans="1:13" x14ac:dyDescent="0.2">
      <c r="A720" s="113" t="s">
        <v>19</v>
      </c>
      <c r="B720" s="113" t="s">
        <v>110</v>
      </c>
      <c r="C720" s="113" t="s">
        <v>223</v>
      </c>
      <c r="D720" s="114">
        <v>19523.45</v>
      </c>
      <c r="E720" s="115">
        <v>19034.2</v>
      </c>
      <c r="F720" s="115">
        <v>18768.2</v>
      </c>
      <c r="G720" s="115"/>
      <c r="H720" s="116"/>
      <c r="I720" s="114">
        <v>9097.4500000000007</v>
      </c>
      <c r="J720" s="115">
        <v>14518.2</v>
      </c>
      <c r="K720" s="115">
        <v>14947.2</v>
      </c>
      <c r="L720" s="115"/>
      <c r="M720" s="116"/>
    </row>
    <row r="721" spans="1:13" x14ac:dyDescent="0.2">
      <c r="A721" t="s">
        <v>19</v>
      </c>
      <c r="B721" t="s">
        <v>110</v>
      </c>
      <c r="C721" t="s">
        <v>224</v>
      </c>
      <c r="D721" s="110">
        <v>24676.400000000001</v>
      </c>
      <c r="E721" s="111">
        <v>25264.3</v>
      </c>
      <c r="F721" s="111"/>
      <c r="G721" s="111"/>
      <c r="H721" s="112"/>
      <c r="I721" s="110">
        <v>14022.4</v>
      </c>
      <c r="J721" s="111">
        <v>19838.3</v>
      </c>
      <c r="K721" s="111"/>
      <c r="L721" s="111"/>
      <c r="M721" s="112"/>
    </row>
    <row r="722" spans="1:13" ht="13.5" thickBot="1" x14ac:dyDescent="0.25">
      <c r="A722" s="128" t="s">
        <v>19</v>
      </c>
      <c r="B722" s="128" t="s">
        <v>110</v>
      </c>
      <c r="C722" s="128" t="s">
        <v>225</v>
      </c>
      <c r="D722" s="129">
        <v>18501.349999999999</v>
      </c>
      <c r="E722" s="130"/>
      <c r="F722" s="130"/>
      <c r="G722" s="130"/>
      <c r="H722" s="131"/>
      <c r="I722" s="129">
        <v>10592.85</v>
      </c>
      <c r="J722" s="130"/>
      <c r="K722" s="130"/>
      <c r="L722" s="130"/>
      <c r="M722" s="131"/>
    </row>
    <row r="723" spans="1:13" x14ac:dyDescent="0.2">
      <c r="A723" s="132" t="s">
        <v>20</v>
      </c>
      <c r="B723" s="132" t="s">
        <v>104</v>
      </c>
      <c r="C723" s="132" t="s">
        <v>222</v>
      </c>
      <c r="D723" s="133">
        <v>75010</v>
      </c>
      <c r="E723" s="134">
        <v>75010</v>
      </c>
      <c r="F723" s="134">
        <v>74080</v>
      </c>
      <c r="G723" s="134">
        <v>74080</v>
      </c>
      <c r="H723" s="135"/>
      <c r="I723" s="133">
        <v>2183</v>
      </c>
      <c r="J723" s="134">
        <v>3222</v>
      </c>
      <c r="K723" s="134">
        <v>4372</v>
      </c>
      <c r="L723" s="134">
        <v>4995</v>
      </c>
      <c r="M723" s="135"/>
    </row>
    <row r="724" spans="1:13" x14ac:dyDescent="0.2">
      <c r="A724" s="113" t="s">
        <v>20</v>
      </c>
      <c r="B724" s="113" t="s">
        <v>104</v>
      </c>
      <c r="C724" s="113" t="s">
        <v>223</v>
      </c>
      <c r="D724" s="114">
        <v>68486</v>
      </c>
      <c r="E724" s="115">
        <v>68486</v>
      </c>
      <c r="F724" s="115">
        <v>69166</v>
      </c>
      <c r="G724" s="115"/>
      <c r="H724" s="116"/>
      <c r="I724" s="114">
        <v>1363</v>
      </c>
      <c r="J724" s="115">
        <v>3266.62</v>
      </c>
      <c r="K724" s="115">
        <v>4256</v>
      </c>
      <c r="L724" s="115"/>
      <c r="M724" s="116"/>
    </row>
    <row r="725" spans="1:13" x14ac:dyDescent="0.2">
      <c r="A725" t="s">
        <v>20</v>
      </c>
      <c r="B725" t="s">
        <v>104</v>
      </c>
      <c r="C725" t="s">
        <v>224</v>
      </c>
      <c r="D725" s="110">
        <v>65812.5</v>
      </c>
      <c r="E725" s="111">
        <v>65812.5</v>
      </c>
      <c r="F725" s="111"/>
      <c r="G725" s="111"/>
      <c r="H725" s="112"/>
      <c r="I725" s="110">
        <v>757.5</v>
      </c>
      <c r="J725" s="111">
        <v>387.5</v>
      </c>
      <c r="K725" s="111"/>
      <c r="L725" s="111"/>
      <c r="M725" s="112"/>
    </row>
    <row r="726" spans="1:13" x14ac:dyDescent="0.2">
      <c r="A726" s="117" t="s">
        <v>20</v>
      </c>
      <c r="B726" s="117" t="s">
        <v>104</v>
      </c>
      <c r="C726" s="117" t="s">
        <v>225</v>
      </c>
      <c r="D726" s="118">
        <v>16118</v>
      </c>
      <c r="E726" s="119"/>
      <c r="F726" s="119"/>
      <c r="G726" s="119"/>
      <c r="H726" s="120"/>
      <c r="I726" s="118">
        <v>1170.6199999999999</v>
      </c>
      <c r="J726" s="119"/>
      <c r="K726" s="119"/>
      <c r="L726" s="119"/>
      <c r="M726" s="120"/>
    </row>
    <row r="727" spans="1:13" x14ac:dyDescent="0.2">
      <c r="A727" t="s">
        <v>20</v>
      </c>
      <c r="B727" t="s">
        <v>140</v>
      </c>
      <c r="C727" t="s">
        <v>222</v>
      </c>
      <c r="D727" s="110">
        <v>873</v>
      </c>
      <c r="E727" s="111">
        <v>873</v>
      </c>
      <c r="F727" s="111">
        <v>873</v>
      </c>
      <c r="G727" s="111">
        <v>873</v>
      </c>
      <c r="H727" s="112"/>
      <c r="I727" s="110">
        <v>0</v>
      </c>
      <c r="J727" s="111">
        <v>0</v>
      </c>
      <c r="K727" s="111">
        <v>0</v>
      </c>
      <c r="L727" s="111">
        <v>0</v>
      </c>
      <c r="M727" s="112"/>
    </row>
    <row r="728" spans="1:13" x14ac:dyDescent="0.2">
      <c r="A728" s="113" t="s">
        <v>20</v>
      </c>
      <c r="B728" s="113" t="s">
        <v>140</v>
      </c>
      <c r="C728" s="113" t="s">
        <v>223</v>
      </c>
      <c r="D728" s="114">
        <v>0</v>
      </c>
      <c r="E728" s="115">
        <v>0</v>
      </c>
      <c r="F728" s="115">
        <v>0</v>
      </c>
      <c r="G728" s="115"/>
      <c r="H728" s="116"/>
      <c r="I728" s="114">
        <v>0</v>
      </c>
      <c r="J728" s="115">
        <v>0</v>
      </c>
      <c r="K728" s="115">
        <v>0</v>
      </c>
      <c r="L728" s="115"/>
      <c r="M728" s="116"/>
    </row>
    <row r="729" spans="1:13" x14ac:dyDescent="0.2">
      <c r="A729" t="s">
        <v>20</v>
      </c>
      <c r="B729" t="s">
        <v>140</v>
      </c>
      <c r="C729" t="s">
        <v>224</v>
      </c>
      <c r="D729" s="110">
        <v>50618</v>
      </c>
      <c r="E729" s="111">
        <v>50618</v>
      </c>
      <c r="F729" s="111"/>
      <c r="G729" s="111"/>
      <c r="H729" s="112"/>
      <c r="I729" s="110">
        <v>0</v>
      </c>
      <c r="J729" s="111">
        <v>0</v>
      </c>
      <c r="K729" s="111"/>
      <c r="L729" s="111"/>
      <c r="M729" s="112"/>
    </row>
    <row r="730" spans="1:13" x14ac:dyDescent="0.2">
      <c r="A730" s="117" t="s">
        <v>20</v>
      </c>
      <c r="B730" s="117" t="s">
        <v>140</v>
      </c>
      <c r="C730" s="117" t="s">
        <v>225</v>
      </c>
      <c r="D730" s="118">
        <v>250</v>
      </c>
      <c r="E730" s="119"/>
      <c r="F730" s="119"/>
      <c r="G730" s="119"/>
      <c r="H730" s="120"/>
      <c r="I730" s="118">
        <v>0</v>
      </c>
      <c r="J730" s="119"/>
      <c r="K730" s="119"/>
      <c r="L730" s="119"/>
      <c r="M730" s="120"/>
    </row>
    <row r="731" spans="1:13" x14ac:dyDescent="0.2">
      <c r="A731" t="s">
        <v>20</v>
      </c>
      <c r="B731" t="s">
        <v>105</v>
      </c>
      <c r="C731" t="s">
        <v>222</v>
      </c>
      <c r="D731" s="110">
        <v>26043</v>
      </c>
      <c r="E731" s="111">
        <v>26043</v>
      </c>
      <c r="F731" s="111">
        <v>25843</v>
      </c>
      <c r="G731" s="111">
        <v>26115.5</v>
      </c>
      <c r="H731" s="112"/>
      <c r="I731" s="110">
        <v>2794</v>
      </c>
      <c r="J731" s="111">
        <v>6034</v>
      </c>
      <c r="K731" s="111">
        <v>6934</v>
      </c>
      <c r="L731" s="111">
        <v>7824</v>
      </c>
      <c r="M731" s="112"/>
    </row>
    <row r="732" spans="1:13" x14ac:dyDescent="0.2">
      <c r="A732" s="113" t="s">
        <v>20</v>
      </c>
      <c r="B732" s="113" t="s">
        <v>105</v>
      </c>
      <c r="C732" s="113" t="s">
        <v>223</v>
      </c>
      <c r="D732" s="114">
        <v>31063</v>
      </c>
      <c r="E732" s="115">
        <v>31013</v>
      </c>
      <c r="F732" s="115">
        <v>29343</v>
      </c>
      <c r="G732" s="115"/>
      <c r="H732" s="116"/>
      <c r="I732" s="114">
        <v>1925.55</v>
      </c>
      <c r="J732" s="115">
        <v>4575</v>
      </c>
      <c r="K732" s="115">
        <v>6378.54</v>
      </c>
      <c r="L732" s="115"/>
      <c r="M732" s="116"/>
    </row>
    <row r="733" spans="1:13" x14ac:dyDescent="0.2">
      <c r="A733" t="s">
        <v>20</v>
      </c>
      <c r="B733" t="s">
        <v>105</v>
      </c>
      <c r="C733" t="s">
        <v>224</v>
      </c>
      <c r="D733" s="110">
        <v>4108.5</v>
      </c>
      <c r="E733" s="111">
        <v>4108.5</v>
      </c>
      <c r="F733" s="111"/>
      <c r="G733" s="111"/>
      <c r="H733" s="112"/>
      <c r="I733" s="110">
        <v>911</v>
      </c>
      <c r="J733" s="111">
        <v>1411</v>
      </c>
      <c r="K733" s="111"/>
      <c r="L733" s="111"/>
      <c r="M733" s="112"/>
    </row>
    <row r="734" spans="1:13" x14ac:dyDescent="0.2">
      <c r="A734" s="117" t="s">
        <v>20</v>
      </c>
      <c r="B734" s="117" t="s">
        <v>105</v>
      </c>
      <c r="C734" s="117" t="s">
        <v>225</v>
      </c>
      <c r="D734" s="118">
        <v>7336</v>
      </c>
      <c r="E734" s="119"/>
      <c r="F734" s="119"/>
      <c r="G734" s="119"/>
      <c r="H734" s="120"/>
      <c r="I734" s="118">
        <v>1007</v>
      </c>
      <c r="J734" s="119"/>
      <c r="K734" s="119"/>
      <c r="L734" s="119"/>
      <c r="M734" s="120"/>
    </row>
    <row r="735" spans="1:13" x14ac:dyDescent="0.2">
      <c r="A735" t="s">
        <v>20</v>
      </c>
      <c r="B735" t="s">
        <v>111</v>
      </c>
      <c r="C735" t="s">
        <v>222</v>
      </c>
      <c r="D735" s="110">
        <v>5050</v>
      </c>
      <c r="E735" s="111">
        <v>5050</v>
      </c>
      <c r="F735" s="111">
        <v>5050</v>
      </c>
      <c r="G735" s="111">
        <v>5050</v>
      </c>
      <c r="H735" s="112"/>
      <c r="I735" s="110">
        <v>0</v>
      </c>
      <c r="J735" s="111">
        <v>63</v>
      </c>
      <c r="K735" s="111">
        <v>252</v>
      </c>
      <c r="L735" s="111">
        <v>620</v>
      </c>
      <c r="M735" s="112"/>
    </row>
    <row r="736" spans="1:13" x14ac:dyDescent="0.2">
      <c r="A736" s="113" t="s">
        <v>20</v>
      </c>
      <c r="B736" s="113" t="s">
        <v>111</v>
      </c>
      <c r="C736" s="113" t="s">
        <v>223</v>
      </c>
      <c r="D736" s="114">
        <v>7340</v>
      </c>
      <c r="E736" s="115">
        <v>7340</v>
      </c>
      <c r="F736" s="115">
        <v>7390</v>
      </c>
      <c r="G736" s="115"/>
      <c r="H736" s="116"/>
      <c r="I736" s="114">
        <v>300</v>
      </c>
      <c r="J736" s="115">
        <v>400</v>
      </c>
      <c r="K736" s="115">
        <v>400</v>
      </c>
      <c r="L736" s="115"/>
      <c r="M736" s="116"/>
    </row>
    <row r="737" spans="1:13" x14ac:dyDescent="0.2">
      <c r="A737" t="s">
        <v>20</v>
      </c>
      <c r="B737" t="s">
        <v>111</v>
      </c>
      <c r="C737" t="s">
        <v>224</v>
      </c>
      <c r="D737" s="110">
        <v>1100</v>
      </c>
      <c r="E737" s="111">
        <v>1100</v>
      </c>
      <c r="F737" s="111"/>
      <c r="G737" s="111"/>
      <c r="H737" s="112"/>
      <c r="I737" s="110">
        <v>0</v>
      </c>
      <c r="J737" s="111">
        <v>0</v>
      </c>
      <c r="K737" s="111"/>
      <c r="L737" s="111"/>
      <c r="M737" s="112"/>
    </row>
    <row r="738" spans="1:13" x14ac:dyDescent="0.2">
      <c r="A738" s="117" t="s">
        <v>20</v>
      </c>
      <c r="B738" s="117" t="s">
        <v>111</v>
      </c>
      <c r="C738" s="117" t="s">
        <v>225</v>
      </c>
      <c r="D738" s="118">
        <v>1100</v>
      </c>
      <c r="E738" s="119"/>
      <c r="F738" s="119"/>
      <c r="G738" s="119"/>
      <c r="H738" s="120"/>
      <c r="I738" s="118">
        <v>0</v>
      </c>
      <c r="J738" s="119"/>
      <c r="K738" s="119"/>
      <c r="L738" s="119"/>
      <c r="M738" s="120"/>
    </row>
    <row r="739" spans="1:13" x14ac:dyDescent="0.2">
      <c r="A739" s="124" t="s">
        <v>20</v>
      </c>
      <c r="B739" s="124" t="s">
        <v>109</v>
      </c>
      <c r="C739" s="124" t="s">
        <v>222</v>
      </c>
      <c r="D739" s="125">
        <v>48098</v>
      </c>
      <c r="E739" s="126">
        <v>48098</v>
      </c>
      <c r="F739" s="126">
        <v>47773</v>
      </c>
      <c r="G739" s="126">
        <v>46923</v>
      </c>
      <c r="H739" s="127"/>
      <c r="I739" s="125">
        <v>16441.099999999999</v>
      </c>
      <c r="J739" s="126">
        <v>25025.15</v>
      </c>
      <c r="K739" s="126">
        <v>26100.75</v>
      </c>
      <c r="L739" s="126">
        <v>28215.360000000001</v>
      </c>
      <c r="M739" s="127"/>
    </row>
    <row r="740" spans="1:13" x14ac:dyDescent="0.2">
      <c r="A740" s="113" t="s">
        <v>20</v>
      </c>
      <c r="B740" s="113" t="s">
        <v>109</v>
      </c>
      <c r="C740" s="113" t="s">
        <v>223</v>
      </c>
      <c r="D740" s="114">
        <v>58278</v>
      </c>
      <c r="E740" s="115">
        <v>57903</v>
      </c>
      <c r="F740" s="115">
        <v>56688</v>
      </c>
      <c r="G740" s="115"/>
      <c r="H740" s="116"/>
      <c r="I740" s="114">
        <v>12065.35</v>
      </c>
      <c r="J740" s="115">
        <v>18252.2</v>
      </c>
      <c r="K740" s="115">
        <v>22879.75</v>
      </c>
      <c r="L740" s="115"/>
      <c r="M740" s="116"/>
    </row>
    <row r="741" spans="1:13" x14ac:dyDescent="0.2">
      <c r="A741" t="s">
        <v>20</v>
      </c>
      <c r="B741" t="s">
        <v>109</v>
      </c>
      <c r="C741" t="s">
        <v>224</v>
      </c>
      <c r="D741" s="110">
        <v>1943</v>
      </c>
      <c r="E741" s="111">
        <v>1553</v>
      </c>
      <c r="F741" s="111"/>
      <c r="G741" s="111"/>
      <c r="H741" s="112"/>
      <c r="I741" s="110">
        <v>50</v>
      </c>
      <c r="J741" s="111">
        <v>1040</v>
      </c>
      <c r="K741" s="111"/>
      <c r="L741" s="111"/>
      <c r="M741" s="112"/>
    </row>
    <row r="742" spans="1:13" x14ac:dyDescent="0.2">
      <c r="A742" s="117" t="s">
        <v>20</v>
      </c>
      <c r="B742" s="117" t="s">
        <v>109</v>
      </c>
      <c r="C742" s="117" t="s">
        <v>225</v>
      </c>
      <c r="D742" s="118">
        <v>8353</v>
      </c>
      <c r="E742" s="119"/>
      <c r="F742" s="119"/>
      <c r="G742" s="119"/>
      <c r="H742" s="120"/>
      <c r="I742" s="118">
        <v>1055.75</v>
      </c>
      <c r="J742" s="119"/>
      <c r="K742" s="119"/>
      <c r="L742" s="119"/>
      <c r="M742" s="120"/>
    </row>
    <row r="743" spans="1:13" x14ac:dyDescent="0.2">
      <c r="A743" t="s">
        <v>20</v>
      </c>
      <c r="B743" t="s">
        <v>106</v>
      </c>
      <c r="C743" t="s">
        <v>222</v>
      </c>
      <c r="D743" s="110">
        <v>162385.51</v>
      </c>
      <c r="E743" s="111">
        <v>162385.51</v>
      </c>
      <c r="F743" s="111">
        <v>162385.51</v>
      </c>
      <c r="G743" s="111">
        <v>162385.51</v>
      </c>
      <c r="H743" s="112"/>
      <c r="I743" s="110">
        <v>161040.51</v>
      </c>
      <c r="J743" s="111">
        <v>161535.51</v>
      </c>
      <c r="K743" s="111">
        <v>161535.51</v>
      </c>
      <c r="L743" s="111">
        <v>161535.51</v>
      </c>
      <c r="M743" s="112"/>
    </row>
    <row r="744" spans="1:13" x14ac:dyDescent="0.2">
      <c r="A744" s="113" t="s">
        <v>20</v>
      </c>
      <c r="B744" s="113" t="s">
        <v>106</v>
      </c>
      <c r="C744" s="113" t="s">
        <v>223</v>
      </c>
      <c r="D744" s="114">
        <v>121007.7</v>
      </c>
      <c r="E744" s="115">
        <v>121007.7</v>
      </c>
      <c r="F744" s="115">
        <v>121007.7</v>
      </c>
      <c r="G744" s="115"/>
      <c r="H744" s="116"/>
      <c r="I744" s="114">
        <v>120569.7</v>
      </c>
      <c r="J744" s="115">
        <v>120569.7</v>
      </c>
      <c r="K744" s="115">
        <v>120569.7</v>
      </c>
      <c r="L744" s="115"/>
      <c r="M744" s="116"/>
    </row>
    <row r="745" spans="1:13" x14ac:dyDescent="0.2">
      <c r="A745" t="s">
        <v>20</v>
      </c>
      <c r="B745" t="s">
        <v>106</v>
      </c>
      <c r="C745" t="s">
        <v>224</v>
      </c>
      <c r="D745" s="110">
        <v>40458.35</v>
      </c>
      <c r="E745" s="111">
        <v>40058.35</v>
      </c>
      <c r="F745" s="111"/>
      <c r="G745" s="111"/>
      <c r="H745" s="112"/>
      <c r="I745" s="110">
        <v>39588.35</v>
      </c>
      <c r="J745" s="111">
        <v>39598.35</v>
      </c>
      <c r="K745" s="111"/>
      <c r="L745" s="111"/>
      <c r="M745" s="112"/>
    </row>
    <row r="746" spans="1:13" x14ac:dyDescent="0.2">
      <c r="A746" s="117" t="s">
        <v>20</v>
      </c>
      <c r="B746" s="117" t="s">
        <v>106</v>
      </c>
      <c r="C746" s="117" t="s">
        <v>225</v>
      </c>
      <c r="D746" s="118">
        <v>124727.59</v>
      </c>
      <c r="E746" s="119"/>
      <c r="F746" s="119"/>
      <c r="G746" s="119"/>
      <c r="H746" s="120"/>
      <c r="I746" s="118">
        <v>123102.59</v>
      </c>
      <c r="J746" s="119"/>
      <c r="K746" s="119"/>
      <c r="L746" s="119"/>
      <c r="M746" s="120"/>
    </row>
    <row r="747" spans="1:13" x14ac:dyDescent="0.2">
      <c r="A747" t="s">
        <v>20</v>
      </c>
      <c r="B747" t="s">
        <v>107</v>
      </c>
      <c r="C747" t="s">
        <v>222</v>
      </c>
      <c r="D747" s="110">
        <v>62801.53</v>
      </c>
      <c r="E747" s="111">
        <v>62801.53</v>
      </c>
      <c r="F747" s="111">
        <v>62801.53</v>
      </c>
      <c r="G747" s="111">
        <v>62801.53</v>
      </c>
      <c r="H747" s="112"/>
      <c r="I747" s="110">
        <v>61620.53</v>
      </c>
      <c r="J747" s="111">
        <v>62495.53</v>
      </c>
      <c r="K747" s="111">
        <v>62495.53</v>
      </c>
      <c r="L747" s="111">
        <v>62495.53</v>
      </c>
      <c r="M747" s="112"/>
    </row>
    <row r="748" spans="1:13" x14ac:dyDescent="0.2">
      <c r="A748" s="113" t="s">
        <v>20</v>
      </c>
      <c r="B748" s="113" t="s">
        <v>107</v>
      </c>
      <c r="C748" s="113" t="s">
        <v>223</v>
      </c>
      <c r="D748" s="114">
        <v>71663.149999999994</v>
      </c>
      <c r="E748" s="115">
        <v>71663.149999999994</v>
      </c>
      <c r="F748" s="115">
        <v>71663.149999999994</v>
      </c>
      <c r="G748" s="115"/>
      <c r="H748" s="116"/>
      <c r="I748" s="114">
        <v>69562.149999999994</v>
      </c>
      <c r="J748" s="115">
        <v>70367.149999999994</v>
      </c>
      <c r="K748" s="115">
        <v>70367.149999999994</v>
      </c>
      <c r="L748" s="115"/>
      <c r="M748" s="116"/>
    </row>
    <row r="749" spans="1:13" x14ac:dyDescent="0.2">
      <c r="A749" t="s">
        <v>20</v>
      </c>
      <c r="B749" t="s">
        <v>107</v>
      </c>
      <c r="C749" t="s">
        <v>224</v>
      </c>
      <c r="D749" s="110">
        <v>42898.41</v>
      </c>
      <c r="E749" s="111">
        <v>42898.41</v>
      </c>
      <c r="F749" s="111"/>
      <c r="G749" s="111"/>
      <c r="H749" s="112"/>
      <c r="I749" s="110">
        <v>42218.41</v>
      </c>
      <c r="J749" s="111">
        <v>42713.41</v>
      </c>
      <c r="K749" s="111"/>
      <c r="L749" s="111"/>
      <c r="M749" s="112"/>
    </row>
    <row r="750" spans="1:13" x14ac:dyDescent="0.2">
      <c r="A750" s="117" t="s">
        <v>20</v>
      </c>
      <c r="B750" s="117" t="s">
        <v>107</v>
      </c>
      <c r="C750" s="117" t="s">
        <v>225</v>
      </c>
      <c r="D750" s="118">
        <v>52022.3</v>
      </c>
      <c r="E750" s="119"/>
      <c r="F750" s="119"/>
      <c r="G750" s="119"/>
      <c r="H750" s="120"/>
      <c r="I750" s="118">
        <v>50742.3</v>
      </c>
      <c r="J750" s="119"/>
      <c r="K750" s="119"/>
      <c r="L750" s="119"/>
      <c r="M750" s="120"/>
    </row>
    <row r="751" spans="1:13" x14ac:dyDescent="0.2">
      <c r="A751" t="s">
        <v>20</v>
      </c>
      <c r="B751" t="s">
        <v>108</v>
      </c>
      <c r="C751" t="s">
        <v>222</v>
      </c>
      <c r="D751" s="110">
        <v>19754.349999999999</v>
      </c>
      <c r="E751" s="111">
        <v>19754.349999999999</v>
      </c>
      <c r="F751" s="111">
        <v>19754.349999999999</v>
      </c>
      <c r="G751" s="111">
        <v>19754.349999999999</v>
      </c>
      <c r="H751" s="112"/>
      <c r="I751" s="110">
        <v>19514.349999999999</v>
      </c>
      <c r="J751" s="111">
        <v>19514.349999999999</v>
      </c>
      <c r="K751" s="111">
        <v>19514.349999999999</v>
      </c>
      <c r="L751" s="111">
        <v>19514.349999999999</v>
      </c>
      <c r="M751" s="112"/>
    </row>
    <row r="752" spans="1:13" x14ac:dyDescent="0.2">
      <c r="A752" s="113" t="s">
        <v>20</v>
      </c>
      <c r="B752" s="113" t="s">
        <v>108</v>
      </c>
      <c r="C752" s="113" t="s">
        <v>223</v>
      </c>
      <c r="D752" s="114">
        <v>15094.65</v>
      </c>
      <c r="E752" s="115">
        <v>15094.65</v>
      </c>
      <c r="F752" s="115">
        <v>15094.65</v>
      </c>
      <c r="G752" s="115"/>
      <c r="H752" s="116"/>
      <c r="I752" s="114">
        <v>14688.65</v>
      </c>
      <c r="J752" s="115">
        <v>15088.65</v>
      </c>
      <c r="K752" s="115">
        <v>15088.65</v>
      </c>
      <c r="L752" s="115"/>
      <c r="M752" s="116"/>
    </row>
    <row r="753" spans="1:13" x14ac:dyDescent="0.2">
      <c r="A753" t="s">
        <v>20</v>
      </c>
      <c r="B753" t="s">
        <v>108</v>
      </c>
      <c r="C753" t="s">
        <v>224</v>
      </c>
      <c r="D753" s="110">
        <v>17441.3</v>
      </c>
      <c r="E753" s="111">
        <v>17441.3</v>
      </c>
      <c r="F753" s="111"/>
      <c r="G753" s="111"/>
      <c r="H753" s="112"/>
      <c r="I753" s="110">
        <v>17033.3</v>
      </c>
      <c r="J753" s="111">
        <v>17041.3</v>
      </c>
      <c r="K753" s="111"/>
      <c r="L753" s="111"/>
      <c r="M753" s="112"/>
    </row>
    <row r="754" spans="1:13" x14ac:dyDescent="0.2">
      <c r="A754" s="117" t="s">
        <v>20</v>
      </c>
      <c r="B754" s="117" t="s">
        <v>108</v>
      </c>
      <c r="C754" s="117" t="s">
        <v>225</v>
      </c>
      <c r="D754" s="118">
        <v>19276.349999999999</v>
      </c>
      <c r="E754" s="119"/>
      <c r="F754" s="119"/>
      <c r="G754" s="119"/>
      <c r="H754" s="120"/>
      <c r="I754" s="118">
        <v>19219.900000000001</v>
      </c>
      <c r="J754" s="119"/>
      <c r="K754" s="119"/>
      <c r="L754" s="119"/>
      <c r="M754" s="120"/>
    </row>
    <row r="755" spans="1:13" x14ac:dyDescent="0.2">
      <c r="A755" t="s">
        <v>20</v>
      </c>
      <c r="B755" t="s">
        <v>70</v>
      </c>
      <c r="C755" t="s">
        <v>222</v>
      </c>
      <c r="D755" s="110">
        <v>14996.9</v>
      </c>
      <c r="E755" s="111">
        <v>14996.9</v>
      </c>
      <c r="F755" s="111">
        <v>14996.9</v>
      </c>
      <c r="G755" s="111">
        <v>14996.9</v>
      </c>
      <c r="H755" s="112"/>
      <c r="I755" s="110">
        <v>14126.9</v>
      </c>
      <c r="J755" s="111">
        <v>14524.4</v>
      </c>
      <c r="K755" s="111">
        <v>14524.4</v>
      </c>
      <c r="L755" s="111">
        <v>14524.4</v>
      </c>
      <c r="M755" s="112"/>
    </row>
    <row r="756" spans="1:13" x14ac:dyDescent="0.2">
      <c r="A756" s="113" t="s">
        <v>20</v>
      </c>
      <c r="B756" s="113" t="s">
        <v>70</v>
      </c>
      <c r="C756" s="113" t="s">
        <v>223</v>
      </c>
      <c r="D756" s="114">
        <v>14787.85</v>
      </c>
      <c r="E756" s="115">
        <v>14787.85</v>
      </c>
      <c r="F756" s="115">
        <v>14787.85</v>
      </c>
      <c r="G756" s="115"/>
      <c r="H756" s="116"/>
      <c r="I756" s="114">
        <v>13882.85</v>
      </c>
      <c r="J756" s="115">
        <v>14197.85</v>
      </c>
      <c r="K756" s="115">
        <v>14197.85</v>
      </c>
      <c r="L756" s="115"/>
      <c r="M756" s="116"/>
    </row>
    <row r="757" spans="1:13" x14ac:dyDescent="0.2">
      <c r="A757" t="s">
        <v>20</v>
      </c>
      <c r="B757" t="s">
        <v>70</v>
      </c>
      <c r="C757" t="s">
        <v>224</v>
      </c>
      <c r="D757" s="110">
        <v>10073.15</v>
      </c>
      <c r="E757" s="111">
        <v>17441.3</v>
      </c>
      <c r="F757" s="111"/>
      <c r="G757" s="111"/>
      <c r="H757" s="112"/>
      <c r="I757" s="110">
        <v>9397.15</v>
      </c>
      <c r="J757" s="111">
        <v>17041.3</v>
      </c>
      <c r="K757" s="111"/>
      <c r="L757" s="111"/>
      <c r="M757" s="112"/>
    </row>
    <row r="758" spans="1:13" x14ac:dyDescent="0.2">
      <c r="A758" s="117" t="s">
        <v>20</v>
      </c>
      <c r="B758" s="117" t="s">
        <v>70</v>
      </c>
      <c r="C758" s="117" t="s">
        <v>225</v>
      </c>
      <c r="D758" s="118">
        <v>19276.349999999999</v>
      </c>
      <c r="E758" s="119"/>
      <c r="F758" s="119"/>
      <c r="G758" s="119"/>
      <c r="H758" s="120"/>
      <c r="I758" s="118">
        <v>19219.900000000001</v>
      </c>
      <c r="J758" s="119"/>
      <c r="K758" s="119"/>
      <c r="L758" s="119"/>
      <c r="M758" s="120"/>
    </row>
    <row r="759" spans="1:13" x14ac:dyDescent="0.2">
      <c r="A759" t="s">
        <v>20</v>
      </c>
      <c r="B759" t="s">
        <v>110</v>
      </c>
      <c r="C759" t="s">
        <v>222</v>
      </c>
      <c r="D759" s="110">
        <v>185762.15</v>
      </c>
      <c r="E759" s="111">
        <v>185762.15</v>
      </c>
      <c r="F759" s="111">
        <v>180870.15</v>
      </c>
      <c r="G759" s="111">
        <v>179902.15</v>
      </c>
      <c r="H759" s="112"/>
      <c r="I759" s="110">
        <v>77279.100000000006</v>
      </c>
      <c r="J759" s="111">
        <v>127333.15</v>
      </c>
      <c r="K759" s="111">
        <v>134506.15</v>
      </c>
      <c r="L759" s="111">
        <v>146307.15</v>
      </c>
      <c r="M759" s="112"/>
    </row>
    <row r="760" spans="1:13" x14ac:dyDescent="0.2">
      <c r="A760" s="113" t="s">
        <v>20</v>
      </c>
      <c r="B760" s="113" t="s">
        <v>110</v>
      </c>
      <c r="C760" s="113" t="s">
        <v>223</v>
      </c>
      <c r="D760" s="114">
        <v>188841.5</v>
      </c>
      <c r="E760" s="115">
        <v>179782.7</v>
      </c>
      <c r="F760" s="115">
        <v>176047.7</v>
      </c>
      <c r="G760" s="115"/>
      <c r="H760" s="116"/>
      <c r="I760" s="114">
        <v>75456.800000000003</v>
      </c>
      <c r="J760" s="115">
        <v>110426.2</v>
      </c>
      <c r="K760" s="115">
        <v>117986.2</v>
      </c>
      <c r="L760" s="115"/>
      <c r="M760" s="116"/>
    </row>
    <row r="761" spans="1:13" x14ac:dyDescent="0.2">
      <c r="A761" t="s">
        <v>20</v>
      </c>
      <c r="B761" t="s">
        <v>110</v>
      </c>
      <c r="C761" t="s">
        <v>224</v>
      </c>
      <c r="D761" s="110">
        <v>152335.5</v>
      </c>
      <c r="E761" s="111">
        <v>147356.9</v>
      </c>
      <c r="F761" s="111"/>
      <c r="G761" s="111"/>
      <c r="H761" s="112"/>
      <c r="I761" s="110">
        <v>63290.9</v>
      </c>
      <c r="J761" s="111">
        <v>100471.9</v>
      </c>
      <c r="K761" s="111"/>
      <c r="L761" s="111"/>
      <c r="M761" s="112"/>
    </row>
    <row r="762" spans="1:13" ht="13.5" thickBot="1" x14ac:dyDescent="0.25">
      <c r="A762" s="128" t="s">
        <v>20</v>
      </c>
      <c r="B762" s="128" t="s">
        <v>110</v>
      </c>
      <c r="C762" s="128" t="s">
        <v>225</v>
      </c>
      <c r="D762" s="129">
        <v>218259.7</v>
      </c>
      <c r="E762" s="130"/>
      <c r="F762" s="130"/>
      <c r="G762" s="130"/>
      <c r="H762" s="131"/>
      <c r="I762" s="129">
        <v>74995.8</v>
      </c>
      <c r="J762" s="130"/>
      <c r="K762" s="130"/>
      <c r="L762" s="130"/>
      <c r="M762" s="131"/>
    </row>
    <row r="763" spans="1:13" x14ac:dyDescent="0.2">
      <c r="A763" s="132" t="s">
        <v>21</v>
      </c>
      <c r="B763" s="132" t="s">
        <v>104</v>
      </c>
      <c r="C763" s="132" t="s">
        <v>222</v>
      </c>
      <c r="D763" s="133">
        <v>24603</v>
      </c>
      <c r="E763" s="134">
        <v>24603</v>
      </c>
      <c r="F763" s="134">
        <v>24603</v>
      </c>
      <c r="G763" s="134">
        <v>24603</v>
      </c>
      <c r="H763" s="135"/>
      <c r="I763" s="133">
        <v>246.15</v>
      </c>
      <c r="J763" s="134">
        <v>2059.7800000000002</v>
      </c>
      <c r="K763" s="134">
        <v>2591.44</v>
      </c>
      <c r="L763" s="134">
        <v>5541.36</v>
      </c>
      <c r="M763" s="135"/>
    </row>
    <row r="764" spans="1:13" x14ac:dyDescent="0.2">
      <c r="A764" s="113" t="s">
        <v>21</v>
      </c>
      <c r="B764" s="113" t="s">
        <v>104</v>
      </c>
      <c r="C764" s="113" t="s">
        <v>223</v>
      </c>
      <c r="D764" s="114">
        <v>17954</v>
      </c>
      <c r="E764" s="115">
        <v>17954</v>
      </c>
      <c r="F764" s="115">
        <v>17954</v>
      </c>
      <c r="G764" s="115"/>
      <c r="H764" s="116"/>
      <c r="I764" s="114">
        <v>230.48</v>
      </c>
      <c r="J764" s="115">
        <v>675.1</v>
      </c>
      <c r="K764" s="115">
        <v>1074.74</v>
      </c>
      <c r="L764" s="115"/>
      <c r="M764" s="116"/>
    </row>
    <row r="765" spans="1:13" x14ac:dyDescent="0.2">
      <c r="A765" t="s">
        <v>21</v>
      </c>
      <c r="B765" t="s">
        <v>104</v>
      </c>
      <c r="C765" t="s">
        <v>224</v>
      </c>
      <c r="D765" s="110">
        <v>4712</v>
      </c>
      <c r="E765" s="111">
        <v>4712</v>
      </c>
      <c r="F765" s="111"/>
      <c r="G765" s="111"/>
      <c r="H765" s="112"/>
      <c r="I765" s="110">
        <v>291.64999999999998</v>
      </c>
      <c r="J765" s="111">
        <v>1584.55</v>
      </c>
      <c r="K765" s="111"/>
      <c r="L765" s="111"/>
      <c r="M765" s="112"/>
    </row>
    <row r="766" spans="1:13" x14ac:dyDescent="0.2">
      <c r="A766" s="117" t="s">
        <v>21</v>
      </c>
      <c r="B766" s="117" t="s">
        <v>104</v>
      </c>
      <c r="C766" s="117" t="s">
        <v>225</v>
      </c>
      <c r="D766" s="118">
        <v>19009</v>
      </c>
      <c r="E766" s="119"/>
      <c r="F766" s="119"/>
      <c r="G766" s="119"/>
      <c r="H766" s="120"/>
      <c r="I766" s="118">
        <v>354.53</v>
      </c>
      <c r="J766" s="119"/>
      <c r="K766" s="119"/>
      <c r="L766" s="119"/>
      <c r="M766" s="120"/>
    </row>
    <row r="767" spans="1:13" x14ac:dyDescent="0.2">
      <c r="A767" t="s">
        <v>21</v>
      </c>
      <c r="B767" t="s">
        <v>140</v>
      </c>
      <c r="C767" t="s">
        <v>222</v>
      </c>
      <c r="D767" s="110"/>
      <c r="E767" s="111"/>
      <c r="F767" s="111"/>
      <c r="G767" s="111"/>
      <c r="H767" s="112"/>
      <c r="I767" s="110"/>
      <c r="J767" s="111"/>
      <c r="K767" s="111"/>
      <c r="L767" s="111"/>
      <c r="M767" s="112"/>
    </row>
    <row r="768" spans="1:13" x14ac:dyDescent="0.2">
      <c r="A768" s="113" t="s">
        <v>21</v>
      </c>
      <c r="B768" s="113" t="s">
        <v>140</v>
      </c>
      <c r="C768" s="113" t="s">
        <v>223</v>
      </c>
      <c r="D768" s="114"/>
      <c r="E768" s="115"/>
      <c r="F768" s="115"/>
      <c r="G768" s="115"/>
      <c r="H768" s="116"/>
      <c r="I768" s="114"/>
      <c r="J768" s="115"/>
      <c r="K768" s="115"/>
      <c r="L768" s="115"/>
      <c r="M768" s="116"/>
    </row>
    <row r="769" spans="1:13" x14ac:dyDescent="0.2">
      <c r="A769" t="s">
        <v>21</v>
      </c>
      <c r="B769" t="s">
        <v>140</v>
      </c>
      <c r="C769" t="s">
        <v>224</v>
      </c>
      <c r="D769" s="110"/>
      <c r="E769" s="111"/>
      <c r="F769" s="111"/>
      <c r="G769" s="111"/>
      <c r="H769" s="112"/>
      <c r="I769" s="110"/>
      <c r="J769" s="111"/>
      <c r="K769" s="111"/>
      <c r="L769" s="111"/>
      <c r="M769" s="112"/>
    </row>
    <row r="770" spans="1:13" x14ac:dyDescent="0.2">
      <c r="A770" s="117" t="s">
        <v>21</v>
      </c>
      <c r="B770" s="117" t="s">
        <v>140</v>
      </c>
      <c r="C770" s="117" t="s">
        <v>225</v>
      </c>
      <c r="D770" s="118"/>
      <c r="E770" s="119"/>
      <c r="F770" s="119"/>
      <c r="G770" s="119"/>
      <c r="H770" s="120"/>
      <c r="I770" s="118"/>
      <c r="J770" s="119"/>
      <c r="K770" s="119"/>
      <c r="L770" s="119"/>
      <c r="M770" s="120"/>
    </row>
    <row r="771" spans="1:13" x14ac:dyDescent="0.2">
      <c r="A771" t="s">
        <v>21</v>
      </c>
      <c r="B771" t="s">
        <v>105</v>
      </c>
      <c r="C771" t="s">
        <v>222</v>
      </c>
      <c r="D771" s="110">
        <v>10610.25</v>
      </c>
      <c r="E771" s="111">
        <v>10610.25</v>
      </c>
      <c r="F771" s="111">
        <v>10610.25</v>
      </c>
      <c r="G771" s="111">
        <v>10610.25</v>
      </c>
      <c r="H771" s="112"/>
      <c r="I771" s="110">
        <v>947</v>
      </c>
      <c r="J771" s="111">
        <v>2867</v>
      </c>
      <c r="K771" s="111">
        <v>4345.75</v>
      </c>
      <c r="L771" s="111">
        <v>4445.75</v>
      </c>
      <c r="M771" s="112"/>
    </row>
    <row r="772" spans="1:13" x14ac:dyDescent="0.2">
      <c r="A772" s="113" t="s">
        <v>21</v>
      </c>
      <c r="B772" s="113" t="s">
        <v>105</v>
      </c>
      <c r="C772" s="113" t="s">
        <v>223</v>
      </c>
      <c r="D772" s="114">
        <v>17954</v>
      </c>
      <c r="E772" s="115">
        <v>9801</v>
      </c>
      <c r="F772" s="115">
        <v>9851</v>
      </c>
      <c r="G772" s="115"/>
      <c r="H772" s="116"/>
      <c r="I772" s="114">
        <v>1640</v>
      </c>
      <c r="J772" s="115">
        <v>3497</v>
      </c>
      <c r="K772" s="115">
        <v>4979.75</v>
      </c>
      <c r="L772" s="115"/>
      <c r="M772" s="116"/>
    </row>
    <row r="773" spans="1:13" x14ac:dyDescent="0.2">
      <c r="A773" t="s">
        <v>21</v>
      </c>
      <c r="B773" t="s">
        <v>105</v>
      </c>
      <c r="C773" t="s">
        <v>224</v>
      </c>
      <c r="D773" s="110">
        <v>5335.75</v>
      </c>
      <c r="E773" s="111">
        <v>5342.75</v>
      </c>
      <c r="F773" s="111"/>
      <c r="G773" s="111"/>
      <c r="H773" s="112"/>
      <c r="I773" s="110">
        <v>877</v>
      </c>
      <c r="J773" s="111">
        <v>2312.75</v>
      </c>
      <c r="K773" s="111"/>
      <c r="L773" s="111"/>
      <c r="M773" s="112"/>
    </row>
    <row r="774" spans="1:13" x14ac:dyDescent="0.2">
      <c r="A774" s="117" t="s">
        <v>21</v>
      </c>
      <c r="B774" s="117" t="s">
        <v>105</v>
      </c>
      <c r="C774" s="117" t="s">
        <v>225</v>
      </c>
      <c r="D774" s="118">
        <v>10361</v>
      </c>
      <c r="E774" s="119"/>
      <c r="F774" s="119"/>
      <c r="G774" s="119"/>
      <c r="H774" s="120"/>
      <c r="I774" s="118">
        <v>2329.75</v>
      </c>
      <c r="J774" s="119"/>
      <c r="K774" s="119"/>
      <c r="L774" s="119"/>
      <c r="M774" s="120"/>
    </row>
    <row r="775" spans="1:13" x14ac:dyDescent="0.2">
      <c r="A775" t="s">
        <v>21</v>
      </c>
      <c r="B775" t="s">
        <v>111</v>
      </c>
      <c r="C775" t="s">
        <v>222</v>
      </c>
      <c r="D775" s="110">
        <v>845</v>
      </c>
      <c r="E775" s="111">
        <v>845</v>
      </c>
      <c r="F775" s="111">
        <v>845</v>
      </c>
      <c r="G775" s="111">
        <v>845</v>
      </c>
      <c r="H775" s="112"/>
      <c r="I775" s="110">
        <v>120</v>
      </c>
      <c r="J775" s="111">
        <v>245</v>
      </c>
      <c r="K775" s="111">
        <v>245</v>
      </c>
      <c r="L775" s="111">
        <v>245</v>
      </c>
      <c r="M775" s="112"/>
    </row>
    <row r="776" spans="1:13" x14ac:dyDescent="0.2">
      <c r="A776" s="113" t="s">
        <v>21</v>
      </c>
      <c r="B776" s="113" t="s">
        <v>111</v>
      </c>
      <c r="C776" s="113" t="s">
        <v>223</v>
      </c>
      <c r="D776" s="114">
        <v>744.5</v>
      </c>
      <c r="E776" s="115">
        <v>746.26</v>
      </c>
      <c r="F776" s="115">
        <v>746.26</v>
      </c>
      <c r="G776" s="115"/>
      <c r="H776" s="116"/>
      <c r="I776" s="114">
        <v>394.5</v>
      </c>
      <c r="J776" s="115">
        <v>546.26</v>
      </c>
      <c r="K776" s="115">
        <v>546.26</v>
      </c>
      <c r="L776" s="115"/>
      <c r="M776" s="116"/>
    </row>
    <row r="777" spans="1:13" x14ac:dyDescent="0.2">
      <c r="A777" t="s">
        <v>21</v>
      </c>
      <c r="B777" t="s">
        <v>111</v>
      </c>
      <c r="C777" t="s">
        <v>224</v>
      </c>
      <c r="D777" s="110">
        <v>21</v>
      </c>
      <c r="E777" s="111">
        <v>21</v>
      </c>
      <c r="F777" s="111"/>
      <c r="G777" s="111"/>
      <c r="H777" s="112"/>
      <c r="I777" s="110">
        <v>21</v>
      </c>
      <c r="J777" s="111">
        <v>21</v>
      </c>
      <c r="K777" s="111"/>
      <c r="L777" s="111"/>
      <c r="M777" s="112"/>
    </row>
    <row r="778" spans="1:13" x14ac:dyDescent="0.2">
      <c r="A778" s="117" t="s">
        <v>21</v>
      </c>
      <c r="B778" s="117" t="s">
        <v>111</v>
      </c>
      <c r="C778" s="117" t="s">
        <v>225</v>
      </c>
      <c r="D778" s="118">
        <v>4303.5</v>
      </c>
      <c r="E778" s="119"/>
      <c r="F778" s="119"/>
      <c r="G778" s="119"/>
      <c r="H778" s="120"/>
      <c r="I778" s="118">
        <v>125</v>
      </c>
      <c r="J778" s="119"/>
      <c r="K778" s="119"/>
      <c r="L778" s="119"/>
      <c r="M778" s="120"/>
    </row>
    <row r="779" spans="1:13" x14ac:dyDescent="0.2">
      <c r="A779" s="124" t="s">
        <v>21</v>
      </c>
      <c r="B779" s="124" t="s">
        <v>109</v>
      </c>
      <c r="C779" s="124" t="s">
        <v>222</v>
      </c>
      <c r="D779" s="125">
        <v>109380</v>
      </c>
      <c r="E779" s="126">
        <v>10938</v>
      </c>
      <c r="F779" s="126">
        <v>10913</v>
      </c>
      <c r="G779" s="126">
        <v>10913</v>
      </c>
      <c r="H779" s="127"/>
      <c r="I779" s="125">
        <v>3063.25</v>
      </c>
      <c r="J779" s="126">
        <v>4860.5</v>
      </c>
      <c r="K779" s="126">
        <v>6445.25</v>
      </c>
      <c r="L779" s="126">
        <v>7851.75</v>
      </c>
      <c r="M779" s="127"/>
    </row>
    <row r="780" spans="1:13" x14ac:dyDescent="0.2">
      <c r="A780" s="113" t="s">
        <v>21</v>
      </c>
      <c r="B780" s="113" t="s">
        <v>109</v>
      </c>
      <c r="C780" s="113" t="s">
        <v>223</v>
      </c>
      <c r="D780" s="114">
        <v>16698</v>
      </c>
      <c r="E780" s="115">
        <v>16698</v>
      </c>
      <c r="F780" s="115">
        <v>16698</v>
      </c>
      <c r="G780" s="115"/>
      <c r="H780" s="116"/>
      <c r="I780" s="114">
        <v>5855.5</v>
      </c>
      <c r="J780" s="115">
        <v>8038</v>
      </c>
      <c r="K780" s="115">
        <v>9626.5</v>
      </c>
      <c r="L780" s="115"/>
      <c r="M780" s="116"/>
    </row>
    <row r="781" spans="1:13" x14ac:dyDescent="0.2">
      <c r="A781" t="s">
        <v>21</v>
      </c>
      <c r="B781" t="s">
        <v>109</v>
      </c>
      <c r="C781" t="s">
        <v>224</v>
      </c>
      <c r="D781" s="110">
        <v>8745.25</v>
      </c>
      <c r="E781" s="111">
        <v>8745.25</v>
      </c>
      <c r="F781" s="111"/>
      <c r="G781" s="111"/>
      <c r="H781" s="112"/>
      <c r="I781" s="110">
        <v>3114</v>
      </c>
      <c r="J781" s="111">
        <v>6152</v>
      </c>
      <c r="K781" s="111"/>
      <c r="L781" s="111"/>
      <c r="M781" s="112"/>
    </row>
    <row r="782" spans="1:13" x14ac:dyDescent="0.2">
      <c r="A782" s="117" t="s">
        <v>21</v>
      </c>
      <c r="B782" s="117" t="s">
        <v>109</v>
      </c>
      <c r="C782" s="117" t="s">
        <v>225</v>
      </c>
      <c r="D782" s="118">
        <v>16461.75</v>
      </c>
      <c r="E782" s="119"/>
      <c r="F782" s="119"/>
      <c r="G782" s="119"/>
      <c r="H782" s="120"/>
      <c r="I782" s="118">
        <v>2838.75</v>
      </c>
      <c r="J782" s="119"/>
      <c r="K782" s="119"/>
      <c r="L782" s="119"/>
      <c r="M782" s="120"/>
    </row>
    <row r="783" spans="1:13" x14ac:dyDescent="0.2">
      <c r="A783" t="s">
        <v>21</v>
      </c>
      <c r="B783" t="s">
        <v>106</v>
      </c>
      <c r="C783" t="s">
        <v>222</v>
      </c>
      <c r="D783" s="110">
        <v>8080</v>
      </c>
      <c r="E783" s="111">
        <v>7680</v>
      </c>
      <c r="F783" s="111">
        <v>7680</v>
      </c>
      <c r="G783" s="111">
        <v>7680</v>
      </c>
      <c r="H783" s="112"/>
      <c r="I783" s="110">
        <v>7230</v>
      </c>
      <c r="J783" s="111">
        <v>7230</v>
      </c>
      <c r="K783" s="111">
        <v>7230</v>
      </c>
      <c r="L783" s="111">
        <v>7230</v>
      </c>
      <c r="M783" s="112"/>
    </row>
    <row r="784" spans="1:13" x14ac:dyDescent="0.2">
      <c r="A784" s="113" t="s">
        <v>21</v>
      </c>
      <c r="B784" s="113" t="s">
        <v>106</v>
      </c>
      <c r="C784" s="113" t="s">
        <v>223</v>
      </c>
      <c r="D784" s="114">
        <v>12200</v>
      </c>
      <c r="E784" s="115">
        <v>12200</v>
      </c>
      <c r="F784" s="115">
        <v>11800</v>
      </c>
      <c r="G784" s="115"/>
      <c r="H784" s="116"/>
      <c r="I784" s="114">
        <v>11700</v>
      </c>
      <c r="J784" s="115">
        <v>11700</v>
      </c>
      <c r="K784" s="115">
        <v>11700</v>
      </c>
      <c r="L784" s="115"/>
      <c r="M784" s="116"/>
    </row>
    <row r="785" spans="1:13" x14ac:dyDescent="0.2">
      <c r="A785" t="s">
        <v>21</v>
      </c>
      <c r="B785" t="s">
        <v>106</v>
      </c>
      <c r="C785" t="s">
        <v>224</v>
      </c>
      <c r="D785" s="110">
        <v>4292</v>
      </c>
      <c r="E785" s="111">
        <v>4292</v>
      </c>
      <c r="F785" s="111"/>
      <c r="G785" s="111"/>
      <c r="H785" s="112"/>
      <c r="I785" s="110">
        <v>4242</v>
      </c>
      <c r="J785" s="111">
        <v>4292</v>
      </c>
      <c r="K785" s="111"/>
      <c r="L785" s="111"/>
      <c r="M785" s="112"/>
    </row>
    <row r="786" spans="1:13" x14ac:dyDescent="0.2">
      <c r="A786" s="117" t="s">
        <v>21</v>
      </c>
      <c r="B786" s="117" t="s">
        <v>106</v>
      </c>
      <c r="C786" s="117" t="s">
        <v>225</v>
      </c>
      <c r="D786" s="118">
        <v>6768.5</v>
      </c>
      <c r="E786" s="119"/>
      <c r="F786" s="119"/>
      <c r="G786" s="119"/>
      <c r="H786" s="120"/>
      <c r="I786" s="118">
        <v>6768.5</v>
      </c>
      <c r="J786" s="119"/>
      <c r="K786" s="119"/>
      <c r="L786" s="119"/>
      <c r="M786" s="120"/>
    </row>
    <row r="787" spans="1:13" x14ac:dyDescent="0.2">
      <c r="A787" t="s">
        <v>21</v>
      </c>
      <c r="B787" t="s">
        <v>107</v>
      </c>
      <c r="C787" t="s">
        <v>222</v>
      </c>
      <c r="D787" s="110">
        <v>16200</v>
      </c>
      <c r="E787" s="111">
        <v>16542</v>
      </c>
      <c r="F787" s="111">
        <v>16542</v>
      </c>
      <c r="G787" s="111">
        <v>16542</v>
      </c>
      <c r="H787" s="112"/>
      <c r="I787" s="110">
        <v>16200</v>
      </c>
      <c r="J787" s="111">
        <v>16200</v>
      </c>
      <c r="K787" s="111">
        <v>162000</v>
      </c>
      <c r="L787" s="111">
        <v>16200</v>
      </c>
      <c r="M787" s="112"/>
    </row>
    <row r="788" spans="1:13" x14ac:dyDescent="0.2">
      <c r="A788" s="113" t="s">
        <v>21</v>
      </c>
      <c r="B788" s="113" t="s">
        <v>107</v>
      </c>
      <c r="C788" s="113" t="s">
        <v>223</v>
      </c>
      <c r="D788" s="114">
        <v>16781</v>
      </c>
      <c r="E788" s="115">
        <v>16781</v>
      </c>
      <c r="F788" s="115">
        <v>16781</v>
      </c>
      <c r="G788" s="115"/>
      <c r="H788" s="116"/>
      <c r="I788" s="114">
        <v>16146</v>
      </c>
      <c r="J788" s="115">
        <v>16456</v>
      </c>
      <c r="K788" s="115">
        <v>16456</v>
      </c>
      <c r="L788" s="115"/>
      <c r="M788" s="116"/>
    </row>
    <row r="789" spans="1:13" x14ac:dyDescent="0.2">
      <c r="A789" t="s">
        <v>21</v>
      </c>
      <c r="B789" t="s">
        <v>107</v>
      </c>
      <c r="C789" t="s">
        <v>224</v>
      </c>
      <c r="D789" s="110">
        <v>12089</v>
      </c>
      <c r="E789" s="111">
        <v>11614.8</v>
      </c>
      <c r="F789" s="111"/>
      <c r="G789" s="111"/>
      <c r="H789" s="112"/>
      <c r="I789" s="110">
        <v>11099.8</v>
      </c>
      <c r="J789" s="111">
        <v>11294.8</v>
      </c>
      <c r="K789" s="111"/>
      <c r="L789" s="111"/>
      <c r="M789" s="112"/>
    </row>
    <row r="790" spans="1:13" x14ac:dyDescent="0.2">
      <c r="A790" s="117" t="s">
        <v>21</v>
      </c>
      <c r="B790" s="117" t="s">
        <v>107</v>
      </c>
      <c r="C790" s="117" t="s">
        <v>225</v>
      </c>
      <c r="D790" s="118">
        <v>16125.23</v>
      </c>
      <c r="E790" s="119"/>
      <c r="F790" s="119"/>
      <c r="G790" s="119"/>
      <c r="H790" s="120"/>
      <c r="I790" s="118">
        <v>15510.23</v>
      </c>
      <c r="J790" s="119"/>
      <c r="K790" s="119"/>
      <c r="L790" s="119"/>
      <c r="M790" s="120"/>
    </row>
    <row r="791" spans="1:13" x14ac:dyDescent="0.2">
      <c r="A791" t="s">
        <v>21</v>
      </c>
      <c r="B791" t="s">
        <v>108</v>
      </c>
      <c r="C791" t="s">
        <v>222</v>
      </c>
      <c r="D791" s="110">
        <v>4162</v>
      </c>
      <c r="E791" s="111">
        <v>4162</v>
      </c>
      <c r="F791" s="111">
        <v>4162</v>
      </c>
      <c r="G791" s="111">
        <v>4162</v>
      </c>
      <c r="H791" s="112"/>
      <c r="I791" s="110">
        <v>4162</v>
      </c>
      <c r="J791" s="111">
        <v>4162</v>
      </c>
      <c r="K791" s="111">
        <v>4162</v>
      </c>
      <c r="L791" s="111">
        <v>4162</v>
      </c>
      <c r="M791" s="112"/>
    </row>
    <row r="792" spans="1:13" x14ac:dyDescent="0.2">
      <c r="A792" s="113" t="s">
        <v>21</v>
      </c>
      <c r="B792" s="113" t="s">
        <v>108</v>
      </c>
      <c r="C792" s="113" t="s">
        <v>223</v>
      </c>
      <c r="D792" s="114">
        <v>4634</v>
      </c>
      <c r="E792" s="115">
        <v>4634</v>
      </c>
      <c r="F792" s="115">
        <v>4634</v>
      </c>
      <c r="G792" s="115"/>
      <c r="H792" s="116"/>
      <c r="I792" s="114">
        <v>4634</v>
      </c>
      <c r="J792" s="115">
        <v>4634</v>
      </c>
      <c r="K792" s="115">
        <v>4634</v>
      </c>
      <c r="L792" s="115"/>
      <c r="M792" s="116"/>
    </row>
    <row r="793" spans="1:13" x14ac:dyDescent="0.2">
      <c r="A793" t="s">
        <v>21</v>
      </c>
      <c r="B793" t="s">
        <v>108</v>
      </c>
      <c r="C793" t="s">
        <v>224</v>
      </c>
      <c r="D793" s="110">
        <v>4292.46</v>
      </c>
      <c r="E793" s="111">
        <v>4692.46</v>
      </c>
      <c r="F793" s="111"/>
      <c r="G793" s="111"/>
      <c r="H793" s="112"/>
      <c r="I793" s="110">
        <v>4292.46</v>
      </c>
      <c r="J793" s="111">
        <v>4292.46</v>
      </c>
      <c r="K793" s="111"/>
      <c r="L793" s="111"/>
      <c r="M793" s="112"/>
    </row>
    <row r="794" spans="1:13" x14ac:dyDescent="0.2">
      <c r="A794" s="117" t="s">
        <v>21</v>
      </c>
      <c r="B794" s="117" t="s">
        <v>108</v>
      </c>
      <c r="C794" s="117" t="s">
        <v>225</v>
      </c>
      <c r="D794" s="118">
        <v>5192.6499999999996</v>
      </c>
      <c r="E794" s="119"/>
      <c r="F794" s="119"/>
      <c r="G794" s="119"/>
      <c r="H794" s="120"/>
      <c r="I794" s="118">
        <v>5192.6499999999996</v>
      </c>
      <c r="J794" s="119"/>
      <c r="K794" s="119"/>
      <c r="L794" s="119"/>
      <c r="M794" s="120"/>
    </row>
    <row r="795" spans="1:13" x14ac:dyDescent="0.2">
      <c r="A795" t="s">
        <v>21</v>
      </c>
      <c r="B795" t="s">
        <v>70</v>
      </c>
      <c r="C795" t="s">
        <v>222</v>
      </c>
      <c r="D795" s="110">
        <v>8130.7</v>
      </c>
      <c r="E795" s="111">
        <v>8130.7</v>
      </c>
      <c r="F795" s="111">
        <v>8130.7</v>
      </c>
      <c r="G795" s="111">
        <v>8130.7</v>
      </c>
      <c r="H795" s="112"/>
      <c r="I795" s="110">
        <v>6782.7</v>
      </c>
      <c r="J795" s="111">
        <v>7190.7</v>
      </c>
      <c r="K795" s="111">
        <v>7190.7</v>
      </c>
      <c r="L795" s="111">
        <v>7190.7</v>
      </c>
      <c r="M795" s="112"/>
    </row>
    <row r="796" spans="1:13" x14ac:dyDescent="0.2">
      <c r="A796" s="113" t="s">
        <v>21</v>
      </c>
      <c r="B796" s="113" t="s">
        <v>70</v>
      </c>
      <c r="C796" s="113" t="s">
        <v>223</v>
      </c>
      <c r="D796" s="114">
        <v>9129.5</v>
      </c>
      <c r="E796" s="115">
        <v>9129.5</v>
      </c>
      <c r="F796" s="115">
        <v>9129.5</v>
      </c>
      <c r="G796" s="115"/>
      <c r="H796" s="116"/>
      <c r="I796" s="114">
        <v>8313.5</v>
      </c>
      <c r="J796" s="115">
        <v>8313.5</v>
      </c>
      <c r="K796" s="115">
        <v>8313.5</v>
      </c>
      <c r="L796" s="115"/>
      <c r="M796" s="116"/>
    </row>
    <row r="797" spans="1:13" x14ac:dyDescent="0.2">
      <c r="A797" t="s">
        <v>21</v>
      </c>
      <c r="B797" t="s">
        <v>70</v>
      </c>
      <c r="C797" t="s">
        <v>224</v>
      </c>
      <c r="D797" s="110">
        <v>9870.9</v>
      </c>
      <c r="E797" s="111">
        <v>6870.9</v>
      </c>
      <c r="F797" s="111"/>
      <c r="G797" s="111"/>
      <c r="H797" s="112"/>
      <c r="I797" s="110">
        <v>6462.9</v>
      </c>
      <c r="J797" s="111">
        <v>6462.9</v>
      </c>
      <c r="K797" s="111"/>
      <c r="L797" s="111"/>
      <c r="M797" s="112"/>
    </row>
    <row r="798" spans="1:13" x14ac:dyDescent="0.2">
      <c r="A798" s="117" t="s">
        <v>21</v>
      </c>
      <c r="B798" s="117" t="s">
        <v>70</v>
      </c>
      <c r="C798" s="117" t="s">
        <v>225</v>
      </c>
      <c r="D798" s="118">
        <v>8449.4500000000007</v>
      </c>
      <c r="E798" s="119"/>
      <c r="F798" s="119"/>
      <c r="G798" s="119"/>
      <c r="H798" s="120"/>
      <c r="I798" s="118">
        <v>8041.45</v>
      </c>
      <c r="J798" s="119"/>
      <c r="K798" s="119"/>
      <c r="L798" s="119"/>
      <c r="M798" s="120"/>
    </row>
    <row r="799" spans="1:13" x14ac:dyDescent="0.2">
      <c r="A799" t="s">
        <v>21</v>
      </c>
      <c r="B799" t="s">
        <v>110</v>
      </c>
      <c r="C799" t="s">
        <v>222</v>
      </c>
      <c r="D799" s="110">
        <v>72817.3</v>
      </c>
      <c r="E799" s="111">
        <v>69670.55</v>
      </c>
      <c r="F799" s="111">
        <v>69801.7</v>
      </c>
      <c r="G799" s="111">
        <v>69801.7</v>
      </c>
      <c r="H799" s="112"/>
      <c r="I799" s="110">
        <v>31554.97</v>
      </c>
      <c r="J799" s="111">
        <v>56048.55</v>
      </c>
      <c r="K799" s="111">
        <v>61359.3</v>
      </c>
      <c r="L799" s="111">
        <v>63237.3</v>
      </c>
      <c r="M799" s="112"/>
    </row>
    <row r="800" spans="1:13" x14ac:dyDescent="0.2">
      <c r="A800" s="113" t="s">
        <v>21</v>
      </c>
      <c r="B800" s="113" t="s">
        <v>110</v>
      </c>
      <c r="C800" s="113" t="s">
        <v>223</v>
      </c>
      <c r="D800" s="114">
        <v>65575.25</v>
      </c>
      <c r="E800" s="115">
        <v>63730.15</v>
      </c>
      <c r="F800" s="115">
        <v>63985.15</v>
      </c>
      <c r="G800" s="115"/>
      <c r="H800" s="116"/>
      <c r="I800" s="114">
        <v>37241.910000000003</v>
      </c>
      <c r="J800" s="115">
        <v>53328.15</v>
      </c>
      <c r="K800" s="115">
        <v>58356.55</v>
      </c>
      <c r="L800" s="115"/>
      <c r="M800" s="116"/>
    </row>
    <row r="801" spans="1:13" x14ac:dyDescent="0.2">
      <c r="A801" t="s">
        <v>21</v>
      </c>
      <c r="B801" t="s">
        <v>110</v>
      </c>
      <c r="C801" t="s">
        <v>224</v>
      </c>
      <c r="D801" s="110">
        <v>66908.75</v>
      </c>
      <c r="E801" s="111">
        <v>65141.05</v>
      </c>
      <c r="F801" s="111"/>
      <c r="G801" s="111"/>
      <c r="H801" s="112"/>
      <c r="I801" s="110">
        <v>28612.75</v>
      </c>
      <c r="J801" s="111">
        <v>46182.05</v>
      </c>
      <c r="K801" s="111"/>
      <c r="L801" s="111"/>
      <c r="M801" s="112"/>
    </row>
    <row r="802" spans="1:13" ht="13.5" thickBot="1" x14ac:dyDescent="0.25">
      <c r="A802" s="128" t="s">
        <v>21</v>
      </c>
      <c r="B802" s="128" t="s">
        <v>110</v>
      </c>
      <c r="C802" s="128" t="s">
        <v>225</v>
      </c>
      <c r="D802" s="129">
        <v>73337.95</v>
      </c>
      <c r="E802" s="130"/>
      <c r="F802" s="130"/>
      <c r="G802" s="130"/>
      <c r="H802" s="131"/>
      <c r="I802" s="129">
        <v>34960.949999999997</v>
      </c>
      <c r="J802" s="130"/>
      <c r="K802" s="130"/>
      <c r="L802" s="130"/>
      <c r="M802" s="131"/>
    </row>
    <row r="803" spans="1:13" x14ac:dyDescent="0.2">
      <c r="A803" s="132" t="s">
        <v>22</v>
      </c>
      <c r="B803" s="132" t="s">
        <v>104</v>
      </c>
      <c r="C803" s="132" t="s">
        <v>222</v>
      </c>
      <c r="D803" s="133">
        <v>14727.5</v>
      </c>
      <c r="E803" s="134">
        <v>14727.5</v>
      </c>
      <c r="F803" s="134">
        <v>14727.5</v>
      </c>
      <c r="G803" s="134">
        <v>14677.5</v>
      </c>
      <c r="H803" s="135"/>
      <c r="I803" s="133">
        <v>1277.5</v>
      </c>
      <c r="J803" s="134">
        <v>2568.46</v>
      </c>
      <c r="K803" s="134">
        <v>3315.36</v>
      </c>
      <c r="L803" s="134">
        <v>4429.25</v>
      </c>
      <c r="M803" s="135"/>
    </row>
    <row r="804" spans="1:13" x14ac:dyDescent="0.2">
      <c r="A804" s="113" t="s">
        <v>22</v>
      </c>
      <c r="B804" s="113" t="s">
        <v>104</v>
      </c>
      <c r="C804" s="113" t="s">
        <v>223</v>
      </c>
      <c r="D804" s="114">
        <v>17584.5</v>
      </c>
      <c r="E804" s="115">
        <v>17584.5</v>
      </c>
      <c r="F804" s="115">
        <v>17584.5</v>
      </c>
      <c r="G804" s="115"/>
      <c r="H804" s="116"/>
      <c r="I804" s="114">
        <v>1238.47</v>
      </c>
      <c r="J804" s="115">
        <v>3323.46</v>
      </c>
      <c r="K804" s="115">
        <v>5596.74</v>
      </c>
      <c r="L804" s="115"/>
      <c r="M804" s="116"/>
    </row>
    <row r="805" spans="1:13" x14ac:dyDescent="0.2">
      <c r="A805" t="s">
        <v>22</v>
      </c>
      <c r="B805" t="s">
        <v>104</v>
      </c>
      <c r="C805" t="s">
        <v>224</v>
      </c>
      <c r="D805" s="110">
        <v>5274.5</v>
      </c>
      <c r="E805" s="111">
        <v>5274.5</v>
      </c>
      <c r="F805" s="111"/>
      <c r="G805" s="111"/>
      <c r="H805" s="112"/>
      <c r="I805" s="110">
        <v>608.29</v>
      </c>
      <c r="J805" s="111">
        <v>1572.38</v>
      </c>
      <c r="K805" s="111"/>
      <c r="L805" s="111"/>
      <c r="M805" s="112"/>
    </row>
    <row r="806" spans="1:13" x14ac:dyDescent="0.2">
      <c r="A806" s="117" t="s">
        <v>22</v>
      </c>
      <c r="B806" s="117" t="s">
        <v>104</v>
      </c>
      <c r="C806" s="117" t="s">
        <v>225</v>
      </c>
      <c r="D806" s="118">
        <v>76493</v>
      </c>
      <c r="E806" s="119"/>
      <c r="F806" s="119"/>
      <c r="G806" s="119"/>
      <c r="H806" s="120"/>
      <c r="I806" s="118">
        <v>1859.21</v>
      </c>
      <c r="J806" s="119"/>
      <c r="K806" s="119"/>
      <c r="L806" s="119"/>
      <c r="M806" s="120"/>
    </row>
    <row r="807" spans="1:13" x14ac:dyDescent="0.2">
      <c r="A807" t="s">
        <v>22</v>
      </c>
      <c r="B807" t="s">
        <v>140</v>
      </c>
      <c r="C807" t="s">
        <v>222</v>
      </c>
      <c r="D807" s="110">
        <v>0</v>
      </c>
      <c r="E807" s="111"/>
      <c r="F807" s="111"/>
      <c r="G807" s="111"/>
      <c r="H807" s="112"/>
      <c r="I807" s="110">
        <v>0</v>
      </c>
      <c r="J807" s="111"/>
      <c r="K807" s="111"/>
      <c r="L807" s="111"/>
      <c r="M807" s="112"/>
    </row>
    <row r="808" spans="1:13" x14ac:dyDescent="0.2">
      <c r="A808" s="113" t="s">
        <v>22</v>
      </c>
      <c r="B808" s="113" t="s">
        <v>140</v>
      </c>
      <c r="C808" s="113" t="s">
        <v>223</v>
      </c>
      <c r="D808" s="114"/>
      <c r="E808" s="115"/>
      <c r="F808" s="115"/>
      <c r="G808" s="115"/>
      <c r="H808" s="116"/>
      <c r="I808" s="114"/>
      <c r="J808" s="115"/>
      <c r="K808" s="115"/>
      <c r="L808" s="115"/>
      <c r="M808" s="116"/>
    </row>
    <row r="809" spans="1:13" x14ac:dyDescent="0.2">
      <c r="A809" t="s">
        <v>22</v>
      </c>
      <c r="B809" t="s">
        <v>140</v>
      </c>
      <c r="C809" t="s">
        <v>224</v>
      </c>
      <c r="D809" s="110"/>
      <c r="E809" s="111">
        <v>100</v>
      </c>
      <c r="F809" s="111"/>
      <c r="G809" s="111"/>
      <c r="H809" s="112"/>
      <c r="I809" s="110"/>
      <c r="J809" s="111"/>
      <c r="K809" s="111"/>
      <c r="L809" s="111"/>
      <c r="M809" s="112"/>
    </row>
    <row r="810" spans="1:13" x14ac:dyDescent="0.2">
      <c r="A810" s="117" t="s">
        <v>22</v>
      </c>
      <c r="B810" s="117" t="s">
        <v>140</v>
      </c>
      <c r="C810" s="117" t="s">
        <v>225</v>
      </c>
      <c r="D810" s="118">
        <v>53050</v>
      </c>
      <c r="E810" s="119"/>
      <c r="F810" s="119"/>
      <c r="G810" s="119"/>
      <c r="H810" s="120"/>
      <c r="I810" s="118"/>
      <c r="J810" s="119"/>
      <c r="K810" s="119"/>
      <c r="L810" s="119"/>
      <c r="M810" s="120"/>
    </row>
    <row r="811" spans="1:13" x14ac:dyDescent="0.2">
      <c r="A811" t="s">
        <v>22</v>
      </c>
      <c r="B811" t="s">
        <v>105</v>
      </c>
      <c r="C811" t="s">
        <v>222</v>
      </c>
      <c r="D811" s="110">
        <v>10689</v>
      </c>
      <c r="E811" s="111">
        <v>11150</v>
      </c>
      <c r="F811" s="111">
        <v>11175</v>
      </c>
      <c r="G811" s="111">
        <v>11175</v>
      </c>
      <c r="H811" s="112"/>
      <c r="I811" s="110">
        <v>3624.5</v>
      </c>
      <c r="J811" s="111">
        <v>5294.5</v>
      </c>
      <c r="K811" s="111">
        <v>5779.5</v>
      </c>
      <c r="L811" s="111">
        <v>5901.5</v>
      </c>
      <c r="M811" s="112"/>
    </row>
    <row r="812" spans="1:13" x14ac:dyDescent="0.2">
      <c r="A812" s="113" t="s">
        <v>22</v>
      </c>
      <c r="B812" s="113" t="s">
        <v>105</v>
      </c>
      <c r="C812" s="113" t="s">
        <v>223</v>
      </c>
      <c r="D812" s="114">
        <v>13421.5</v>
      </c>
      <c r="E812" s="115">
        <v>13471.5</v>
      </c>
      <c r="F812" s="115">
        <v>13399.5</v>
      </c>
      <c r="G812" s="115"/>
      <c r="H812" s="116"/>
      <c r="I812" s="114">
        <v>4370</v>
      </c>
      <c r="J812" s="115">
        <v>5369.5</v>
      </c>
      <c r="K812" s="115">
        <v>6326</v>
      </c>
      <c r="L812" s="115"/>
      <c r="M812" s="116"/>
    </row>
    <row r="813" spans="1:13" x14ac:dyDescent="0.2">
      <c r="A813" t="s">
        <v>22</v>
      </c>
      <c r="B813" t="s">
        <v>105</v>
      </c>
      <c r="C813" t="s">
        <v>224</v>
      </c>
      <c r="D813" s="110">
        <v>11036.5</v>
      </c>
      <c r="E813" s="111">
        <v>11036.5</v>
      </c>
      <c r="F813" s="111"/>
      <c r="G813" s="111"/>
      <c r="H813" s="112"/>
      <c r="I813" s="110">
        <v>4866</v>
      </c>
      <c r="J813" s="111">
        <v>7064</v>
      </c>
      <c r="K813" s="111"/>
      <c r="L813" s="111"/>
      <c r="M813" s="112"/>
    </row>
    <row r="814" spans="1:13" x14ac:dyDescent="0.2">
      <c r="A814" s="117" t="s">
        <v>22</v>
      </c>
      <c r="B814" s="117" t="s">
        <v>105</v>
      </c>
      <c r="C814" s="117" t="s">
        <v>225</v>
      </c>
      <c r="D814" s="118">
        <v>10693.8</v>
      </c>
      <c r="E814" s="119"/>
      <c r="F814" s="119"/>
      <c r="G814" s="119"/>
      <c r="H814" s="120"/>
      <c r="I814" s="118">
        <v>4542.3</v>
      </c>
      <c r="J814" s="119"/>
      <c r="K814" s="119"/>
      <c r="L814" s="119"/>
      <c r="M814" s="120"/>
    </row>
    <row r="815" spans="1:13" x14ac:dyDescent="0.2">
      <c r="A815" t="s">
        <v>22</v>
      </c>
      <c r="B815" t="s">
        <v>111</v>
      </c>
      <c r="C815" t="s">
        <v>222</v>
      </c>
      <c r="D815" s="110">
        <v>110</v>
      </c>
      <c r="E815" s="111">
        <v>110</v>
      </c>
      <c r="F815" s="111">
        <v>110</v>
      </c>
      <c r="G815" s="111">
        <v>110</v>
      </c>
      <c r="H815" s="112"/>
      <c r="I815" s="110">
        <v>30</v>
      </c>
      <c r="J815" s="111">
        <v>30</v>
      </c>
      <c r="K815" s="111">
        <v>30</v>
      </c>
      <c r="L815" s="111">
        <v>30</v>
      </c>
      <c r="M815" s="112"/>
    </row>
    <row r="816" spans="1:13" x14ac:dyDescent="0.2">
      <c r="A816" s="113" t="s">
        <v>22</v>
      </c>
      <c r="B816" s="113" t="s">
        <v>111</v>
      </c>
      <c r="C816" s="113" t="s">
        <v>223</v>
      </c>
      <c r="D816" s="114">
        <v>100</v>
      </c>
      <c r="E816" s="115">
        <v>100</v>
      </c>
      <c r="F816" s="115">
        <v>100</v>
      </c>
      <c r="G816" s="115"/>
      <c r="H816" s="116"/>
      <c r="I816" s="114">
        <v>0</v>
      </c>
      <c r="J816" s="115">
        <v>0</v>
      </c>
      <c r="K816" s="115"/>
      <c r="L816" s="115"/>
      <c r="M816" s="116"/>
    </row>
    <row r="817" spans="1:16384" x14ac:dyDescent="0.2">
      <c r="A817" t="s">
        <v>22</v>
      </c>
      <c r="B817" t="s">
        <v>111</v>
      </c>
      <c r="C817" t="s">
        <v>224</v>
      </c>
      <c r="D817" s="110">
        <v>0</v>
      </c>
      <c r="E817" s="111">
        <v>0</v>
      </c>
      <c r="F817" s="111"/>
      <c r="G817" s="111"/>
      <c r="H817" s="112"/>
      <c r="I817" s="110">
        <v>0</v>
      </c>
      <c r="J817" s="111">
        <v>0</v>
      </c>
      <c r="K817" s="111"/>
      <c r="L817" s="111"/>
      <c r="M817" s="112"/>
    </row>
    <row r="818" spans="1:16384" ht="13.5" thickBot="1" x14ac:dyDescent="0.25">
      <c r="A818" s="117" t="s">
        <v>22</v>
      </c>
      <c r="B818" s="117" t="s">
        <v>111</v>
      </c>
      <c r="C818" s="117" t="s">
        <v>225</v>
      </c>
      <c r="D818" s="118">
        <v>370</v>
      </c>
      <c r="E818" s="119"/>
      <c r="F818" s="119"/>
      <c r="G818" s="119"/>
      <c r="H818" s="120"/>
      <c r="I818" s="118">
        <v>270</v>
      </c>
      <c r="J818" s="119"/>
      <c r="K818" s="119"/>
      <c r="L818" s="119"/>
      <c r="M818" s="120"/>
    </row>
    <row r="819" spans="1:16384" x14ac:dyDescent="0.2">
      <c r="A819" s="124" t="s">
        <v>22</v>
      </c>
      <c r="B819" s="124" t="s">
        <v>109</v>
      </c>
      <c r="C819" s="124" t="s">
        <v>222</v>
      </c>
      <c r="D819" s="125">
        <v>19885.5</v>
      </c>
      <c r="E819" s="126">
        <v>19880.5</v>
      </c>
      <c r="F819" s="126">
        <v>19880.5</v>
      </c>
      <c r="G819" s="126">
        <v>19880.5</v>
      </c>
      <c r="H819" s="127"/>
      <c r="I819" s="125">
        <v>6377.5</v>
      </c>
      <c r="J819" s="126">
        <v>9275</v>
      </c>
      <c r="K819" s="126">
        <v>9745</v>
      </c>
      <c r="L819" s="126">
        <v>10250.5</v>
      </c>
      <c r="M819" s="127"/>
      <c r="N819" s="132"/>
      <c r="O819" s="132"/>
      <c r="P819" s="132"/>
      <c r="Q819" s="133"/>
      <c r="R819" s="134"/>
      <c r="S819" s="134"/>
      <c r="T819" s="134"/>
      <c r="U819" s="135"/>
      <c r="V819" s="133"/>
      <c r="W819" s="134"/>
      <c r="X819" s="134"/>
      <c r="Y819" s="134"/>
      <c r="Z819" s="135"/>
      <c r="AA819" s="132"/>
      <c r="AB819" s="132"/>
      <c r="AC819" s="132"/>
      <c r="AD819" s="133"/>
      <c r="AE819" s="134"/>
      <c r="AF819" s="134"/>
      <c r="AG819" s="134"/>
      <c r="AH819" s="135"/>
      <c r="AI819" s="133"/>
      <c r="AJ819" s="134"/>
      <c r="AK819" s="134"/>
      <c r="AL819" s="134"/>
      <c r="AM819" s="135"/>
      <c r="AN819" s="132"/>
      <c r="AO819" s="132"/>
      <c r="AP819" s="132"/>
      <c r="AQ819" s="133"/>
      <c r="AR819" s="134"/>
      <c r="AS819" s="134"/>
      <c r="AT819" s="134"/>
      <c r="AU819" s="135"/>
      <c r="AV819" s="133"/>
      <c r="AW819" s="134"/>
      <c r="AX819" s="134"/>
      <c r="AY819" s="134"/>
      <c r="AZ819" s="135"/>
      <c r="BA819" s="132"/>
      <c r="BB819" s="132"/>
      <c r="BC819" s="132"/>
      <c r="BD819" s="133"/>
      <c r="BE819" s="134"/>
      <c r="BF819" s="134"/>
      <c r="BG819" s="134"/>
      <c r="BH819" s="135"/>
      <c r="BI819" s="133"/>
      <c r="BJ819" s="134"/>
      <c r="BK819" s="134"/>
      <c r="BL819" s="134"/>
      <c r="BM819" s="135"/>
      <c r="BN819" s="132"/>
      <c r="BO819" s="132"/>
      <c r="BP819" s="132"/>
      <c r="BQ819" s="133"/>
      <c r="BR819" s="134"/>
      <c r="BS819" s="134"/>
      <c r="BT819" s="134"/>
      <c r="BU819" s="135"/>
      <c r="BV819" s="133"/>
      <c r="BW819" s="134"/>
      <c r="BX819" s="134"/>
      <c r="BY819" s="134"/>
      <c r="BZ819" s="135"/>
      <c r="CA819" s="132"/>
      <c r="CB819" s="132"/>
      <c r="CC819" s="132"/>
      <c r="CD819" s="133"/>
      <c r="CE819" s="134"/>
      <c r="CF819" s="134"/>
      <c r="CG819" s="134"/>
      <c r="CH819" s="135"/>
      <c r="CI819" s="133"/>
      <c r="CJ819" s="134"/>
      <c r="CK819" s="134"/>
      <c r="CL819" s="134"/>
      <c r="CM819" s="135"/>
      <c r="CN819" s="132"/>
      <c r="CO819" s="132"/>
      <c r="CP819" s="132"/>
      <c r="CQ819" s="133"/>
      <c r="CR819" s="134"/>
      <c r="CS819" s="134"/>
      <c r="CT819" s="134"/>
      <c r="CU819" s="135"/>
      <c r="CV819" s="133"/>
      <c r="CW819" s="134"/>
      <c r="CX819" s="134"/>
      <c r="CY819" s="134"/>
      <c r="CZ819" s="135"/>
      <c r="DA819" s="132"/>
      <c r="DB819" s="132"/>
      <c r="DC819" s="132"/>
      <c r="DD819" s="133"/>
      <c r="DE819" s="134"/>
      <c r="DF819" s="134"/>
      <c r="DG819" s="134"/>
      <c r="DH819" s="135"/>
      <c r="DI819" s="133"/>
      <c r="DJ819" s="134"/>
      <c r="DK819" s="134"/>
      <c r="DL819" s="134"/>
      <c r="DM819" s="135"/>
      <c r="DN819" s="132"/>
      <c r="DO819" s="132"/>
      <c r="DP819" s="132"/>
      <c r="DQ819" s="133"/>
      <c r="DR819" s="134"/>
      <c r="DS819" s="134"/>
      <c r="DT819" s="134"/>
      <c r="DU819" s="135"/>
      <c r="DV819" s="133"/>
      <c r="DW819" s="134"/>
      <c r="DX819" s="134"/>
      <c r="DY819" s="134"/>
      <c r="DZ819" s="135"/>
      <c r="EA819" s="132"/>
      <c r="EB819" s="132"/>
      <c r="EC819" s="132"/>
      <c r="ED819" s="133"/>
      <c r="EE819" s="134"/>
      <c r="EF819" s="134"/>
      <c r="EG819" s="134"/>
      <c r="EH819" s="135"/>
      <c r="EI819" s="133"/>
      <c r="EJ819" s="134"/>
      <c r="EK819" s="134"/>
      <c r="EL819" s="134"/>
      <c r="EM819" s="135"/>
      <c r="EN819" s="132"/>
      <c r="EO819" s="132"/>
      <c r="EP819" s="132"/>
      <c r="EQ819" s="133"/>
      <c r="ER819" s="134"/>
      <c r="ES819" s="134"/>
      <c r="ET819" s="134"/>
      <c r="EU819" s="135"/>
      <c r="EV819" s="133"/>
      <c r="EW819" s="134"/>
      <c r="EX819" s="134"/>
      <c r="EY819" s="134"/>
      <c r="EZ819" s="135"/>
      <c r="FA819" s="132"/>
      <c r="FB819" s="132"/>
      <c r="FC819" s="132"/>
      <c r="FD819" s="133"/>
      <c r="FE819" s="134"/>
      <c r="FF819" s="134"/>
      <c r="FG819" s="134"/>
      <c r="FH819" s="135"/>
      <c r="FI819" s="133"/>
      <c r="FJ819" s="134"/>
      <c r="FK819" s="134"/>
      <c r="FL819" s="134"/>
      <c r="FM819" s="135"/>
      <c r="FN819" s="132"/>
      <c r="FO819" s="132"/>
      <c r="FP819" s="132"/>
      <c r="FQ819" s="133"/>
      <c r="FR819" s="134"/>
      <c r="FS819" s="134"/>
      <c r="FT819" s="134"/>
      <c r="FU819" s="135"/>
      <c r="FV819" s="133"/>
      <c r="FW819" s="134"/>
      <c r="FX819" s="134"/>
      <c r="FY819" s="134"/>
      <c r="FZ819" s="135"/>
      <c r="GA819" s="132"/>
      <c r="GB819" s="132"/>
      <c r="GC819" s="132"/>
      <c r="GD819" s="133"/>
      <c r="GE819" s="134"/>
      <c r="GF819" s="134"/>
      <c r="GG819" s="134"/>
      <c r="GH819" s="135"/>
      <c r="GI819" s="133"/>
      <c r="GJ819" s="134"/>
      <c r="GK819" s="134"/>
      <c r="GL819" s="134"/>
      <c r="GM819" s="135"/>
      <c r="GN819" s="132"/>
      <c r="GO819" s="132"/>
      <c r="GP819" s="132"/>
      <c r="GQ819" s="133"/>
      <c r="GR819" s="134"/>
      <c r="GS819" s="134"/>
      <c r="GT819" s="134"/>
      <c r="GU819" s="135"/>
      <c r="GV819" s="133"/>
      <c r="GW819" s="134"/>
      <c r="GX819" s="134"/>
      <c r="GY819" s="134"/>
      <c r="GZ819" s="135"/>
      <c r="HA819" s="132"/>
      <c r="HB819" s="132"/>
      <c r="HC819" s="132"/>
      <c r="HD819" s="133"/>
      <c r="HE819" s="134"/>
      <c r="HF819" s="134"/>
      <c r="HG819" s="134"/>
      <c r="HH819" s="135"/>
      <c r="HI819" s="133"/>
      <c r="HJ819" s="134"/>
      <c r="HK819" s="134"/>
      <c r="HL819" s="134"/>
      <c r="HM819" s="135"/>
      <c r="HN819" s="132"/>
      <c r="HO819" s="132"/>
      <c r="HP819" s="132"/>
      <c r="HQ819" s="133"/>
      <c r="HR819" s="134"/>
      <c r="HS819" s="134"/>
      <c r="HT819" s="134"/>
      <c r="HU819" s="135"/>
      <c r="HV819" s="133"/>
      <c r="HW819" s="134"/>
      <c r="HX819" s="134"/>
      <c r="HY819" s="134"/>
      <c r="HZ819" s="135"/>
      <c r="IA819" s="132"/>
      <c r="IB819" s="132"/>
      <c r="IC819" s="132"/>
      <c r="ID819" s="133"/>
      <c r="IE819" s="134"/>
      <c r="IF819" s="134"/>
      <c r="IG819" s="134"/>
      <c r="IH819" s="135"/>
      <c r="II819" s="133"/>
      <c r="IJ819" s="134"/>
      <c r="IK819" s="134"/>
      <c r="IL819" s="134"/>
      <c r="IM819" s="135"/>
      <c r="IN819" s="132"/>
      <c r="IO819" s="132"/>
      <c r="IP819" s="132"/>
      <c r="IQ819" s="133"/>
      <c r="IR819" s="134"/>
      <c r="IS819" s="134"/>
      <c r="IT819" s="134"/>
      <c r="IU819" s="135"/>
      <c r="IV819" s="133"/>
      <c r="IW819" s="134"/>
      <c r="IX819" s="134"/>
      <c r="IY819" s="134"/>
      <c r="IZ819" s="135"/>
      <c r="JA819" s="132"/>
      <c r="JB819" s="132"/>
      <c r="JC819" s="132"/>
      <c r="JD819" s="133"/>
      <c r="JE819" s="134"/>
      <c r="JF819" s="134"/>
      <c r="JG819" s="134"/>
      <c r="JH819" s="135"/>
      <c r="JI819" s="133"/>
      <c r="JJ819" s="134"/>
      <c r="JK819" s="134"/>
      <c r="JL819" s="134"/>
      <c r="JM819" s="135"/>
      <c r="JN819" s="132"/>
      <c r="JO819" s="132"/>
      <c r="JP819" s="132"/>
      <c r="JQ819" s="133"/>
      <c r="JR819" s="134"/>
      <c r="JS819" s="134"/>
      <c r="JT819" s="134"/>
      <c r="JU819" s="135"/>
      <c r="JV819" s="133"/>
      <c r="JW819" s="134"/>
      <c r="JX819" s="134"/>
      <c r="JY819" s="134"/>
      <c r="JZ819" s="135"/>
      <c r="KA819" s="132"/>
      <c r="KB819" s="132"/>
      <c r="KC819" s="132"/>
      <c r="KD819" s="133"/>
      <c r="KE819" s="134"/>
      <c r="KF819" s="134"/>
      <c r="KG819" s="134"/>
      <c r="KH819" s="135"/>
      <c r="KI819" s="133"/>
      <c r="KJ819" s="134"/>
      <c r="KK819" s="134"/>
      <c r="KL819" s="134"/>
      <c r="KM819" s="135"/>
      <c r="KN819" s="132"/>
      <c r="KO819" s="132"/>
      <c r="KP819" s="132"/>
      <c r="KQ819" s="133"/>
      <c r="KR819" s="134"/>
      <c r="KS819" s="134"/>
      <c r="KT819" s="134"/>
      <c r="KU819" s="135"/>
      <c r="KV819" s="133"/>
      <c r="KW819" s="134"/>
      <c r="KX819" s="134"/>
      <c r="KY819" s="134"/>
      <c r="KZ819" s="135"/>
      <c r="LA819" s="132"/>
      <c r="LB819" s="132"/>
      <c r="LC819" s="132"/>
      <c r="LD819" s="133"/>
      <c r="LE819" s="134"/>
      <c r="LF819" s="134"/>
      <c r="LG819" s="134"/>
      <c r="LH819" s="135"/>
      <c r="LI819" s="133"/>
      <c r="LJ819" s="134"/>
      <c r="LK819" s="134"/>
      <c r="LL819" s="134"/>
      <c r="LM819" s="135"/>
      <c r="LN819" s="132"/>
      <c r="LO819" s="132"/>
      <c r="LP819" s="132"/>
      <c r="LQ819" s="133"/>
      <c r="LR819" s="134"/>
      <c r="LS819" s="134"/>
      <c r="LT819" s="134"/>
      <c r="LU819" s="135"/>
      <c r="LV819" s="133"/>
      <c r="LW819" s="134"/>
      <c r="LX819" s="134"/>
      <c r="LY819" s="134"/>
      <c r="LZ819" s="135"/>
      <c r="MA819" s="132"/>
      <c r="MB819" s="132"/>
      <c r="MC819" s="132"/>
      <c r="MD819" s="133"/>
      <c r="ME819" s="134"/>
      <c r="MF819" s="134"/>
      <c r="MG819" s="134"/>
      <c r="MH819" s="135"/>
      <c r="MI819" s="133"/>
      <c r="MJ819" s="134"/>
      <c r="MK819" s="134"/>
      <c r="ML819" s="134"/>
      <c r="MM819" s="135"/>
      <c r="MN819" s="132"/>
      <c r="MO819" s="132"/>
      <c r="MP819" s="132"/>
      <c r="MQ819" s="133"/>
      <c r="MR819" s="134"/>
      <c r="MS819" s="134"/>
      <c r="MT819" s="134"/>
      <c r="MU819" s="135"/>
      <c r="MV819" s="133"/>
      <c r="MW819" s="134"/>
      <c r="MX819" s="134"/>
      <c r="MY819" s="134"/>
      <c r="MZ819" s="135"/>
      <c r="NA819" s="132"/>
      <c r="NB819" s="132"/>
      <c r="NC819" s="132"/>
      <c r="ND819" s="133"/>
      <c r="NE819" s="134"/>
      <c r="NF819" s="134"/>
      <c r="NG819" s="134"/>
      <c r="NH819" s="135"/>
      <c r="NI819" s="133"/>
      <c r="NJ819" s="134"/>
      <c r="NK819" s="134"/>
      <c r="NL819" s="134"/>
      <c r="NM819" s="135"/>
      <c r="NN819" s="132"/>
      <c r="NO819" s="132"/>
      <c r="NP819" s="132"/>
      <c r="NQ819" s="133"/>
      <c r="NR819" s="134"/>
      <c r="NS819" s="134"/>
      <c r="NT819" s="134"/>
      <c r="NU819" s="135"/>
      <c r="NV819" s="133"/>
      <c r="NW819" s="134"/>
      <c r="NX819" s="134"/>
      <c r="NY819" s="134"/>
      <c r="NZ819" s="135"/>
      <c r="OA819" s="132"/>
      <c r="OB819" s="132"/>
      <c r="OC819" s="132"/>
      <c r="OD819" s="133"/>
      <c r="OE819" s="134"/>
      <c r="OF819" s="134"/>
      <c r="OG819" s="134"/>
      <c r="OH819" s="135"/>
      <c r="OI819" s="133"/>
      <c r="OJ819" s="134"/>
      <c r="OK819" s="134"/>
      <c r="OL819" s="134"/>
      <c r="OM819" s="135"/>
      <c r="ON819" s="132"/>
      <c r="OO819" s="132"/>
      <c r="OP819" s="132"/>
      <c r="OQ819" s="133"/>
      <c r="OR819" s="134"/>
      <c r="OS819" s="134"/>
      <c r="OT819" s="134"/>
      <c r="OU819" s="135"/>
      <c r="OV819" s="133"/>
      <c r="OW819" s="134"/>
      <c r="OX819" s="134"/>
      <c r="OY819" s="134"/>
      <c r="OZ819" s="135"/>
      <c r="PA819" s="132"/>
      <c r="PB819" s="132"/>
      <c r="PC819" s="132"/>
      <c r="PD819" s="133"/>
      <c r="PE819" s="134"/>
      <c r="PF819" s="134"/>
      <c r="PG819" s="134"/>
      <c r="PH819" s="135"/>
      <c r="PI819" s="133"/>
      <c r="PJ819" s="134"/>
      <c r="PK819" s="134"/>
      <c r="PL819" s="134"/>
      <c r="PM819" s="135"/>
      <c r="PN819" s="132"/>
      <c r="PO819" s="132"/>
      <c r="PP819" s="132"/>
      <c r="PQ819" s="133"/>
      <c r="PR819" s="134"/>
      <c r="PS819" s="134"/>
      <c r="PT819" s="134"/>
      <c r="PU819" s="135"/>
      <c r="PV819" s="133"/>
      <c r="PW819" s="134"/>
      <c r="PX819" s="134"/>
      <c r="PY819" s="134"/>
      <c r="PZ819" s="135"/>
      <c r="QA819" s="132"/>
      <c r="QB819" s="132"/>
      <c r="QC819" s="132"/>
      <c r="QD819" s="133"/>
      <c r="QE819" s="134"/>
      <c r="QF819" s="134"/>
      <c r="QG819" s="134"/>
      <c r="QH819" s="135"/>
      <c r="QI819" s="133"/>
      <c r="QJ819" s="134"/>
      <c r="QK819" s="134"/>
      <c r="QL819" s="134"/>
      <c r="QM819" s="135"/>
      <c r="QN819" s="132"/>
      <c r="QO819" s="132"/>
      <c r="QP819" s="132"/>
      <c r="QQ819" s="133"/>
      <c r="QR819" s="134"/>
      <c r="QS819" s="134"/>
      <c r="QT819" s="134"/>
      <c r="QU819" s="135"/>
      <c r="QV819" s="133"/>
      <c r="QW819" s="134"/>
      <c r="QX819" s="134"/>
      <c r="QY819" s="134"/>
      <c r="QZ819" s="135"/>
      <c r="RA819" s="132"/>
      <c r="RB819" s="132"/>
      <c r="RC819" s="132"/>
      <c r="RD819" s="133"/>
      <c r="RE819" s="134"/>
      <c r="RF819" s="134"/>
      <c r="RG819" s="134"/>
      <c r="RH819" s="135"/>
      <c r="RI819" s="133"/>
      <c r="RJ819" s="134"/>
      <c r="RK819" s="134"/>
      <c r="RL819" s="134"/>
      <c r="RM819" s="135"/>
      <c r="RN819" s="132"/>
      <c r="RO819" s="132"/>
      <c r="RP819" s="132"/>
      <c r="RQ819" s="133"/>
      <c r="RR819" s="134"/>
      <c r="RS819" s="134"/>
      <c r="RT819" s="134"/>
      <c r="RU819" s="135"/>
      <c r="RV819" s="133"/>
      <c r="RW819" s="134"/>
      <c r="RX819" s="134"/>
      <c r="RY819" s="134"/>
      <c r="RZ819" s="135"/>
      <c r="SA819" s="132"/>
      <c r="SB819" s="132"/>
      <c r="SC819" s="132"/>
      <c r="SD819" s="133"/>
      <c r="SE819" s="134"/>
      <c r="SF819" s="134"/>
      <c r="SG819" s="134"/>
      <c r="SH819" s="135"/>
      <c r="SI819" s="133"/>
      <c r="SJ819" s="134"/>
      <c r="SK819" s="134"/>
      <c r="SL819" s="134"/>
      <c r="SM819" s="135"/>
      <c r="SN819" s="132"/>
      <c r="SO819" s="132"/>
      <c r="SP819" s="132"/>
      <c r="SQ819" s="133"/>
      <c r="SR819" s="134"/>
      <c r="SS819" s="134"/>
      <c r="ST819" s="134"/>
      <c r="SU819" s="135"/>
      <c r="SV819" s="133"/>
      <c r="SW819" s="134"/>
      <c r="SX819" s="134"/>
      <c r="SY819" s="134"/>
      <c r="SZ819" s="135"/>
      <c r="TA819" s="132"/>
      <c r="TB819" s="132"/>
      <c r="TC819" s="132"/>
      <c r="TD819" s="133"/>
      <c r="TE819" s="134"/>
      <c r="TF819" s="134"/>
      <c r="TG819" s="134"/>
      <c r="TH819" s="135"/>
      <c r="TI819" s="133"/>
      <c r="TJ819" s="134"/>
      <c r="TK819" s="134"/>
      <c r="TL819" s="134"/>
      <c r="TM819" s="135"/>
      <c r="TN819" s="132"/>
      <c r="TO819" s="132"/>
      <c r="TP819" s="132"/>
      <c r="TQ819" s="133"/>
      <c r="TR819" s="134"/>
      <c r="TS819" s="134"/>
      <c r="TT819" s="134"/>
      <c r="TU819" s="135"/>
      <c r="TV819" s="133"/>
      <c r="TW819" s="134"/>
      <c r="TX819" s="134"/>
      <c r="TY819" s="134"/>
      <c r="TZ819" s="135"/>
      <c r="UA819" s="132"/>
      <c r="UB819" s="132"/>
      <c r="UC819" s="132"/>
      <c r="UD819" s="133"/>
      <c r="UE819" s="134"/>
      <c r="UF819" s="134"/>
      <c r="UG819" s="134"/>
      <c r="UH819" s="135"/>
      <c r="UI819" s="133"/>
      <c r="UJ819" s="134"/>
      <c r="UK819" s="134"/>
      <c r="UL819" s="134"/>
      <c r="UM819" s="135"/>
      <c r="UN819" s="132"/>
      <c r="UO819" s="132"/>
      <c r="UP819" s="132"/>
      <c r="UQ819" s="133"/>
      <c r="UR819" s="134"/>
      <c r="US819" s="134"/>
      <c r="UT819" s="134"/>
      <c r="UU819" s="135"/>
      <c r="UV819" s="133"/>
      <c r="UW819" s="134"/>
      <c r="UX819" s="134"/>
      <c r="UY819" s="134"/>
      <c r="UZ819" s="135"/>
      <c r="VA819" s="132"/>
      <c r="VB819" s="132"/>
      <c r="VC819" s="132"/>
      <c r="VD819" s="133"/>
      <c r="VE819" s="134"/>
      <c r="VF819" s="134"/>
      <c r="VG819" s="134"/>
      <c r="VH819" s="135"/>
      <c r="VI819" s="133"/>
      <c r="VJ819" s="134"/>
      <c r="VK819" s="134"/>
      <c r="VL819" s="134"/>
      <c r="VM819" s="135"/>
      <c r="VN819" s="132"/>
      <c r="VO819" s="132"/>
      <c r="VP819" s="132"/>
      <c r="VQ819" s="133"/>
      <c r="VR819" s="134"/>
      <c r="VS819" s="134"/>
      <c r="VT819" s="134"/>
      <c r="VU819" s="135"/>
      <c r="VV819" s="133"/>
      <c r="VW819" s="134"/>
      <c r="VX819" s="134"/>
      <c r="VY819" s="134"/>
      <c r="VZ819" s="135"/>
      <c r="WA819" s="132"/>
      <c r="WB819" s="132"/>
      <c r="WC819" s="132"/>
      <c r="WD819" s="133"/>
      <c r="WE819" s="134"/>
      <c r="WF819" s="134"/>
      <c r="WG819" s="134"/>
      <c r="WH819" s="135"/>
      <c r="WI819" s="133"/>
      <c r="WJ819" s="134"/>
      <c r="WK819" s="134"/>
      <c r="WL819" s="134"/>
      <c r="WM819" s="135"/>
      <c r="WN819" s="132"/>
      <c r="WO819" s="132"/>
      <c r="WP819" s="132"/>
      <c r="WQ819" s="133"/>
      <c r="WR819" s="134"/>
      <c r="WS819" s="134"/>
      <c r="WT819" s="134"/>
      <c r="WU819" s="135"/>
      <c r="WV819" s="133"/>
      <c r="WW819" s="134"/>
      <c r="WX819" s="134"/>
      <c r="WY819" s="134"/>
      <c r="WZ819" s="135"/>
      <c r="XA819" s="132"/>
      <c r="XB819" s="132"/>
      <c r="XC819" s="132"/>
      <c r="XD819" s="133"/>
      <c r="XE819" s="134"/>
      <c r="XF819" s="134"/>
      <c r="XG819" s="134"/>
      <c r="XH819" s="135"/>
      <c r="XI819" s="133"/>
      <c r="XJ819" s="134"/>
      <c r="XK819" s="134"/>
      <c r="XL819" s="134"/>
      <c r="XM819" s="135"/>
      <c r="XN819" s="132"/>
      <c r="XO819" s="132"/>
      <c r="XP819" s="132"/>
      <c r="XQ819" s="133"/>
      <c r="XR819" s="134"/>
      <c r="XS819" s="134"/>
      <c r="XT819" s="134"/>
      <c r="XU819" s="135"/>
      <c r="XV819" s="133"/>
      <c r="XW819" s="134"/>
      <c r="XX819" s="134"/>
      <c r="XY819" s="134"/>
      <c r="XZ819" s="135"/>
      <c r="YA819" s="132"/>
      <c r="YB819" s="132"/>
      <c r="YC819" s="132"/>
      <c r="YD819" s="133"/>
      <c r="YE819" s="134"/>
      <c r="YF819" s="134"/>
      <c r="YG819" s="134"/>
      <c r="YH819" s="135"/>
      <c r="YI819" s="133"/>
      <c r="YJ819" s="134"/>
      <c r="YK819" s="134"/>
      <c r="YL819" s="134"/>
      <c r="YM819" s="135"/>
      <c r="YN819" s="132"/>
      <c r="YO819" s="132"/>
      <c r="YP819" s="132"/>
      <c r="YQ819" s="133"/>
      <c r="YR819" s="134"/>
      <c r="YS819" s="134"/>
      <c r="YT819" s="134"/>
      <c r="YU819" s="135"/>
      <c r="YV819" s="133"/>
      <c r="YW819" s="134"/>
      <c r="YX819" s="134"/>
      <c r="YY819" s="134"/>
      <c r="YZ819" s="135"/>
      <c r="ZA819" s="132"/>
      <c r="ZB819" s="132"/>
      <c r="ZC819" s="132"/>
      <c r="ZD819" s="133"/>
      <c r="ZE819" s="134"/>
      <c r="ZF819" s="134"/>
      <c r="ZG819" s="134"/>
      <c r="ZH819" s="135"/>
      <c r="ZI819" s="133"/>
      <c r="ZJ819" s="134"/>
      <c r="ZK819" s="134"/>
      <c r="ZL819" s="134"/>
      <c r="ZM819" s="135"/>
      <c r="ZN819" s="132"/>
      <c r="ZO819" s="132"/>
      <c r="ZP819" s="132"/>
      <c r="ZQ819" s="133"/>
      <c r="ZR819" s="134"/>
      <c r="ZS819" s="134"/>
      <c r="ZT819" s="134"/>
      <c r="ZU819" s="135"/>
      <c r="ZV819" s="133"/>
      <c r="ZW819" s="134"/>
      <c r="ZX819" s="134"/>
      <c r="ZY819" s="134"/>
      <c r="ZZ819" s="135"/>
      <c r="AAA819" s="132"/>
      <c r="AAB819" s="132"/>
      <c r="AAC819" s="132"/>
      <c r="AAD819" s="133"/>
      <c r="AAE819" s="134"/>
      <c r="AAF819" s="134"/>
      <c r="AAG819" s="134"/>
      <c r="AAH819" s="135"/>
      <c r="AAI819" s="133"/>
      <c r="AAJ819" s="134"/>
      <c r="AAK819" s="134"/>
      <c r="AAL819" s="134"/>
      <c r="AAM819" s="135"/>
      <c r="AAN819" s="132"/>
      <c r="AAO819" s="132"/>
      <c r="AAP819" s="132"/>
      <c r="AAQ819" s="133"/>
      <c r="AAR819" s="134"/>
      <c r="AAS819" s="134"/>
      <c r="AAT819" s="134"/>
      <c r="AAU819" s="135"/>
      <c r="AAV819" s="133"/>
      <c r="AAW819" s="134"/>
      <c r="AAX819" s="134"/>
      <c r="AAY819" s="134"/>
      <c r="AAZ819" s="135"/>
      <c r="ABA819" s="132"/>
      <c r="ABB819" s="132"/>
      <c r="ABC819" s="132"/>
      <c r="ABD819" s="133"/>
      <c r="ABE819" s="134"/>
      <c r="ABF819" s="134"/>
      <c r="ABG819" s="134"/>
      <c r="ABH819" s="135"/>
      <c r="ABI819" s="133"/>
      <c r="ABJ819" s="134"/>
      <c r="ABK819" s="134"/>
      <c r="ABL819" s="134"/>
      <c r="ABM819" s="135"/>
      <c r="ABN819" s="132"/>
      <c r="ABO819" s="132"/>
      <c r="ABP819" s="132"/>
      <c r="ABQ819" s="133"/>
      <c r="ABR819" s="134"/>
      <c r="ABS819" s="134"/>
      <c r="ABT819" s="134"/>
      <c r="ABU819" s="135"/>
      <c r="ABV819" s="133"/>
      <c r="ABW819" s="134"/>
      <c r="ABX819" s="134"/>
      <c r="ABY819" s="134"/>
      <c r="ABZ819" s="135"/>
      <c r="ACA819" s="132"/>
      <c r="ACB819" s="132"/>
      <c r="ACC819" s="132"/>
      <c r="ACD819" s="133"/>
      <c r="ACE819" s="134"/>
      <c r="ACF819" s="134"/>
      <c r="ACG819" s="134"/>
      <c r="ACH819" s="135"/>
      <c r="ACI819" s="133"/>
      <c r="ACJ819" s="134"/>
      <c r="ACK819" s="134"/>
      <c r="ACL819" s="134"/>
      <c r="ACM819" s="135"/>
      <c r="ACN819" s="132"/>
      <c r="ACO819" s="132"/>
      <c r="ACP819" s="132"/>
      <c r="ACQ819" s="133"/>
      <c r="ACR819" s="134"/>
      <c r="ACS819" s="134"/>
      <c r="ACT819" s="134"/>
      <c r="ACU819" s="135"/>
      <c r="ACV819" s="133"/>
      <c r="ACW819" s="134"/>
      <c r="ACX819" s="134"/>
      <c r="ACY819" s="134"/>
      <c r="ACZ819" s="135"/>
      <c r="ADA819" s="132"/>
      <c r="ADB819" s="132"/>
      <c r="ADC819" s="132"/>
      <c r="ADD819" s="133"/>
      <c r="ADE819" s="134"/>
      <c r="ADF819" s="134"/>
      <c r="ADG819" s="134"/>
      <c r="ADH819" s="135"/>
      <c r="ADI819" s="133"/>
      <c r="ADJ819" s="134"/>
      <c r="ADK819" s="134"/>
      <c r="ADL819" s="134"/>
      <c r="ADM819" s="135"/>
      <c r="ADN819" s="132"/>
      <c r="ADO819" s="132"/>
      <c r="ADP819" s="132"/>
      <c r="ADQ819" s="133"/>
      <c r="ADR819" s="134"/>
      <c r="ADS819" s="134"/>
      <c r="ADT819" s="134"/>
      <c r="ADU819" s="135"/>
      <c r="ADV819" s="133"/>
      <c r="ADW819" s="134"/>
      <c r="ADX819" s="134"/>
      <c r="ADY819" s="134"/>
      <c r="ADZ819" s="135"/>
      <c r="AEA819" s="132"/>
      <c r="AEB819" s="132"/>
      <c r="AEC819" s="132"/>
      <c r="AED819" s="133"/>
      <c r="AEE819" s="134"/>
      <c r="AEF819" s="134"/>
      <c r="AEG819" s="134"/>
      <c r="AEH819" s="135"/>
      <c r="AEI819" s="133"/>
      <c r="AEJ819" s="134"/>
      <c r="AEK819" s="134"/>
      <c r="AEL819" s="134"/>
      <c r="AEM819" s="135"/>
      <c r="AEN819" s="132"/>
      <c r="AEO819" s="132"/>
      <c r="AEP819" s="132"/>
      <c r="AEQ819" s="133"/>
      <c r="AER819" s="134"/>
      <c r="AES819" s="134"/>
      <c r="AET819" s="134"/>
      <c r="AEU819" s="135"/>
      <c r="AEV819" s="133"/>
      <c r="AEW819" s="134"/>
      <c r="AEX819" s="134"/>
      <c r="AEY819" s="134"/>
      <c r="AEZ819" s="135"/>
      <c r="AFA819" s="132"/>
      <c r="AFB819" s="132"/>
      <c r="AFC819" s="132"/>
      <c r="AFD819" s="133"/>
      <c r="AFE819" s="134"/>
      <c r="AFF819" s="134"/>
      <c r="AFG819" s="134"/>
      <c r="AFH819" s="135"/>
      <c r="AFI819" s="133"/>
      <c r="AFJ819" s="134"/>
      <c r="AFK819" s="134"/>
      <c r="AFL819" s="134"/>
      <c r="AFM819" s="135"/>
      <c r="AFN819" s="132"/>
      <c r="AFO819" s="132"/>
      <c r="AFP819" s="132"/>
      <c r="AFQ819" s="133"/>
      <c r="AFR819" s="134"/>
      <c r="AFS819" s="134"/>
      <c r="AFT819" s="134"/>
      <c r="AFU819" s="135"/>
      <c r="AFV819" s="133"/>
      <c r="AFW819" s="134"/>
      <c r="AFX819" s="134"/>
      <c r="AFY819" s="134"/>
      <c r="AFZ819" s="135"/>
      <c r="AGA819" s="132"/>
      <c r="AGB819" s="132"/>
      <c r="AGC819" s="132"/>
      <c r="AGD819" s="133"/>
      <c r="AGE819" s="134"/>
      <c r="AGF819" s="134"/>
      <c r="AGG819" s="134"/>
      <c r="AGH819" s="135"/>
      <c r="AGI819" s="133"/>
      <c r="AGJ819" s="134"/>
      <c r="AGK819" s="134"/>
      <c r="AGL819" s="134"/>
      <c r="AGM819" s="135"/>
      <c r="AGN819" s="132"/>
      <c r="AGO819" s="132"/>
      <c r="AGP819" s="132"/>
      <c r="AGQ819" s="133"/>
      <c r="AGR819" s="134"/>
      <c r="AGS819" s="134"/>
      <c r="AGT819" s="134"/>
      <c r="AGU819" s="135"/>
      <c r="AGV819" s="133"/>
      <c r="AGW819" s="134"/>
      <c r="AGX819" s="134"/>
      <c r="AGY819" s="134"/>
      <c r="AGZ819" s="135"/>
      <c r="AHA819" s="132"/>
      <c r="AHB819" s="132"/>
      <c r="AHC819" s="132"/>
      <c r="AHD819" s="133"/>
      <c r="AHE819" s="134"/>
      <c r="AHF819" s="134"/>
      <c r="AHG819" s="134"/>
      <c r="AHH819" s="135"/>
      <c r="AHI819" s="133"/>
      <c r="AHJ819" s="134"/>
      <c r="AHK819" s="134"/>
      <c r="AHL819" s="134"/>
      <c r="AHM819" s="135"/>
      <c r="AHN819" s="132"/>
      <c r="AHO819" s="132"/>
      <c r="AHP819" s="132"/>
      <c r="AHQ819" s="133"/>
      <c r="AHR819" s="134"/>
      <c r="AHS819" s="134"/>
      <c r="AHT819" s="134"/>
      <c r="AHU819" s="135"/>
      <c r="AHV819" s="133"/>
      <c r="AHW819" s="134"/>
      <c r="AHX819" s="134"/>
      <c r="AHY819" s="134"/>
      <c r="AHZ819" s="135"/>
      <c r="AIA819" s="132"/>
      <c r="AIB819" s="132"/>
      <c r="AIC819" s="132"/>
      <c r="AID819" s="133"/>
      <c r="AIE819" s="134"/>
      <c r="AIF819" s="134"/>
      <c r="AIG819" s="134"/>
      <c r="AIH819" s="135"/>
      <c r="AII819" s="133"/>
      <c r="AIJ819" s="134"/>
      <c r="AIK819" s="134"/>
      <c r="AIL819" s="134"/>
      <c r="AIM819" s="135"/>
      <c r="AIN819" s="132"/>
      <c r="AIO819" s="132"/>
      <c r="AIP819" s="132"/>
      <c r="AIQ819" s="133"/>
      <c r="AIR819" s="134"/>
      <c r="AIS819" s="134"/>
      <c r="AIT819" s="134"/>
      <c r="AIU819" s="135"/>
      <c r="AIV819" s="133"/>
      <c r="AIW819" s="134"/>
      <c r="AIX819" s="134"/>
      <c r="AIY819" s="134"/>
      <c r="AIZ819" s="135"/>
      <c r="AJA819" s="132"/>
      <c r="AJB819" s="132"/>
      <c r="AJC819" s="132"/>
      <c r="AJD819" s="133"/>
      <c r="AJE819" s="134"/>
      <c r="AJF819" s="134"/>
      <c r="AJG819" s="134"/>
      <c r="AJH819" s="135"/>
      <c r="AJI819" s="133"/>
      <c r="AJJ819" s="134"/>
      <c r="AJK819" s="134"/>
      <c r="AJL819" s="134"/>
      <c r="AJM819" s="135"/>
      <c r="AJN819" s="132"/>
      <c r="AJO819" s="132"/>
      <c r="AJP819" s="132"/>
      <c r="AJQ819" s="133"/>
      <c r="AJR819" s="134"/>
      <c r="AJS819" s="134"/>
      <c r="AJT819" s="134"/>
      <c r="AJU819" s="135"/>
      <c r="AJV819" s="133"/>
      <c r="AJW819" s="134"/>
      <c r="AJX819" s="134"/>
      <c r="AJY819" s="134"/>
      <c r="AJZ819" s="135"/>
      <c r="AKA819" s="132"/>
      <c r="AKB819" s="132"/>
      <c r="AKC819" s="132"/>
      <c r="AKD819" s="133"/>
      <c r="AKE819" s="134"/>
      <c r="AKF819" s="134"/>
      <c r="AKG819" s="134"/>
      <c r="AKH819" s="135"/>
      <c r="AKI819" s="133"/>
      <c r="AKJ819" s="134"/>
      <c r="AKK819" s="134"/>
      <c r="AKL819" s="134"/>
      <c r="AKM819" s="135"/>
      <c r="AKN819" s="132"/>
      <c r="AKO819" s="132"/>
      <c r="AKP819" s="132"/>
      <c r="AKQ819" s="133"/>
      <c r="AKR819" s="134"/>
      <c r="AKS819" s="134"/>
      <c r="AKT819" s="134"/>
      <c r="AKU819" s="135"/>
      <c r="AKV819" s="133"/>
      <c r="AKW819" s="134"/>
      <c r="AKX819" s="134"/>
      <c r="AKY819" s="134"/>
      <c r="AKZ819" s="135"/>
      <c r="ALA819" s="132"/>
      <c r="ALB819" s="132"/>
      <c r="ALC819" s="132"/>
      <c r="ALD819" s="133"/>
      <c r="ALE819" s="134"/>
      <c r="ALF819" s="134"/>
      <c r="ALG819" s="134"/>
      <c r="ALH819" s="135"/>
      <c r="ALI819" s="133"/>
      <c r="ALJ819" s="134"/>
      <c r="ALK819" s="134"/>
      <c r="ALL819" s="134"/>
      <c r="ALM819" s="135"/>
      <c r="ALN819" s="132"/>
      <c r="ALO819" s="132"/>
      <c r="ALP819" s="132"/>
      <c r="ALQ819" s="133"/>
      <c r="ALR819" s="134"/>
      <c r="ALS819" s="134"/>
      <c r="ALT819" s="134"/>
      <c r="ALU819" s="135"/>
      <c r="ALV819" s="133"/>
      <c r="ALW819" s="134"/>
      <c r="ALX819" s="134"/>
      <c r="ALY819" s="134"/>
      <c r="ALZ819" s="135"/>
      <c r="AMA819" s="132"/>
      <c r="AMB819" s="132"/>
      <c r="AMC819" s="132"/>
      <c r="AMD819" s="133"/>
      <c r="AME819" s="134"/>
      <c r="AMF819" s="134"/>
      <c r="AMG819" s="134"/>
      <c r="AMH819" s="135"/>
      <c r="AMI819" s="133"/>
      <c r="AMJ819" s="134"/>
      <c r="AMK819" s="134"/>
      <c r="AML819" s="134"/>
      <c r="AMM819" s="135"/>
      <c r="AMN819" s="132"/>
      <c r="AMO819" s="132"/>
      <c r="AMP819" s="132"/>
      <c r="AMQ819" s="133"/>
      <c r="AMR819" s="134"/>
      <c r="AMS819" s="134"/>
      <c r="AMT819" s="134"/>
      <c r="AMU819" s="135"/>
      <c r="AMV819" s="133"/>
      <c r="AMW819" s="134"/>
      <c r="AMX819" s="134"/>
      <c r="AMY819" s="134"/>
      <c r="AMZ819" s="135"/>
      <c r="ANA819" s="132"/>
      <c r="ANB819" s="132"/>
      <c r="ANC819" s="132"/>
      <c r="AND819" s="133"/>
      <c r="ANE819" s="134"/>
      <c r="ANF819" s="134"/>
      <c r="ANG819" s="134"/>
      <c r="ANH819" s="135"/>
      <c r="ANI819" s="133"/>
      <c r="ANJ819" s="134"/>
      <c r="ANK819" s="134"/>
      <c r="ANL819" s="134"/>
      <c r="ANM819" s="135"/>
      <c r="ANN819" s="132"/>
      <c r="ANO819" s="132"/>
      <c r="ANP819" s="132"/>
      <c r="ANQ819" s="133"/>
      <c r="ANR819" s="134"/>
      <c r="ANS819" s="134"/>
      <c r="ANT819" s="134"/>
      <c r="ANU819" s="135"/>
      <c r="ANV819" s="133"/>
      <c r="ANW819" s="134"/>
      <c r="ANX819" s="134"/>
      <c r="ANY819" s="134"/>
      <c r="ANZ819" s="135"/>
      <c r="AOA819" s="132"/>
      <c r="AOB819" s="132"/>
      <c r="AOC819" s="132"/>
      <c r="AOD819" s="133"/>
      <c r="AOE819" s="134"/>
      <c r="AOF819" s="134"/>
      <c r="AOG819" s="134"/>
      <c r="AOH819" s="135"/>
      <c r="AOI819" s="133"/>
      <c r="AOJ819" s="134"/>
      <c r="AOK819" s="134"/>
      <c r="AOL819" s="134"/>
      <c r="AOM819" s="135"/>
      <c r="AON819" s="132"/>
      <c r="AOO819" s="132"/>
      <c r="AOP819" s="132"/>
      <c r="AOQ819" s="133"/>
      <c r="AOR819" s="134"/>
      <c r="AOS819" s="134"/>
      <c r="AOT819" s="134"/>
      <c r="AOU819" s="135"/>
      <c r="AOV819" s="133"/>
      <c r="AOW819" s="134"/>
      <c r="AOX819" s="134"/>
      <c r="AOY819" s="134"/>
      <c r="AOZ819" s="135"/>
      <c r="APA819" s="132"/>
      <c r="APB819" s="132"/>
      <c r="APC819" s="132"/>
      <c r="APD819" s="133"/>
      <c r="APE819" s="134"/>
      <c r="APF819" s="134"/>
      <c r="APG819" s="134"/>
      <c r="APH819" s="135"/>
      <c r="API819" s="133"/>
      <c r="APJ819" s="134"/>
      <c r="APK819" s="134"/>
      <c r="APL819" s="134"/>
      <c r="APM819" s="135"/>
      <c r="APN819" s="132"/>
      <c r="APO819" s="132"/>
      <c r="APP819" s="132"/>
      <c r="APQ819" s="133"/>
      <c r="APR819" s="134"/>
      <c r="APS819" s="134"/>
      <c r="APT819" s="134"/>
      <c r="APU819" s="135"/>
      <c r="APV819" s="133"/>
      <c r="APW819" s="134"/>
      <c r="APX819" s="134"/>
      <c r="APY819" s="134"/>
      <c r="APZ819" s="135"/>
      <c r="AQA819" s="132"/>
      <c r="AQB819" s="132"/>
      <c r="AQC819" s="132"/>
      <c r="AQD819" s="133"/>
      <c r="AQE819" s="134"/>
      <c r="AQF819" s="134"/>
      <c r="AQG819" s="134"/>
      <c r="AQH819" s="135"/>
      <c r="AQI819" s="133"/>
      <c r="AQJ819" s="134"/>
      <c r="AQK819" s="134"/>
      <c r="AQL819" s="134"/>
      <c r="AQM819" s="135"/>
      <c r="AQN819" s="132"/>
      <c r="AQO819" s="132"/>
      <c r="AQP819" s="132"/>
      <c r="AQQ819" s="133"/>
      <c r="AQR819" s="134"/>
      <c r="AQS819" s="134"/>
      <c r="AQT819" s="134"/>
      <c r="AQU819" s="135"/>
      <c r="AQV819" s="133"/>
      <c r="AQW819" s="134"/>
      <c r="AQX819" s="134"/>
      <c r="AQY819" s="134"/>
      <c r="AQZ819" s="135"/>
      <c r="ARA819" s="132"/>
      <c r="ARB819" s="132"/>
      <c r="ARC819" s="132"/>
      <c r="ARD819" s="133"/>
      <c r="ARE819" s="134"/>
      <c r="ARF819" s="134"/>
      <c r="ARG819" s="134"/>
      <c r="ARH819" s="135"/>
      <c r="ARI819" s="133"/>
      <c r="ARJ819" s="134"/>
      <c r="ARK819" s="134"/>
      <c r="ARL819" s="134"/>
      <c r="ARM819" s="135"/>
      <c r="ARN819" s="132"/>
      <c r="ARO819" s="132"/>
      <c r="ARP819" s="132"/>
      <c r="ARQ819" s="133"/>
      <c r="ARR819" s="134"/>
      <c r="ARS819" s="134"/>
      <c r="ART819" s="134"/>
      <c r="ARU819" s="135"/>
      <c r="ARV819" s="133"/>
      <c r="ARW819" s="134"/>
      <c r="ARX819" s="134"/>
      <c r="ARY819" s="134"/>
      <c r="ARZ819" s="135"/>
      <c r="ASA819" s="132"/>
      <c r="ASB819" s="132"/>
      <c r="ASC819" s="132"/>
      <c r="ASD819" s="133"/>
      <c r="ASE819" s="134"/>
      <c r="ASF819" s="134"/>
      <c r="ASG819" s="134"/>
      <c r="ASH819" s="135"/>
      <c r="ASI819" s="133"/>
      <c r="ASJ819" s="134"/>
      <c r="ASK819" s="134"/>
      <c r="ASL819" s="134"/>
      <c r="ASM819" s="135"/>
      <c r="ASN819" s="132"/>
      <c r="ASO819" s="132"/>
      <c r="ASP819" s="132"/>
      <c r="ASQ819" s="133"/>
      <c r="ASR819" s="134"/>
      <c r="ASS819" s="134"/>
      <c r="AST819" s="134"/>
      <c r="ASU819" s="135"/>
      <c r="ASV819" s="133"/>
      <c r="ASW819" s="134"/>
      <c r="ASX819" s="134"/>
      <c r="ASY819" s="134"/>
      <c r="ASZ819" s="135"/>
      <c r="ATA819" s="132"/>
      <c r="ATB819" s="132"/>
      <c r="ATC819" s="132"/>
      <c r="ATD819" s="133"/>
      <c r="ATE819" s="134"/>
      <c r="ATF819" s="134"/>
      <c r="ATG819" s="134"/>
      <c r="ATH819" s="135"/>
      <c r="ATI819" s="133"/>
      <c r="ATJ819" s="134"/>
      <c r="ATK819" s="134"/>
      <c r="ATL819" s="134"/>
      <c r="ATM819" s="135"/>
      <c r="ATN819" s="132"/>
      <c r="ATO819" s="132"/>
      <c r="ATP819" s="132"/>
      <c r="ATQ819" s="133"/>
      <c r="ATR819" s="134"/>
      <c r="ATS819" s="134"/>
      <c r="ATT819" s="134"/>
      <c r="ATU819" s="135"/>
      <c r="ATV819" s="133"/>
      <c r="ATW819" s="134"/>
      <c r="ATX819" s="134"/>
      <c r="ATY819" s="134"/>
      <c r="ATZ819" s="135"/>
      <c r="AUA819" s="132"/>
      <c r="AUB819" s="132"/>
      <c r="AUC819" s="132"/>
      <c r="AUD819" s="133"/>
      <c r="AUE819" s="134"/>
      <c r="AUF819" s="134"/>
      <c r="AUG819" s="134"/>
      <c r="AUH819" s="135"/>
      <c r="AUI819" s="133"/>
      <c r="AUJ819" s="134"/>
      <c r="AUK819" s="134"/>
      <c r="AUL819" s="134"/>
      <c r="AUM819" s="135"/>
      <c r="AUN819" s="132"/>
      <c r="AUO819" s="132"/>
      <c r="AUP819" s="132"/>
      <c r="AUQ819" s="133"/>
      <c r="AUR819" s="134"/>
      <c r="AUS819" s="134"/>
      <c r="AUT819" s="134"/>
      <c r="AUU819" s="135"/>
      <c r="AUV819" s="133"/>
      <c r="AUW819" s="134"/>
      <c r="AUX819" s="134"/>
      <c r="AUY819" s="134"/>
      <c r="AUZ819" s="135"/>
      <c r="AVA819" s="132"/>
      <c r="AVB819" s="132"/>
      <c r="AVC819" s="132"/>
      <c r="AVD819" s="133"/>
      <c r="AVE819" s="134"/>
      <c r="AVF819" s="134"/>
      <c r="AVG819" s="134"/>
      <c r="AVH819" s="135"/>
      <c r="AVI819" s="133"/>
      <c r="AVJ819" s="134"/>
      <c r="AVK819" s="134"/>
      <c r="AVL819" s="134"/>
      <c r="AVM819" s="135"/>
      <c r="AVN819" s="132"/>
      <c r="AVO819" s="132"/>
      <c r="AVP819" s="132"/>
      <c r="AVQ819" s="133"/>
      <c r="AVR819" s="134"/>
      <c r="AVS819" s="134"/>
      <c r="AVT819" s="134"/>
      <c r="AVU819" s="135"/>
      <c r="AVV819" s="133"/>
      <c r="AVW819" s="134"/>
      <c r="AVX819" s="134"/>
      <c r="AVY819" s="134"/>
      <c r="AVZ819" s="135"/>
      <c r="AWA819" s="132"/>
      <c r="AWB819" s="132"/>
      <c r="AWC819" s="132"/>
      <c r="AWD819" s="133"/>
      <c r="AWE819" s="134"/>
      <c r="AWF819" s="134"/>
      <c r="AWG819" s="134"/>
      <c r="AWH819" s="135"/>
      <c r="AWI819" s="133"/>
      <c r="AWJ819" s="134"/>
      <c r="AWK819" s="134"/>
      <c r="AWL819" s="134"/>
      <c r="AWM819" s="135"/>
      <c r="AWN819" s="132"/>
      <c r="AWO819" s="132"/>
      <c r="AWP819" s="132"/>
      <c r="AWQ819" s="133"/>
      <c r="AWR819" s="134"/>
      <c r="AWS819" s="134"/>
      <c r="AWT819" s="134"/>
      <c r="AWU819" s="135"/>
      <c r="AWV819" s="133"/>
      <c r="AWW819" s="134"/>
      <c r="AWX819" s="134"/>
      <c r="AWY819" s="134"/>
      <c r="AWZ819" s="135"/>
      <c r="AXA819" s="132"/>
      <c r="AXB819" s="132"/>
      <c r="AXC819" s="132"/>
      <c r="AXD819" s="133"/>
      <c r="AXE819" s="134"/>
      <c r="AXF819" s="134"/>
      <c r="AXG819" s="134"/>
      <c r="AXH819" s="135"/>
      <c r="AXI819" s="133"/>
      <c r="AXJ819" s="134"/>
      <c r="AXK819" s="134"/>
      <c r="AXL819" s="134"/>
      <c r="AXM819" s="135"/>
      <c r="AXN819" s="132"/>
      <c r="AXO819" s="132"/>
      <c r="AXP819" s="132"/>
      <c r="AXQ819" s="133"/>
      <c r="AXR819" s="134"/>
      <c r="AXS819" s="134"/>
      <c r="AXT819" s="134"/>
      <c r="AXU819" s="135"/>
      <c r="AXV819" s="133"/>
      <c r="AXW819" s="134"/>
      <c r="AXX819" s="134"/>
      <c r="AXY819" s="134"/>
      <c r="AXZ819" s="135"/>
      <c r="AYA819" s="132"/>
      <c r="AYB819" s="132"/>
      <c r="AYC819" s="132"/>
      <c r="AYD819" s="133"/>
      <c r="AYE819" s="134"/>
      <c r="AYF819" s="134"/>
      <c r="AYG819" s="134"/>
      <c r="AYH819" s="135"/>
      <c r="AYI819" s="133"/>
      <c r="AYJ819" s="134"/>
      <c r="AYK819" s="134"/>
      <c r="AYL819" s="134"/>
      <c r="AYM819" s="135"/>
      <c r="AYN819" s="132"/>
      <c r="AYO819" s="132"/>
      <c r="AYP819" s="132"/>
      <c r="AYQ819" s="133"/>
      <c r="AYR819" s="134"/>
      <c r="AYS819" s="134"/>
      <c r="AYT819" s="134"/>
      <c r="AYU819" s="135"/>
      <c r="AYV819" s="133"/>
      <c r="AYW819" s="134"/>
      <c r="AYX819" s="134"/>
      <c r="AYY819" s="134"/>
      <c r="AYZ819" s="135"/>
      <c r="AZA819" s="132"/>
      <c r="AZB819" s="132"/>
      <c r="AZC819" s="132"/>
      <c r="AZD819" s="133"/>
      <c r="AZE819" s="134"/>
      <c r="AZF819" s="134"/>
      <c r="AZG819" s="134"/>
      <c r="AZH819" s="135"/>
      <c r="AZI819" s="133"/>
      <c r="AZJ819" s="134"/>
      <c r="AZK819" s="134"/>
      <c r="AZL819" s="134"/>
      <c r="AZM819" s="135"/>
      <c r="AZN819" s="132"/>
      <c r="AZO819" s="132"/>
      <c r="AZP819" s="132"/>
      <c r="AZQ819" s="133"/>
      <c r="AZR819" s="134"/>
      <c r="AZS819" s="134"/>
      <c r="AZT819" s="134"/>
      <c r="AZU819" s="135"/>
      <c r="AZV819" s="133"/>
      <c r="AZW819" s="134"/>
      <c r="AZX819" s="134"/>
      <c r="AZY819" s="134"/>
      <c r="AZZ819" s="135"/>
      <c r="BAA819" s="132"/>
      <c r="BAB819" s="132"/>
      <c r="BAC819" s="132"/>
      <c r="BAD819" s="133"/>
      <c r="BAE819" s="134"/>
      <c r="BAF819" s="134"/>
      <c r="BAG819" s="134"/>
      <c r="BAH819" s="135"/>
      <c r="BAI819" s="133"/>
      <c r="BAJ819" s="134"/>
      <c r="BAK819" s="134"/>
      <c r="BAL819" s="134"/>
      <c r="BAM819" s="135"/>
      <c r="BAN819" s="132"/>
      <c r="BAO819" s="132"/>
      <c r="BAP819" s="132"/>
      <c r="BAQ819" s="133"/>
      <c r="BAR819" s="134"/>
      <c r="BAS819" s="134"/>
      <c r="BAT819" s="134"/>
      <c r="BAU819" s="135"/>
      <c r="BAV819" s="133"/>
      <c r="BAW819" s="134"/>
      <c r="BAX819" s="134"/>
      <c r="BAY819" s="134"/>
      <c r="BAZ819" s="135"/>
      <c r="BBA819" s="132"/>
      <c r="BBB819" s="132"/>
      <c r="BBC819" s="132"/>
      <c r="BBD819" s="133"/>
      <c r="BBE819" s="134"/>
      <c r="BBF819" s="134"/>
      <c r="BBG819" s="134"/>
      <c r="BBH819" s="135"/>
      <c r="BBI819" s="133"/>
      <c r="BBJ819" s="134"/>
      <c r="BBK819" s="134"/>
      <c r="BBL819" s="134"/>
      <c r="BBM819" s="135"/>
      <c r="BBN819" s="132"/>
      <c r="BBO819" s="132"/>
      <c r="BBP819" s="132"/>
      <c r="BBQ819" s="133"/>
      <c r="BBR819" s="134"/>
      <c r="BBS819" s="134"/>
      <c r="BBT819" s="134"/>
      <c r="BBU819" s="135"/>
      <c r="BBV819" s="133"/>
      <c r="BBW819" s="134"/>
      <c r="BBX819" s="134"/>
      <c r="BBY819" s="134"/>
      <c r="BBZ819" s="135"/>
      <c r="BCA819" s="132"/>
      <c r="BCB819" s="132"/>
      <c r="BCC819" s="132"/>
      <c r="BCD819" s="133"/>
      <c r="BCE819" s="134"/>
      <c r="BCF819" s="134"/>
      <c r="BCG819" s="134"/>
      <c r="BCH819" s="135"/>
      <c r="BCI819" s="133"/>
      <c r="BCJ819" s="134"/>
      <c r="BCK819" s="134"/>
      <c r="BCL819" s="134"/>
      <c r="BCM819" s="135"/>
      <c r="BCN819" s="132"/>
      <c r="BCO819" s="132"/>
      <c r="BCP819" s="132"/>
      <c r="BCQ819" s="133"/>
      <c r="BCR819" s="134"/>
      <c r="BCS819" s="134"/>
      <c r="BCT819" s="134"/>
      <c r="BCU819" s="135"/>
      <c r="BCV819" s="133"/>
      <c r="BCW819" s="134"/>
      <c r="BCX819" s="134"/>
      <c r="BCY819" s="134"/>
      <c r="BCZ819" s="135"/>
      <c r="BDA819" s="132"/>
      <c r="BDB819" s="132"/>
      <c r="BDC819" s="132"/>
      <c r="BDD819" s="133"/>
      <c r="BDE819" s="134"/>
      <c r="BDF819" s="134"/>
      <c r="BDG819" s="134"/>
      <c r="BDH819" s="135"/>
      <c r="BDI819" s="133"/>
      <c r="BDJ819" s="134"/>
      <c r="BDK819" s="134"/>
      <c r="BDL819" s="134"/>
      <c r="BDM819" s="135"/>
      <c r="BDN819" s="132"/>
      <c r="BDO819" s="132"/>
      <c r="BDP819" s="132"/>
      <c r="BDQ819" s="133"/>
      <c r="BDR819" s="134"/>
      <c r="BDS819" s="134"/>
      <c r="BDT819" s="134"/>
      <c r="BDU819" s="135"/>
      <c r="BDV819" s="133"/>
      <c r="BDW819" s="134"/>
      <c r="BDX819" s="134"/>
      <c r="BDY819" s="134"/>
      <c r="BDZ819" s="135"/>
      <c r="BEA819" s="132"/>
      <c r="BEB819" s="132"/>
      <c r="BEC819" s="132"/>
      <c r="BED819" s="133"/>
      <c r="BEE819" s="134"/>
      <c r="BEF819" s="134"/>
      <c r="BEG819" s="134"/>
      <c r="BEH819" s="135"/>
      <c r="BEI819" s="133"/>
      <c r="BEJ819" s="134"/>
      <c r="BEK819" s="134"/>
      <c r="BEL819" s="134"/>
      <c r="BEM819" s="135"/>
      <c r="BEN819" s="132"/>
      <c r="BEO819" s="132"/>
      <c r="BEP819" s="132"/>
      <c r="BEQ819" s="133"/>
      <c r="BER819" s="134"/>
      <c r="BES819" s="134"/>
      <c r="BET819" s="134"/>
      <c r="BEU819" s="135"/>
      <c r="BEV819" s="133"/>
      <c r="BEW819" s="134"/>
      <c r="BEX819" s="134"/>
      <c r="BEY819" s="134"/>
      <c r="BEZ819" s="135"/>
      <c r="BFA819" s="132"/>
      <c r="BFB819" s="132"/>
      <c r="BFC819" s="132"/>
      <c r="BFD819" s="133"/>
      <c r="BFE819" s="134"/>
      <c r="BFF819" s="134"/>
      <c r="BFG819" s="134"/>
      <c r="BFH819" s="135"/>
      <c r="BFI819" s="133"/>
      <c r="BFJ819" s="134"/>
      <c r="BFK819" s="134"/>
      <c r="BFL819" s="134"/>
      <c r="BFM819" s="135"/>
      <c r="BFN819" s="132"/>
      <c r="BFO819" s="132"/>
      <c r="BFP819" s="132"/>
      <c r="BFQ819" s="133"/>
      <c r="BFR819" s="134"/>
      <c r="BFS819" s="134"/>
      <c r="BFT819" s="134"/>
      <c r="BFU819" s="135"/>
      <c r="BFV819" s="133"/>
      <c r="BFW819" s="134"/>
      <c r="BFX819" s="134"/>
      <c r="BFY819" s="134"/>
      <c r="BFZ819" s="135"/>
      <c r="BGA819" s="132"/>
      <c r="BGB819" s="132"/>
      <c r="BGC819" s="132"/>
      <c r="BGD819" s="133"/>
      <c r="BGE819" s="134"/>
      <c r="BGF819" s="134"/>
      <c r="BGG819" s="134"/>
      <c r="BGH819" s="135"/>
      <c r="BGI819" s="133"/>
      <c r="BGJ819" s="134"/>
      <c r="BGK819" s="134"/>
      <c r="BGL819" s="134"/>
      <c r="BGM819" s="135"/>
      <c r="BGN819" s="132"/>
      <c r="BGO819" s="132"/>
      <c r="BGP819" s="132"/>
      <c r="BGQ819" s="133"/>
      <c r="BGR819" s="134"/>
      <c r="BGS819" s="134"/>
      <c r="BGT819" s="134"/>
      <c r="BGU819" s="135"/>
      <c r="BGV819" s="133"/>
      <c r="BGW819" s="134"/>
      <c r="BGX819" s="134"/>
      <c r="BGY819" s="134"/>
      <c r="BGZ819" s="135"/>
      <c r="BHA819" s="132"/>
      <c r="BHB819" s="132"/>
      <c r="BHC819" s="132"/>
      <c r="BHD819" s="133"/>
      <c r="BHE819" s="134"/>
      <c r="BHF819" s="134"/>
      <c r="BHG819" s="134"/>
      <c r="BHH819" s="135"/>
      <c r="BHI819" s="133"/>
      <c r="BHJ819" s="134"/>
      <c r="BHK819" s="134"/>
      <c r="BHL819" s="134"/>
      <c r="BHM819" s="135"/>
      <c r="BHN819" s="132"/>
      <c r="BHO819" s="132"/>
      <c r="BHP819" s="132"/>
      <c r="BHQ819" s="133"/>
      <c r="BHR819" s="134"/>
      <c r="BHS819" s="134"/>
      <c r="BHT819" s="134"/>
      <c r="BHU819" s="135"/>
      <c r="BHV819" s="133"/>
      <c r="BHW819" s="134"/>
      <c r="BHX819" s="134"/>
      <c r="BHY819" s="134"/>
      <c r="BHZ819" s="135"/>
      <c r="BIA819" s="132"/>
      <c r="BIB819" s="132"/>
      <c r="BIC819" s="132"/>
      <c r="BID819" s="133"/>
      <c r="BIE819" s="134"/>
      <c r="BIF819" s="134"/>
      <c r="BIG819" s="134"/>
      <c r="BIH819" s="135"/>
      <c r="BII819" s="133"/>
      <c r="BIJ819" s="134"/>
      <c r="BIK819" s="134"/>
      <c r="BIL819" s="134"/>
      <c r="BIM819" s="135"/>
      <c r="BIN819" s="132"/>
      <c r="BIO819" s="132"/>
      <c r="BIP819" s="132"/>
      <c r="BIQ819" s="133"/>
      <c r="BIR819" s="134"/>
      <c r="BIS819" s="134"/>
      <c r="BIT819" s="134"/>
      <c r="BIU819" s="135"/>
      <c r="BIV819" s="133"/>
      <c r="BIW819" s="134"/>
      <c r="BIX819" s="134"/>
      <c r="BIY819" s="134"/>
      <c r="BIZ819" s="135"/>
      <c r="BJA819" s="132"/>
      <c r="BJB819" s="132"/>
      <c r="BJC819" s="132"/>
      <c r="BJD819" s="133"/>
      <c r="BJE819" s="134"/>
      <c r="BJF819" s="134"/>
      <c r="BJG819" s="134"/>
      <c r="BJH819" s="135"/>
      <c r="BJI819" s="133"/>
      <c r="BJJ819" s="134"/>
      <c r="BJK819" s="134"/>
      <c r="BJL819" s="134"/>
      <c r="BJM819" s="135"/>
      <c r="BJN819" s="132"/>
      <c r="BJO819" s="132"/>
      <c r="BJP819" s="132"/>
      <c r="BJQ819" s="133"/>
      <c r="BJR819" s="134"/>
      <c r="BJS819" s="134"/>
      <c r="BJT819" s="134"/>
      <c r="BJU819" s="135"/>
      <c r="BJV819" s="133"/>
      <c r="BJW819" s="134"/>
      <c r="BJX819" s="134"/>
      <c r="BJY819" s="134"/>
      <c r="BJZ819" s="135"/>
      <c r="BKA819" s="132"/>
      <c r="BKB819" s="132"/>
      <c r="BKC819" s="132"/>
      <c r="BKD819" s="133"/>
      <c r="BKE819" s="134"/>
      <c r="BKF819" s="134"/>
      <c r="BKG819" s="134"/>
      <c r="BKH819" s="135"/>
      <c r="BKI819" s="133"/>
      <c r="BKJ819" s="134"/>
      <c r="BKK819" s="134"/>
      <c r="BKL819" s="134"/>
      <c r="BKM819" s="135"/>
      <c r="BKN819" s="132"/>
      <c r="BKO819" s="132"/>
      <c r="BKP819" s="132"/>
      <c r="BKQ819" s="133"/>
      <c r="BKR819" s="134"/>
      <c r="BKS819" s="134"/>
      <c r="BKT819" s="134"/>
      <c r="BKU819" s="135"/>
      <c r="BKV819" s="133"/>
      <c r="BKW819" s="134"/>
      <c r="BKX819" s="134"/>
      <c r="BKY819" s="134"/>
      <c r="BKZ819" s="135"/>
      <c r="BLA819" s="132"/>
      <c r="BLB819" s="132"/>
      <c r="BLC819" s="132"/>
      <c r="BLD819" s="133"/>
      <c r="BLE819" s="134"/>
      <c r="BLF819" s="134"/>
      <c r="BLG819" s="134"/>
      <c r="BLH819" s="135"/>
      <c r="BLI819" s="133"/>
      <c r="BLJ819" s="134"/>
      <c r="BLK819" s="134"/>
      <c r="BLL819" s="134"/>
      <c r="BLM819" s="135"/>
      <c r="BLN819" s="132"/>
      <c r="BLO819" s="132"/>
      <c r="BLP819" s="132"/>
      <c r="BLQ819" s="133"/>
      <c r="BLR819" s="134"/>
      <c r="BLS819" s="134"/>
      <c r="BLT819" s="134"/>
      <c r="BLU819" s="135"/>
      <c r="BLV819" s="133"/>
      <c r="BLW819" s="134"/>
      <c r="BLX819" s="134"/>
      <c r="BLY819" s="134"/>
      <c r="BLZ819" s="135"/>
      <c r="BMA819" s="132"/>
      <c r="BMB819" s="132"/>
      <c r="BMC819" s="132"/>
      <c r="BMD819" s="133"/>
      <c r="BME819" s="134"/>
      <c r="BMF819" s="134"/>
      <c r="BMG819" s="134"/>
      <c r="BMH819" s="135"/>
      <c r="BMI819" s="133"/>
      <c r="BMJ819" s="134"/>
      <c r="BMK819" s="134"/>
      <c r="BML819" s="134"/>
      <c r="BMM819" s="135"/>
      <c r="BMN819" s="132"/>
      <c r="BMO819" s="132"/>
      <c r="BMP819" s="132"/>
      <c r="BMQ819" s="133"/>
      <c r="BMR819" s="134"/>
      <c r="BMS819" s="134"/>
      <c r="BMT819" s="134"/>
      <c r="BMU819" s="135"/>
      <c r="BMV819" s="133"/>
      <c r="BMW819" s="134"/>
      <c r="BMX819" s="134"/>
      <c r="BMY819" s="134"/>
      <c r="BMZ819" s="135"/>
      <c r="BNA819" s="132"/>
      <c r="BNB819" s="132"/>
      <c r="BNC819" s="132"/>
      <c r="BND819" s="133"/>
      <c r="BNE819" s="134"/>
      <c r="BNF819" s="134"/>
      <c r="BNG819" s="134"/>
      <c r="BNH819" s="135"/>
      <c r="BNI819" s="133"/>
      <c r="BNJ819" s="134"/>
      <c r="BNK819" s="134"/>
      <c r="BNL819" s="134"/>
      <c r="BNM819" s="135"/>
      <c r="BNN819" s="132"/>
      <c r="BNO819" s="132"/>
      <c r="BNP819" s="132"/>
      <c r="BNQ819" s="133"/>
      <c r="BNR819" s="134"/>
      <c r="BNS819" s="134"/>
      <c r="BNT819" s="134"/>
      <c r="BNU819" s="135"/>
      <c r="BNV819" s="133"/>
      <c r="BNW819" s="134"/>
      <c r="BNX819" s="134"/>
      <c r="BNY819" s="134"/>
      <c r="BNZ819" s="135"/>
      <c r="BOA819" s="132"/>
      <c r="BOB819" s="132"/>
      <c r="BOC819" s="132"/>
      <c r="BOD819" s="133"/>
      <c r="BOE819" s="134"/>
      <c r="BOF819" s="134"/>
      <c r="BOG819" s="134"/>
      <c r="BOH819" s="135"/>
      <c r="BOI819" s="133"/>
      <c r="BOJ819" s="134"/>
      <c r="BOK819" s="134"/>
      <c r="BOL819" s="134"/>
      <c r="BOM819" s="135"/>
      <c r="BON819" s="132"/>
      <c r="BOO819" s="132"/>
      <c r="BOP819" s="132"/>
      <c r="BOQ819" s="133"/>
      <c r="BOR819" s="134"/>
      <c r="BOS819" s="134"/>
      <c r="BOT819" s="134"/>
      <c r="BOU819" s="135"/>
      <c r="BOV819" s="133"/>
      <c r="BOW819" s="134"/>
      <c r="BOX819" s="134"/>
      <c r="BOY819" s="134"/>
      <c r="BOZ819" s="135"/>
      <c r="BPA819" s="132"/>
      <c r="BPB819" s="132"/>
      <c r="BPC819" s="132"/>
      <c r="BPD819" s="133"/>
      <c r="BPE819" s="134"/>
      <c r="BPF819" s="134"/>
      <c r="BPG819" s="134"/>
      <c r="BPH819" s="135"/>
      <c r="BPI819" s="133"/>
      <c r="BPJ819" s="134"/>
      <c r="BPK819" s="134"/>
      <c r="BPL819" s="134"/>
      <c r="BPM819" s="135"/>
      <c r="BPN819" s="132"/>
      <c r="BPO819" s="132"/>
      <c r="BPP819" s="132"/>
      <c r="BPQ819" s="133"/>
      <c r="BPR819" s="134"/>
      <c r="BPS819" s="134"/>
      <c r="BPT819" s="134"/>
      <c r="BPU819" s="135"/>
      <c r="BPV819" s="133"/>
      <c r="BPW819" s="134"/>
      <c r="BPX819" s="134"/>
      <c r="BPY819" s="134"/>
      <c r="BPZ819" s="135"/>
      <c r="BQA819" s="132"/>
      <c r="BQB819" s="132"/>
      <c r="BQC819" s="132"/>
      <c r="BQD819" s="133"/>
      <c r="BQE819" s="134"/>
      <c r="BQF819" s="134"/>
      <c r="BQG819" s="134"/>
      <c r="BQH819" s="135"/>
      <c r="BQI819" s="133"/>
      <c r="BQJ819" s="134"/>
      <c r="BQK819" s="134"/>
      <c r="BQL819" s="134"/>
      <c r="BQM819" s="135"/>
      <c r="BQN819" s="132"/>
      <c r="BQO819" s="132"/>
      <c r="BQP819" s="132"/>
      <c r="BQQ819" s="133"/>
      <c r="BQR819" s="134"/>
      <c r="BQS819" s="134"/>
      <c r="BQT819" s="134"/>
      <c r="BQU819" s="135"/>
      <c r="BQV819" s="133"/>
      <c r="BQW819" s="134"/>
      <c r="BQX819" s="134"/>
      <c r="BQY819" s="134"/>
      <c r="BQZ819" s="135"/>
      <c r="BRA819" s="132"/>
      <c r="BRB819" s="132"/>
      <c r="BRC819" s="132"/>
      <c r="BRD819" s="133"/>
      <c r="BRE819" s="134"/>
      <c r="BRF819" s="134"/>
      <c r="BRG819" s="134"/>
      <c r="BRH819" s="135"/>
      <c r="BRI819" s="133"/>
      <c r="BRJ819" s="134"/>
      <c r="BRK819" s="134"/>
      <c r="BRL819" s="134"/>
      <c r="BRM819" s="135"/>
      <c r="BRN819" s="132"/>
      <c r="BRO819" s="132"/>
      <c r="BRP819" s="132"/>
      <c r="BRQ819" s="133"/>
      <c r="BRR819" s="134"/>
      <c r="BRS819" s="134"/>
      <c r="BRT819" s="134"/>
      <c r="BRU819" s="135"/>
      <c r="BRV819" s="133"/>
      <c r="BRW819" s="134"/>
      <c r="BRX819" s="134"/>
      <c r="BRY819" s="134"/>
      <c r="BRZ819" s="135"/>
      <c r="BSA819" s="132"/>
      <c r="BSB819" s="132"/>
      <c r="BSC819" s="132"/>
      <c r="BSD819" s="133"/>
      <c r="BSE819" s="134"/>
      <c r="BSF819" s="134"/>
      <c r="BSG819" s="134"/>
      <c r="BSH819" s="135"/>
      <c r="BSI819" s="133"/>
      <c r="BSJ819" s="134"/>
      <c r="BSK819" s="134"/>
      <c r="BSL819" s="134"/>
      <c r="BSM819" s="135"/>
      <c r="BSN819" s="132"/>
      <c r="BSO819" s="132"/>
      <c r="BSP819" s="132"/>
      <c r="BSQ819" s="133"/>
      <c r="BSR819" s="134"/>
      <c r="BSS819" s="134"/>
      <c r="BST819" s="134"/>
      <c r="BSU819" s="135"/>
      <c r="BSV819" s="133"/>
      <c r="BSW819" s="134"/>
      <c r="BSX819" s="134"/>
      <c r="BSY819" s="134"/>
      <c r="BSZ819" s="135"/>
      <c r="BTA819" s="132"/>
      <c r="BTB819" s="132"/>
      <c r="BTC819" s="132"/>
      <c r="BTD819" s="133"/>
      <c r="BTE819" s="134"/>
      <c r="BTF819" s="134"/>
      <c r="BTG819" s="134"/>
      <c r="BTH819" s="135"/>
      <c r="BTI819" s="133"/>
      <c r="BTJ819" s="134"/>
      <c r="BTK819" s="134"/>
      <c r="BTL819" s="134"/>
      <c r="BTM819" s="135"/>
      <c r="BTN819" s="132"/>
      <c r="BTO819" s="132"/>
      <c r="BTP819" s="132"/>
      <c r="BTQ819" s="133"/>
      <c r="BTR819" s="134"/>
      <c r="BTS819" s="134"/>
      <c r="BTT819" s="134"/>
      <c r="BTU819" s="135"/>
      <c r="BTV819" s="133"/>
      <c r="BTW819" s="134"/>
      <c r="BTX819" s="134"/>
      <c r="BTY819" s="134"/>
      <c r="BTZ819" s="135"/>
      <c r="BUA819" s="132"/>
      <c r="BUB819" s="132"/>
      <c r="BUC819" s="132"/>
      <c r="BUD819" s="133"/>
      <c r="BUE819" s="134"/>
      <c r="BUF819" s="134"/>
      <c r="BUG819" s="134"/>
      <c r="BUH819" s="135"/>
      <c r="BUI819" s="133"/>
      <c r="BUJ819" s="134"/>
      <c r="BUK819" s="134"/>
      <c r="BUL819" s="134"/>
      <c r="BUM819" s="135"/>
      <c r="BUN819" s="132"/>
      <c r="BUO819" s="132"/>
      <c r="BUP819" s="132"/>
      <c r="BUQ819" s="133"/>
      <c r="BUR819" s="134"/>
      <c r="BUS819" s="134"/>
      <c r="BUT819" s="134"/>
      <c r="BUU819" s="135"/>
      <c r="BUV819" s="133"/>
      <c r="BUW819" s="134"/>
      <c r="BUX819" s="134"/>
      <c r="BUY819" s="134"/>
      <c r="BUZ819" s="135"/>
      <c r="BVA819" s="132"/>
      <c r="BVB819" s="132"/>
      <c r="BVC819" s="132"/>
      <c r="BVD819" s="133"/>
      <c r="BVE819" s="134"/>
      <c r="BVF819" s="134"/>
      <c r="BVG819" s="134"/>
      <c r="BVH819" s="135"/>
      <c r="BVI819" s="133"/>
      <c r="BVJ819" s="134"/>
      <c r="BVK819" s="134"/>
      <c r="BVL819" s="134"/>
      <c r="BVM819" s="135"/>
      <c r="BVN819" s="132"/>
      <c r="BVO819" s="132"/>
      <c r="BVP819" s="132"/>
      <c r="BVQ819" s="133"/>
      <c r="BVR819" s="134"/>
      <c r="BVS819" s="134"/>
      <c r="BVT819" s="134"/>
      <c r="BVU819" s="135"/>
      <c r="BVV819" s="133"/>
      <c r="BVW819" s="134"/>
      <c r="BVX819" s="134"/>
      <c r="BVY819" s="134"/>
      <c r="BVZ819" s="135"/>
      <c r="BWA819" s="132"/>
      <c r="BWB819" s="132"/>
      <c r="BWC819" s="132"/>
      <c r="BWD819" s="133"/>
      <c r="BWE819" s="134"/>
      <c r="BWF819" s="134"/>
      <c r="BWG819" s="134"/>
      <c r="BWH819" s="135"/>
      <c r="BWI819" s="133"/>
      <c r="BWJ819" s="134"/>
      <c r="BWK819" s="134"/>
      <c r="BWL819" s="134"/>
      <c r="BWM819" s="135"/>
      <c r="BWN819" s="132"/>
      <c r="BWO819" s="132"/>
      <c r="BWP819" s="132"/>
      <c r="BWQ819" s="133"/>
      <c r="BWR819" s="134"/>
      <c r="BWS819" s="134"/>
      <c r="BWT819" s="134"/>
      <c r="BWU819" s="135"/>
      <c r="BWV819" s="133"/>
      <c r="BWW819" s="134"/>
      <c r="BWX819" s="134"/>
      <c r="BWY819" s="134"/>
      <c r="BWZ819" s="135"/>
      <c r="BXA819" s="132"/>
      <c r="BXB819" s="132"/>
      <c r="BXC819" s="132"/>
      <c r="BXD819" s="133"/>
      <c r="BXE819" s="134"/>
      <c r="BXF819" s="134"/>
      <c r="BXG819" s="134"/>
      <c r="BXH819" s="135"/>
      <c r="BXI819" s="133"/>
      <c r="BXJ819" s="134"/>
      <c r="BXK819" s="134"/>
      <c r="BXL819" s="134"/>
      <c r="BXM819" s="135"/>
      <c r="BXN819" s="132"/>
      <c r="BXO819" s="132"/>
      <c r="BXP819" s="132"/>
      <c r="BXQ819" s="133"/>
      <c r="BXR819" s="134"/>
      <c r="BXS819" s="134"/>
      <c r="BXT819" s="134"/>
      <c r="BXU819" s="135"/>
      <c r="BXV819" s="133"/>
      <c r="BXW819" s="134"/>
      <c r="BXX819" s="134"/>
      <c r="BXY819" s="134"/>
      <c r="BXZ819" s="135"/>
      <c r="BYA819" s="132"/>
      <c r="BYB819" s="132"/>
      <c r="BYC819" s="132"/>
      <c r="BYD819" s="133"/>
      <c r="BYE819" s="134"/>
      <c r="BYF819" s="134"/>
      <c r="BYG819" s="134"/>
      <c r="BYH819" s="135"/>
      <c r="BYI819" s="133"/>
      <c r="BYJ819" s="134"/>
      <c r="BYK819" s="134"/>
      <c r="BYL819" s="134"/>
      <c r="BYM819" s="135"/>
      <c r="BYN819" s="132"/>
      <c r="BYO819" s="132"/>
      <c r="BYP819" s="132"/>
      <c r="BYQ819" s="133"/>
      <c r="BYR819" s="134"/>
      <c r="BYS819" s="134"/>
      <c r="BYT819" s="134"/>
      <c r="BYU819" s="135"/>
      <c r="BYV819" s="133"/>
      <c r="BYW819" s="134"/>
      <c r="BYX819" s="134"/>
      <c r="BYY819" s="134"/>
      <c r="BYZ819" s="135"/>
      <c r="BZA819" s="132"/>
      <c r="BZB819" s="132"/>
      <c r="BZC819" s="132"/>
      <c r="BZD819" s="133"/>
      <c r="BZE819" s="134"/>
      <c r="BZF819" s="134"/>
      <c r="BZG819" s="134"/>
      <c r="BZH819" s="135"/>
      <c r="BZI819" s="133"/>
      <c r="BZJ819" s="134"/>
      <c r="BZK819" s="134"/>
      <c r="BZL819" s="134"/>
      <c r="BZM819" s="135"/>
      <c r="BZN819" s="132"/>
      <c r="BZO819" s="132"/>
      <c r="BZP819" s="132"/>
      <c r="BZQ819" s="133"/>
      <c r="BZR819" s="134"/>
      <c r="BZS819" s="134"/>
      <c r="BZT819" s="134"/>
      <c r="BZU819" s="135"/>
      <c r="BZV819" s="133"/>
      <c r="BZW819" s="134"/>
      <c r="BZX819" s="134"/>
      <c r="BZY819" s="134"/>
      <c r="BZZ819" s="135"/>
      <c r="CAA819" s="132"/>
      <c r="CAB819" s="132"/>
      <c r="CAC819" s="132"/>
      <c r="CAD819" s="133"/>
      <c r="CAE819" s="134"/>
      <c r="CAF819" s="134"/>
      <c r="CAG819" s="134"/>
      <c r="CAH819" s="135"/>
      <c r="CAI819" s="133"/>
      <c r="CAJ819" s="134"/>
      <c r="CAK819" s="134"/>
      <c r="CAL819" s="134"/>
      <c r="CAM819" s="135"/>
      <c r="CAN819" s="132"/>
      <c r="CAO819" s="132"/>
      <c r="CAP819" s="132"/>
      <c r="CAQ819" s="133"/>
      <c r="CAR819" s="134"/>
      <c r="CAS819" s="134"/>
      <c r="CAT819" s="134"/>
      <c r="CAU819" s="135"/>
      <c r="CAV819" s="133"/>
      <c r="CAW819" s="134"/>
      <c r="CAX819" s="134"/>
      <c r="CAY819" s="134"/>
      <c r="CAZ819" s="135"/>
      <c r="CBA819" s="132"/>
      <c r="CBB819" s="132"/>
      <c r="CBC819" s="132"/>
      <c r="CBD819" s="133"/>
      <c r="CBE819" s="134"/>
      <c r="CBF819" s="134"/>
      <c r="CBG819" s="134"/>
      <c r="CBH819" s="135"/>
      <c r="CBI819" s="133"/>
      <c r="CBJ819" s="134"/>
      <c r="CBK819" s="134"/>
      <c r="CBL819" s="134"/>
      <c r="CBM819" s="135"/>
      <c r="CBN819" s="132"/>
      <c r="CBO819" s="132"/>
      <c r="CBP819" s="132"/>
      <c r="CBQ819" s="133"/>
      <c r="CBR819" s="134"/>
      <c r="CBS819" s="134"/>
      <c r="CBT819" s="134"/>
      <c r="CBU819" s="135"/>
      <c r="CBV819" s="133"/>
      <c r="CBW819" s="134"/>
      <c r="CBX819" s="134"/>
      <c r="CBY819" s="134"/>
      <c r="CBZ819" s="135"/>
      <c r="CCA819" s="132"/>
      <c r="CCB819" s="132"/>
      <c r="CCC819" s="132"/>
      <c r="CCD819" s="133"/>
      <c r="CCE819" s="134"/>
      <c r="CCF819" s="134"/>
      <c r="CCG819" s="134"/>
      <c r="CCH819" s="135"/>
      <c r="CCI819" s="133"/>
      <c r="CCJ819" s="134"/>
      <c r="CCK819" s="134"/>
      <c r="CCL819" s="134"/>
      <c r="CCM819" s="135"/>
      <c r="CCN819" s="132"/>
      <c r="CCO819" s="132"/>
      <c r="CCP819" s="132"/>
      <c r="CCQ819" s="133"/>
      <c r="CCR819" s="134"/>
      <c r="CCS819" s="134"/>
      <c r="CCT819" s="134"/>
      <c r="CCU819" s="135"/>
      <c r="CCV819" s="133"/>
      <c r="CCW819" s="134"/>
      <c r="CCX819" s="134"/>
      <c r="CCY819" s="134"/>
      <c r="CCZ819" s="135"/>
      <c r="CDA819" s="132"/>
      <c r="CDB819" s="132"/>
      <c r="CDC819" s="132"/>
      <c r="CDD819" s="133"/>
      <c r="CDE819" s="134"/>
      <c r="CDF819" s="134"/>
      <c r="CDG819" s="134"/>
      <c r="CDH819" s="135"/>
      <c r="CDI819" s="133"/>
      <c r="CDJ819" s="134"/>
      <c r="CDK819" s="134"/>
      <c r="CDL819" s="134"/>
      <c r="CDM819" s="135"/>
      <c r="CDN819" s="132"/>
      <c r="CDO819" s="132"/>
      <c r="CDP819" s="132"/>
      <c r="CDQ819" s="133"/>
      <c r="CDR819" s="134"/>
      <c r="CDS819" s="134"/>
      <c r="CDT819" s="134"/>
      <c r="CDU819" s="135"/>
      <c r="CDV819" s="133"/>
      <c r="CDW819" s="134"/>
      <c r="CDX819" s="134"/>
      <c r="CDY819" s="134"/>
      <c r="CDZ819" s="135"/>
      <c r="CEA819" s="132"/>
      <c r="CEB819" s="132"/>
      <c r="CEC819" s="132"/>
      <c r="CED819" s="133"/>
      <c r="CEE819" s="134"/>
      <c r="CEF819" s="134"/>
      <c r="CEG819" s="134"/>
      <c r="CEH819" s="135"/>
      <c r="CEI819" s="133"/>
      <c r="CEJ819" s="134"/>
      <c r="CEK819" s="134"/>
      <c r="CEL819" s="134"/>
      <c r="CEM819" s="135"/>
      <c r="CEN819" s="132"/>
      <c r="CEO819" s="132"/>
      <c r="CEP819" s="132"/>
      <c r="CEQ819" s="133"/>
      <c r="CER819" s="134"/>
      <c r="CES819" s="134"/>
      <c r="CET819" s="134"/>
      <c r="CEU819" s="135"/>
      <c r="CEV819" s="133"/>
      <c r="CEW819" s="134"/>
      <c r="CEX819" s="134"/>
      <c r="CEY819" s="134"/>
      <c r="CEZ819" s="135"/>
      <c r="CFA819" s="132"/>
      <c r="CFB819" s="132"/>
      <c r="CFC819" s="132"/>
      <c r="CFD819" s="133"/>
      <c r="CFE819" s="134"/>
      <c r="CFF819" s="134"/>
      <c r="CFG819" s="134"/>
      <c r="CFH819" s="135"/>
      <c r="CFI819" s="133"/>
      <c r="CFJ819" s="134"/>
      <c r="CFK819" s="134"/>
      <c r="CFL819" s="134"/>
      <c r="CFM819" s="135"/>
      <c r="CFN819" s="132"/>
      <c r="CFO819" s="132"/>
      <c r="CFP819" s="132"/>
      <c r="CFQ819" s="133"/>
      <c r="CFR819" s="134"/>
      <c r="CFS819" s="134"/>
      <c r="CFT819" s="134"/>
      <c r="CFU819" s="135"/>
      <c r="CFV819" s="133"/>
      <c r="CFW819" s="134"/>
      <c r="CFX819" s="134"/>
      <c r="CFY819" s="134"/>
      <c r="CFZ819" s="135"/>
      <c r="CGA819" s="132"/>
      <c r="CGB819" s="132"/>
      <c r="CGC819" s="132"/>
      <c r="CGD819" s="133"/>
      <c r="CGE819" s="134"/>
      <c r="CGF819" s="134"/>
      <c r="CGG819" s="134"/>
      <c r="CGH819" s="135"/>
      <c r="CGI819" s="133"/>
      <c r="CGJ819" s="134"/>
      <c r="CGK819" s="134"/>
      <c r="CGL819" s="134"/>
      <c r="CGM819" s="135"/>
      <c r="CGN819" s="132"/>
      <c r="CGO819" s="132"/>
      <c r="CGP819" s="132"/>
      <c r="CGQ819" s="133"/>
      <c r="CGR819" s="134"/>
      <c r="CGS819" s="134"/>
      <c r="CGT819" s="134"/>
      <c r="CGU819" s="135"/>
      <c r="CGV819" s="133"/>
      <c r="CGW819" s="134"/>
      <c r="CGX819" s="134"/>
      <c r="CGY819" s="134"/>
      <c r="CGZ819" s="135"/>
      <c r="CHA819" s="132"/>
      <c r="CHB819" s="132"/>
      <c r="CHC819" s="132"/>
      <c r="CHD819" s="133"/>
      <c r="CHE819" s="134"/>
      <c r="CHF819" s="134"/>
      <c r="CHG819" s="134"/>
      <c r="CHH819" s="135"/>
      <c r="CHI819" s="133"/>
      <c r="CHJ819" s="134"/>
      <c r="CHK819" s="134"/>
      <c r="CHL819" s="134"/>
      <c r="CHM819" s="135"/>
      <c r="CHN819" s="132"/>
      <c r="CHO819" s="132"/>
      <c r="CHP819" s="132"/>
      <c r="CHQ819" s="133"/>
      <c r="CHR819" s="134"/>
      <c r="CHS819" s="134"/>
      <c r="CHT819" s="134"/>
      <c r="CHU819" s="135"/>
      <c r="CHV819" s="133"/>
      <c r="CHW819" s="134"/>
      <c r="CHX819" s="134"/>
      <c r="CHY819" s="134"/>
      <c r="CHZ819" s="135"/>
      <c r="CIA819" s="132"/>
      <c r="CIB819" s="132"/>
      <c r="CIC819" s="132"/>
      <c r="CID819" s="133"/>
      <c r="CIE819" s="134"/>
      <c r="CIF819" s="134"/>
      <c r="CIG819" s="134"/>
      <c r="CIH819" s="135"/>
      <c r="CII819" s="133"/>
      <c r="CIJ819" s="134"/>
      <c r="CIK819" s="134"/>
      <c r="CIL819" s="134"/>
      <c r="CIM819" s="135"/>
      <c r="CIN819" s="132"/>
      <c r="CIO819" s="132"/>
      <c r="CIP819" s="132"/>
      <c r="CIQ819" s="133"/>
      <c r="CIR819" s="134"/>
      <c r="CIS819" s="134"/>
      <c r="CIT819" s="134"/>
      <c r="CIU819" s="135"/>
      <c r="CIV819" s="133"/>
      <c r="CIW819" s="134"/>
      <c r="CIX819" s="134"/>
      <c r="CIY819" s="134"/>
      <c r="CIZ819" s="135"/>
      <c r="CJA819" s="132"/>
      <c r="CJB819" s="132"/>
      <c r="CJC819" s="132"/>
      <c r="CJD819" s="133"/>
      <c r="CJE819" s="134"/>
      <c r="CJF819" s="134"/>
      <c r="CJG819" s="134"/>
      <c r="CJH819" s="135"/>
      <c r="CJI819" s="133"/>
      <c r="CJJ819" s="134"/>
      <c r="CJK819" s="134"/>
      <c r="CJL819" s="134"/>
      <c r="CJM819" s="135"/>
      <c r="CJN819" s="132"/>
      <c r="CJO819" s="132"/>
      <c r="CJP819" s="132"/>
      <c r="CJQ819" s="133"/>
      <c r="CJR819" s="134"/>
      <c r="CJS819" s="134"/>
      <c r="CJT819" s="134"/>
      <c r="CJU819" s="135"/>
      <c r="CJV819" s="133"/>
      <c r="CJW819" s="134"/>
      <c r="CJX819" s="134"/>
      <c r="CJY819" s="134"/>
      <c r="CJZ819" s="135"/>
      <c r="CKA819" s="132"/>
      <c r="CKB819" s="132"/>
      <c r="CKC819" s="132"/>
      <c r="CKD819" s="133"/>
      <c r="CKE819" s="134"/>
      <c r="CKF819" s="134"/>
      <c r="CKG819" s="134"/>
      <c r="CKH819" s="135"/>
      <c r="CKI819" s="133"/>
      <c r="CKJ819" s="134"/>
      <c r="CKK819" s="134"/>
      <c r="CKL819" s="134"/>
      <c r="CKM819" s="135"/>
      <c r="CKN819" s="132"/>
      <c r="CKO819" s="132"/>
      <c r="CKP819" s="132"/>
      <c r="CKQ819" s="133"/>
      <c r="CKR819" s="134"/>
      <c r="CKS819" s="134"/>
      <c r="CKT819" s="134"/>
      <c r="CKU819" s="135"/>
      <c r="CKV819" s="133"/>
      <c r="CKW819" s="134"/>
      <c r="CKX819" s="134"/>
      <c r="CKY819" s="134"/>
      <c r="CKZ819" s="135"/>
      <c r="CLA819" s="132"/>
      <c r="CLB819" s="132"/>
      <c r="CLC819" s="132"/>
      <c r="CLD819" s="133"/>
      <c r="CLE819" s="134"/>
      <c r="CLF819" s="134"/>
      <c r="CLG819" s="134"/>
      <c r="CLH819" s="135"/>
      <c r="CLI819" s="133"/>
      <c r="CLJ819" s="134"/>
      <c r="CLK819" s="134"/>
      <c r="CLL819" s="134"/>
      <c r="CLM819" s="135"/>
      <c r="CLN819" s="132"/>
      <c r="CLO819" s="132"/>
      <c r="CLP819" s="132"/>
      <c r="CLQ819" s="133"/>
      <c r="CLR819" s="134"/>
      <c r="CLS819" s="134"/>
      <c r="CLT819" s="134"/>
      <c r="CLU819" s="135"/>
      <c r="CLV819" s="133"/>
      <c r="CLW819" s="134"/>
      <c r="CLX819" s="134"/>
      <c r="CLY819" s="134"/>
      <c r="CLZ819" s="135"/>
      <c r="CMA819" s="132"/>
      <c r="CMB819" s="132"/>
      <c r="CMC819" s="132"/>
      <c r="CMD819" s="133"/>
      <c r="CME819" s="134"/>
      <c r="CMF819" s="134"/>
      <c r="CMG819" s="134"/>
      <c r="CMH819" s="135"/>
      <c r="CMI819" s="133"/>
      <c r="CMJ819" s="134"/>
      <c r="CMK819" s="134"/>
      <c r="CML819" s="134"/>
      <c r="CMM819" s="135"/>
      <c r="CMN819" s="132"/>
      <c r="CMO819" s="132"/>
      <c r="CMP819" s="132"/>
      <c r="CMQ819" s="133"/>
      <c r="CMR819" s="134"/>
      <c r="CMS819" s="134"/>
      <c r="CMT819" s="134"/>
      <c r="CMU819" s="135"/>
      <c r="CMV819" s="133"/>
      <c r="CMW819" s="134"/>
      <c r="CMX819" s="134"/>
      <c r="CMY819" s="134"/>
      <c r="CMZ819" s="135"/>
      <c r="CNA819" s="132"/>
      <c r="CNB819" s="132"/>
      <c r="CNC819" s="132"/>
      <c r="CND819" s="133"/>
      <c r="CNE819" s="134"/>
      <c r="CNF819" s="134"/>
      <c r="CNG819" s="134"/>
      <c r="CNH819" s="135"/>
      <c r="CNI819" s="133"/>
      <c r="CNJ819" s="134"/>
      <c r="CNK819" s="134"/>
      <c r="CNL819" s="134"/>
      <c r="CNM819" s="135"/>
      <c r="CNN819" s="132"/>
      <c r="CNO819" s="132"/>
      <c r="CNP819" s="132"/>
      <c r="CNQ819" s="133"/>
      <c r="CNR819" s="134"/>
      <c r="CNS819" s="134"/>
      <c r="CNT819" s="134"/>
      <c r="CNU819" s="135"/>
      <c r="CNV819" s="133"/>
      <c r="CNW819" s="134"/>
      <c r="CNX819" s="134"/>
      <c r="CNY819" s="134"/>
      <c r="CNZ819" s="135"/>
      <c r="COA819" s="132"/>
      <c r="COB819" s="132"/>
      <c r="COC819" s="132"/>
      <c r="COD819" s="133"/>
      <c r="COE819" s="134"/>
      <c r="COF819" s="134"/>
      <c r="COG819" s="134"/>
      <c r="COH819" s="135"/>
      <c r="COI819" s="133"/>
      <c r="COJ819" s="134"/>
      <c r="COK819" s="134"/>
      <c r="COL819" s="134"/>
      <c r="COM819" s="135"/>
      <c r="CON819" s="132"/>
      <c r="COO819" s="132"/>
      <c r="COP819" s="132"/>
      <c r="COQ819" s="133"/>
      <c r="COR819" s="134"/>
      <c r="COS819" s="134"/>
      <c r="COT819" s="134"/>
      <c r="COU819" s="135"/>
      <c r="COV819" s="133"/>
      <c r="COW819" s="134"/>
      <c r="COX819" s="134"/>
      <c r="COY819" s="134"/>
      <c r="COZ819" s="135"/>
      <c r="CPA819" s="132"/>
      <c r="CPB819" s="132"/>
      <c r="CPC819" s="132"/>
      <c r="CPD819" s="133"/>
      <c r="CPE819" s="134"/>
      <c r="CPF819" s="134"/>
      <c r="CPG819" s="134"/>
      <c r="CPH819" s="135"/>
      <c r="CPI819" s="133"/>
      <c r="CPJ819" s="134"/>
      <c r="CPK819" s="134"/>
      <c r="CPL819" s="134"/>
      <c r="CPM819" s="135"/>
      <c r="CPN819" s="132"/>
      <c r="CPO819" s="132"/>
      <c r="CPP819" s="132"/>
      <c r="CPQ819" s="133"/>
      <c r="CPR819" s="134"/>
      <c r="CPS819" s="134"/>
      <c r="CPT819" s="134"/>
      <c r="CPU819" s="135"/>
      <c r="CPV819" s="133"/>
      <c r="CPW819" s="134"/>
      <c r="CPX819" s="134"/>
      <c r="CPY819" s="134"/>
      <c r="CPZ819" s="135"/>
      <c r="CQA819" s="132"/>
      <c r="CQB819" s="132"/>
      <c r="CQC819" s="132"/>
      <c r="CQD819" s="133"/>
      <c r="CQE819" s="134"/>
      <c r="CQF819" s="134"/>
      <c r="CQG819" s="134"/>
      <c r="CQH819" s="135"/>
      <c r="CQI819" s="133"/>
      <c r="CQJ819" s="134"/>
      <c r="CQK819" s="134"/>
      <c r="CQL819" s="134"/>
      <c r="CQM819" s="135"/>
      <c r="CQN819" s="132"/>
      <c r="CQO819" s="132"/>
      <c r="CQP819" s="132"/>
      <c r="CQQ819" s="133"/>
      <c r="CQR819" s="134"/>
      <c r="CQS819" s="134"/>
      <c r="CQT819" s="134"/>
      <c r="CQU819" s="135"/>
      <c r="CQV819" s="133"/>
      <c r="CQW819" s="134"/>
      <c r="CQX819" s="134"/>
      <c r="CQY819" s="134"/>
      <c r="CQZ819" s="135"/>
      <c r="CRA819" s="132"/>
      <c r="CRB819" s="132"/>
      <c r="CRC819" s="132"/>
      <c r="CRD819" s="133"/>
      <c r="CRE819" s="134"/>
      <c r="CRF819" s="134"/>
      <c r="CRG819" s="134"/>
      <c r="CRH819" s="135"/>
      <c r="CRI819" s="133"/>
      <c r="CRJ819" s="134"/>
      <c r="CRK819" s="134"/>
      <c r="CRL819" s="134"/>
      <c r="CRM819" s="135"/>
      <c r="CRN819" s="132"/>
      <c r="CRO819" s="132"/>
      <c r="CRP819" s="132"/>
      <c r="CRQ819" s="133"/>
      <c r="CRR819" s="134"/>
      <c r="CRS819" s="134"/>
      <c r="CRT819" s="134"/>
      <c r="CRU819" s="135"/>
      <c r="CRV819" s="133"/>
      <c r="CRW819" s="134"/>
      <c r="CRX819" s="134"/>
      <c r="CRY819" s="134"/>
      <c r="CRZ819" s="135"/>
      <c r="CSA819" s="132"/>
      <c r="CSB819" s="132"/>
      <c r="CSC819" s="132"/>
      <c r="CSD819" s="133"/>
      <c r="CSE819" s="134"/>
      <c r="CSF819" s="134"/>
      <c r="CSG819" s="134"/>
      <c r="CSH819" s="135"/>
      <c r="CSI819" s="133"/>
      <c r="CSJ819" s="134"/>
      <c r="CSK819" s="134"/>
      <c r="CSL819" s="134"/>
      <c r="CSM819" s="135"/>
      <c r="CSN819" s="132"/>
      <c r="CSO819" s="132"/>
      <c r="CSP819" s="132"/>
      <c r="CSQ819" s="133"/>
      <c r="CSR819" s="134"/>
      <c r="CSS819" s="134"/>
      <c r="CST819" s="134"/>
      <c r="CSU819" s="135"/>
      <c r="CSV819" s="133"/>
      <c r="CSW819" s="134"/>
      <c r="CSX819" s="134"/>
      <c r="CSY819" s="134"/>
      <c r="CSZ819" s="135"/>
      <c r="CTA819" s="132"/>
      <c r="CTB819" s="132"/>
      <c r="CTC819" s="132"/>
      <c r="CTD819" s="133"/>
      <c r="CTE819" s="134"/>
      <c r="CTF819" s="134"/>
      <c r="CTG819" s="134"/>
      <c r="CTH819" s="135"/>
      <c r="CTI819" s="133"/>
      <c r="CTJ819" s="134"/>
      <c r="CTK819" s="134"/>
      <c r="CTL819" s="134"/>
      <c r="CTM819" s="135"/>
      <c r="CTN819" s="132"/>
      <c r="CTO819" s="132"/>
      <c r="CTP819" s="132"/>
      <c r="CTQ819" s="133"/>
      <c r="CTR819" s="134"/>
      <c r="CTS819" s="134"/>
      <c r="CTT819" s="134"/>
      <c r="CTU819" s="135"/>
      <c r="CTV819" s="133"/>
      <c r="CTW819" s="134"/>
      <c r="CTX819" s="134"/>
      <c r="CTY819" s="134"/>
      <c r="CTZ819" s="135"/>
      <c r="CUA819" s="132"/>
      <c r="CUB819" s="132"/>
      <c r="CUC819" s="132"/>
      <c r="CUD819" s="133"/>
      <c r="CUE819" s="134"/>
      <c r="CUF819" s="134"/>
      <c r="CUG819" s="134"/>
      <c r="CUH819" s="135"/>
      <c r="CUI819" s="133"/>
      <c r="CUJ819" s="134"/>
      <c r="CUK819" s="134"/>
      <c r="CUL819" s="134"/>
      <c r="CUM819" s="135"/>
      <c r="CUN819" s="132"/>
      <c r="CUO819" s="132"/>
      <c r="CUP819" s="132"/>
      <c r="CUQ819" s="133"/>
      <c r="CUR819" s="134"/>
      <c r="CUS819" s="134"/>
      <c r="CUT819" s="134"/>
      <c r="CUU819" s="135"/>
      <c r="CUV819" s="133"/>
      <c r="CUW819" s="134"/>
      <c r="CUX819" s="134"/>
      <c r="CUY819" s="134"/>
      <c r="CUZ819" s="135"/>
      <c r="CVA819" s="132"/>
      <c r="CVB819" s="132"/>
      <c r="CVC819" s="132"/>
      <c r="CVD819" s="133"/>
      <c r="CVE819" s="134"/>
      <c r="CVF819" s="134"/>
      <c r="CVG819" s="134"/>
      <c r="CVH819" s="135"/>
      <c r="CVI819" s="133"/>
      <c r="CVJ819" s="134"/>
      <c r="CVK819" s="134"/>
      <c r="CVL819" s="134"/>
      <c r="CVM819" s="135"/>
      <c r="CVN819" s="132"/>
      <c r="CVO819" s="132"/>
      <c r="CVP819" s="132"/>
      <c r="CVQ819" s="133"/>
      <c r="CVR819" s="134"/>
      <c r="CVS819" s="134"/>
      <c r="CVT819" s="134"/>
      <c r="CVU819" s="135"/>
      <c r="CVV819" s="133"/>
      <c r="CVW819" s="134"/>
      <c r="CVX819" s="134"/>
      <c r="CVY819" s="134"/>
      <c r="CVZ819" s="135"/>
      <c r="CWA819" s="132"/>
      <c r="CWB819" s="132"/>
      <c r="CWC819" s="132"/>
      <c r="CWD819" s="133"/>
      <c r="CWE819" s="134"/>
      <c r="CWF819" s="134"/>
      <c r="CWG819" s="134"/>
      <c r="CWH819" s="135"/>
      <c r="CWI819" s="133"/>
      <c r="CWJ819" s="134"/>
      <c r="CWK819" s="134"/>
      <c r="CWL819" s="134"/>
      <c r="CWM819" s="135"/>
      <c r="CWN819" s="132"/>
      <c r="CWO819" s="132"/>
      <c r="CWP819" s="132"/>
      <c r="CWQ819" s="133"/>
      <c r="CWR819" s="134"/>
      <c r="CWS819" s="134"/>
      <c r="CWT819" s="134"/>
      <c r="CWU819" s="135"/>
      <c r="CWV819" s="133"/>
      <c r="CWW819" s="134"/>
      <c r="CWX819" s="134"/>
      <c r="CWY819" s="134"/>
      <c r="CWZ819" s="135"/>
      <c r="CXA819" s="132"/>
      <c r="CXB819" s="132"/>
      <c r="CXC819" s="132"/>
      <c r="CXD819" s="133"/>
      <c r="CXE819" s="134"/>
      <c r="CXF819" s="134"/>
      <c r="CXG819" s="134"/>
      <c r="CXH819" s="135"/>
      <c r="CXI819" s="133"/>
      <c r="CXJ819" s="134"/>
      <c r="CXK819" s="134"/>
      <c r="CXL819" s="134"/>
      <c r="CXM819" s="135"/>
      <c r="CXN819" s="132"/>
      <c r="CXO819" s="132"/>
      <c r="CXP819" s="132"/>
      <c r="CXQ819" s="133"/>
      <c r="CXR819" s="134"/>
      <c r="CXS819" s="134"/>
      <c r="CXT819" s="134"/>
      <c r="CXU819" s="135"/>
      <c r="CXV819" s="133"/>
      <c r="CXW819" s="134"/>
      <c r="CXX819" s="134"/>
      <c r="CXY819" s="134"/>
      <c r="CXZ819" s="135"/>
      <c r="CYA819" s="132"/>
      <c r="CYB819" s="132"/>
      <c r="CYC819" s="132"/>
      <c r="CYD819" s="133"/>
      <c r="CYE819" s="134"/>
      <c r="CYF819" s="134"/>
      <c r="CYG819" s="134"/>
      <c r="CYH819" s="135"/>
      <c r="CYI819" s="133"/>
      <c r="CYJ819" s="134"/>
      <c r="CYK819" s="134"/>
      <c r="CYL819" s="134"/>
      <c r="CYM819" s="135"/>
      <c r="CYN819" s="132"/>
      <c r="CYO819" s="132"/>
      <c r="CYP819" s="132"/>
      <c r="CYQ819" s="133"/>
      <c r="CYR819" s="134"/>
      <c r="CYS819" s="134"/>
      <c r="CYT819" s="134"/>
      <c r="CYU819" s="135"/>
      <c r="CYV819" s="133"/>
      <c r="CYW819" s="134"/>
      <c r="CYX819" s="134"/>
      <c r="CYY819" s="134"/>
      <c r="CYZ819" s="135"/>
      <c r="CZA819" s="132"/>
      <c r="CZB819" s="132"/>
      <c r="CZC819" s="132"/>
      <c r="CZD819" s="133"/>
      <c r="CZE819" s="134"/>
      <c r="CZF819" s="134"/>
      <c r="CZG819" s="134"/>
      <c r="CZH819" s="135"/>
      <c r="CZI819" s="133"/>
      <c r="CZJ819" s="134"/>
      <c r="CZK819" s="134"/>
      <c r="CZL819" s="134"/>
      <c r="CZM819" s="135"/>
      <c r="CZN819" s="132"/>
      <c r="CZO819" s="132"/>
      <c r="CZP819" s="132"/>
      <c r="CZQ819" s="133"/>
      <c r="CZR819" s="134"/>
      <c r="CZS819" s="134"/>
      <c r="CZT819" s="134"/>
      <c r="CZU819" s="135"/>
      <c r="CZV819" s="133"/>
      <c r="CZW819" s="134"/>
      <c r="CZX819" s="134"/>
      <c r="CZY819" s="134"/>
      <c r="CZZ819" s="135"/>
      <c r="DAA819" s="132"/>
      <c r="DAB819" s="132"/>
      <c r="DAC819" s="132"/>
      <c r="DAD819" s="133"/>
      <c r="DAE819" s="134"/>
      <c r="DAF819" s="134"/>
      <c r="DAG819" s="134"/>
      <c r="DAH819" s="135"/>
      <c r="DAI819" s="133"/>
      <c r="DAJ819" s="134"/>
      <c r="DAK819" s="134"/>
      <c r="DAL819" s="134"/>
      <c r="DAM819" s="135"/>
      <c r="DAN819" s="132"/>
      <c r="DAO819" s="132"/>
      <c r="DAP819" s="132"/>
      <c r="DAQ819" s="133"/>
      <c r="DAR819" s="134"/>
      <c r="DAS819" s="134"/>
      <c r="DAT819" s="134"/>
      <c r="DAU819" s="135"/>
      <c r="DAV819" s="133"/>
      <c r="DAW819" s="134"/>
      <c r="DAX819" s="134"/>
      <c r="DAY819" s="134"/>
      <c r="DAZ819" s="135"/>
      <c r="DBA819" s="132"/>
      <c r="DBB819" s="132"/>
      <c r="DBC819" s="132"/>
      <c r="DBD819" s="133"/>
      <c r="DBE819" s="134"/>
      <c r="DBF819" s="134"/>
      <c r="DBG819" s="134"/>
      <c r="DBH819" s="135"/>
      <c r="DBI819" s="133"/>
      <c r="DBJ819" s="134"/>
      <c r="DBK819" s="134"/>
      <c r="DBL819" s="134"/>
      <c r="DBM819" s="135"/>
      <c r="DBN819" s="132"/>
      <c r="DBO819" s="132"/>
      <c r="DBP819" s="132"/>
      <c r="DBQ819" s="133"/>
      <c r="DBR819" s="134"/>
      <c r="DBS819" s="134"/>
      <c r="DBT819" s="134"/>
      <c r="DBU819" s="135"/>
      <c r="DBV819" s="133"/>
      <c r="DBW819" s="134"/>
      <c r="DBX819" s="134"/>
      <c r="DBY819" s="134"/>
      <c r="DBZ819" s="135"/>
      <c r="DCA819" s="132"/>
      <c r="DCB819" s="132"/>
      <c r="DCC819" s="132"/>
      <c r="DCD819" s="133"/>
      <c r="DCE819" s="134"/>
      <c r="DCF819" s="134"/>
      <c r="DCG819" s="134"/>
      <c r="DCH819" s="135"/>
      <c r="DCI819" s="133"/>
      <c r="DCJ819" s="134"/>
      <c r="DCK819" s="134"/>
      <c r="DCL819" s="134"/>
      <c r="DCM819" s="135"/>
      <c r="DCN819" s="132"/>
      <c r="DCO819" s="132"/>
      <c r="DCP819" s="132"/>
      <c r="DCQ819" s="133"/>
      <c r="DCR819" s="134"/>
      <c r="DCS819" s="134"/>
      <c r="DCT819" s="134"/>
      <c r="DCU819" s="135"/>
      <c r="DCV819" s="133"/>
      <c r="DCW819" s="134"/>
      <c r="DCX819" s="134"/>
      <c r="DCY819" s="134"/>
      <c r="DCZ819" s="135"/>
      <c r="DDA819" s="132"/>
      <c r="DDB819" s="132"/>
      <c r="DDC819" s="132"/>
      <c r="DDD819" s="133"/>
      <c r="DDE819" s="134"/>
      <c r="DDF819" s="134"/>
      <c r="DDG819" s="134"/>
      <c r="DDH819" s="135"/>
      <c r="DDI819" s="133"/>
      <c r="DDJ819" s="134"/>
      <c r="DDK819" s="134"/>
      <c r="DDL819" s="134"/>
      <c r="DDM819" s="135"/>
      <c r="DDN819" s="132"/>
      <c r="DDO819" s="132"/>
      <c r="DDP819" s="132"/>
      <c r="DDQ819" s="133"/>
      <c r="DDR819" s="134"/>
      <c r="DDS819" s="134"/>
      <c r="DDT819" s="134"/>
      <c r="DDU819" s="135"/>
      <c r="DDV819" s="133"/>
      <c r="DDW819" s="134"/>
      <c r="DDX819" s="134"/>
      <c r="DDY819" s="134"/>
      <c r="DDZ819" s="135"/>
      <c r="DEA819" s="132"/>
      <c r="DEB819" s="132"/>
      <c r="DEC819" s="132"/>
      <c r="DED819" s="133"/>
      <c r="DEE819" s="134"/>
      <c r="DEF819" s="134"/>
      <c r="DEG819" s="134"/>
      <c r="DEH819" s="135"/>
      <c r="DEI819" s="133"/>
      <c r="DEJ819" s="134"/>
      <c r="DEK819" s="134"/>
      <c r="DEL819" s="134"/>
      <c r="DEM819" s="135"/>
      <c r="DEN819" s="132"/>
      <c r="DEO819" s="132"/>
      <c r="DEP819" s="132"/>
      <c r="DEQ819" s="133"/>
      <c r="DER819" s="134"/>
      <c r="DES819" s="134"/>
      <c r="DET819" s="134"/>
      <c r="DEU819" s="135"/>
      <c r="DEV819" s="133"/>
      <c r="DEW819" s="134"/>
      <c r="DEX819" s="134"/>
      <c r="DEY819" s="134"/>
      <c r="DEZ819" s="135"/>
      <c r="DFA819" s="132"/>
      <c r="DFB819" s="132"/>
      <c r="DFC819" s="132"/>
      <c r="DFD819" s="133"/>
      <c r="DFE819" s="134"/>
      <c r="DFF819" s="134"/>
      <c r="DFG819" s="134"/>
      <c r="DFH819" s="135"/>
      <c r="DFI819" s="133"/>
      <c r="DFJ819" s="134"/>
      <c r="DFK819" s="134"/>
      <c r="DFL819" s="134"/>
      <c r="DFM819" s="135"/>
      <c r="DFN819" s="132"/>
      <c r="DFO819" s="132"/>
      <c r="DFP819" s="132"/>
      <c r="DFQ819" s="133"/>
      <c r="DFR819" s="134"/>
      <c r="DFS819" s="134"/>
      <c r="DFT819" s="134"/>
      <c r="DFU819" s="135"/>
      <c r="DFV819" s="133"/>
      <c r="DFW819" s="134"/>
      <c r="DFX819" s="134"/>
      <c r="DFY819" s="134"/>
      <c r="DFZ819" s="135"/>
      <c r="DGA819" s="132"/>
      <c r="DGB819" s="132"/>
      <c r="DGC819" s="132"/>
      <c r="DGD819" s="133"/>
      <c r="DGE819" s="134"/>
      <c r="DGF819" s="134"/>
      <c r="DGG819" s="134"/>
      <c r="DGH819" s="135"/>
      <c r="DGI819" s="133"/>
      <c r="DGJ819" s="134"/>
      <c r="DGK819" s="134"/>
      <c r="DGL819" s="134"/>
      <c r="DGM819" s="135"/>
      <c r="DGN819" s="132"/>
      <c r="DGO819" s="132"/>
      <c r="DGP819" s="132"/>
      <c r="DGQ819" s="133"/>
      <c r="DGR819" s="134"/>
      <c r="DGS819" s="134"/>
      <c r="DGT819" s="134"/>
      <c r="DGU819" s="135"/>
      <c r="DGV819" s="133"/>
      <c r="DGW819" s="134"/>
      <c r="DGX819" s="134"/>
      <c r="DGY819" s="134"/>
      <c r="DGZ819" s="135"/>
      <c r="DHA819" s="132"/>
      <c r="DHB819" s="132"/>
      <c r="DHC819" s="132"/>
      <c r="DHD819" s="133"/>
      <c r="DHE819" s="134"/>
      <c r="DHF819" s="134"/>
      <c r="DHG819" s="134"/>
      <c r="DHH819" s="135"/>
      <c r="DHI819" s="133"/>
      <c r="DHJ819" s="134"/>
      <c r="DHK819" s="134"/>
      <c r="DHL819" s="134"/>
      <c r="DHM819" s="135"/>
      <c r="DHN819" s="132"/>
      <c r="DHO819" s="132"/>
      <c r="DHP819" s="132"/>
      <c r="DHQ819" s="133"/>
      <c r="DHR819" s="134"/>
      <c r="DHS819" s="134"/>
      <c r="DHT819" s="134"/>
      <c r="DHU819" s="135"/>
      <c r="DHV819" s="133"/>
      <c r="DHW819" s="134"/>
      <c r="DHX819" s="134"/>
      <c r="DHY819" s="134"/>
      <c r="DHZ819" s="135"/>
      <c r="DIA819" s="132"/>
      <c r="DIB819" s="132"/>
      <c r="DIC819" s="132"/>
      <c r="DID819" s="133"/>
      <c r="DIE819" s="134"/>
      <c r="DIF819" s="134"/>
      <c r="DIG819" s="134"/>
      <c r="DIH819" s="135"/>
      <c r="DII819" s="133"/>
      <c r="DIJ819" s="134"/>
      <c r="DIK819" s="134"/>
      <c r="DIL819" s="134"/>
      <c r="DIM819" s="135"/>
      <c r="DIN819" s="132"/>
      <c r="DIO819" s="132"/>
      <c r="DIP819" s="132"/>
      <c r="DIQ819" s="133"/>
      <c r="DIR819" s="134"/>
      <c r="DIS819" s="134"/>
      <c r="DIT819" s="134"/>
      <c r="DIU819" s="135"/>
      <c r="DIV819" s="133"/>
      <c r="DIW819" s="134"/>
      <c r="DIX819" s="134"/>
      <c r="DIY819" s="134"/>
      <c r="DIZ819" s="135"/>
      <c r="DJA819" s="132"/>
      <c r="DJB819" s="132"/>
      <c r="DJC819" s="132"/>
      <c r="DJD819" s="133"/>
      <c r="DJE819" s="134"/>
      <c r="DJF819" s="134"/>
      <c r="DJG819" s="134"/>
      <c r="DJH819" s="135"/>
      <c r="DJI819" s="133"/>
      <c r="DJJ819" s="134"/>
      <c r="DJK819" s="134"/>
      <c r="DJL819" s="134"/>
      <c r="DJM819" s="135"/>
      <c r="DJN819" s="132"/>
      <c r="DJO819" s="132"/>
      <c r="DJP819" s="132"/>
      <c r="DJQ819" s="133"/>
      <c r="DJR819" s="134"/>
      <c r="DJS819" s="134"/>
      <c r="DJT819" s="134"/>
      <c r="DJU819" s="135"/>
      <c r="DJV819" s="133"/>
      <c r="DJW819" s="134"/>
      <c r="DJX819" s="134"/>
      <c r="DJY819" s="134"/>
      <c r="DJZ819" s="135"/>
      <c r="DKA819" s="132"/>
      <c r="DKB819" s="132"/>
      <c r="DKC819" s="132"/>
      <c r="DKD819" s="133"/>
      <c r="DKE819" s="134"/>
      <c r="DKF819" s="134"/>
      <c r="DKG819" s="134"/>
      <c r="DKH819" s="135"/>
      <c r="DKI819" s="133"/>
      <c r="DKJ819" s="134"/>
      <c r="DKK819" s="134"/>
      <c r="DKL819" s="134"/>
      <c r="DKM819" s="135"/>
      <c r="DKN819" s="132"/>
      <c r="DKO819" s="132"/>
      <c r="DKP819" s="132"/>
      <c r="DKQ819" s="133"/>
      <c r="DKR819" s="134"/>
      <c r="DKS819" s="134"/>
      <c r="DKT819" s="134"/>
      <c r="DKU819" s="135"/>
      <c r="DKV819" s="133"/>
      <c r="DKW819" s="134"/>
      <c r="DKX819" s="134"/>
      <c r="DKY819" s="134"/>
      <c r="DKZ819" s="135"/>
      <c r="DLA819" s="132"/>
      <c r="DLB819" s="132"/>
      <c r="DLC819" s="132"/>
      <c r="DLD819" s="133"/>
      <c r="DLE819" s="134"/>
      <c r="DLF819" s="134"/>
      <c r="DLG819" s="134"/>
      <c r="DLH819" s="135"/>
      <c r="DLI819" s="133"/>
      <c r="DLJ819" s="134"/>
      <c r="DLK819" s="134"/>
      <c r="DLL819" s="134"/>
      <c r="DLM819" s="135"/>
      <c r="DLN819" s="132"/>
      <c r="DLO819" s="132"/>
      <c r="DLP819" s="132"/>
      <c r="DLQ819" s="133"/>
      <c r="DLR819" s="134"/>
      <c r="DLS819" s="134"/>
      <c r="DLT819" s="134"/>
      <c r="DLU819" s="135"/>
      <c r="DLV819" s="133"/>
      <c r="DLW819" s="134"/>
      <c r="DLX819" s="134"/>
      <c r="DLY819" s="134"/>
      <c r="DLZ819" s="135"/>
      <c r="DMA819" s="132"/>
      <c r="DMB819" s="132"/>
      <c r="DMC819" s="132"/>
      <c r="DMD819" s="133"/>
      <c r="DME819" s="134"/>
      <c r="DMF819" s="134"/>
      <c r="DMG819" s="134"/>
      <c r="DMH819" s="135"/>
      <c r="DMI819" s="133"/>
      <c r="DMJ819" s="134"/>
      <c r="DMK819" s="134"/>
      <c r="DML819" s="134"/>
      <c r="DMM819" s="135"/>
      <c r="DMN819" s="132"/>
      <c r="DMO819" s="132"/>
      <c r="DMP819" s="132"/>
      <c r="DMQ819" s="133"/>
      <c r="DMR819" s="134"/>
      <c r="DMS819" s="134"/>
      <c r="DMT819" s="134"/>
      <c r="DMU819" s="135"/>
      <c r="DMV819" s="133"/>
      <c r="DMW819" s="134"/>
      <c r="DMX819" s="134"/>
      <c r="DMY819" s="134"/>
      <c r="DMZ819" s="135"/>
      <c r="DNA819" s="132"/>
      <c r="DNB819" s="132"/>
      <c r="DNC819" s="132"/>
      <c r="DND819" s="133"/>
      <c r="DNE819" s="134"/>
      <c r="DNF819" s="134"/>
      <c r="DNG819" s="134"/>
      <c r="DNH819" s="135"/>
      <c r="DNI819" s="133"/>
      <c r="DNJ819" s="134"/>
      <c r="DNK819" s="134"/>
      <c r="DNL819" s="134"/>
      <c r="DNM819" s="135"/>
      <c r="DNN819" s="132"/>
      <c r="DNO819" s="132"/>
      <c r="DNP819" s="132"/>
      <c r="DNQ819" s="133"/>
      <c r="DNR819" s="134"/>
      <c r="DNS819" s="134"/>
      <c r="DNT819" s="134"/>
      <c r="DNU819" s="135"/>
      <c r="DNV819" s="133"/>
      <c r="DNW819" s="134"/>
      <c r="DNX819" s="134"/>
      <c r="DNY819" s="134"/>
      <c r="DNZ819" s="135"/>
      <c r="DOA819" s="132"/>
      <c r="DOB819" s="132"/>
      <c r="DOC819" s="132"/>
      <c r="DOD819" s="133"/>
      <c r="DOE819" s="134"/>
      <c r="DOF819" s="134"/>
      <c r="DOG819" s="134"/>
      <c r="DOH819" s="135"/>
      <c r="DOI819" s="133"/>
      <c r="DOJ819" s="134"/>
      <c r="DOK819" s="134"/>
      <c r="DOL819" s="134"/>
      <c r="DOM819" s="135"/>
      <c r="DON819" s="132"/>
      <c r="DOO819" s="132"/>
      <c r="DOP819" s="132"/>
      <c r="DOQ819" s="133"/>
      <c r="DOR819" s="134"/>
      <c r="DOS819" s="134"/>
      <c r="DOT819" s="134"/>
      <c r="DOU819" s="135"/>
      <c r="DOV819" s="133"/>
      <c r="DOW819" s="134"/>
      <c r="DOX819" s="134"/>
      <c r="DOY819" s="134"/>
      <c r="DOZ819" s="135"/>
      <c r="DPA819" s="132"/>
      <c r="DPB819" s="132"/>
      <c r="DPC819" s="132"/>
      <c r="DPD819" s="133"/>
      <c r="DPE819" s="134"/>
      <c r="DPF819" s="134"/>
      <c r="DPG819" s="134"/>
      <c r="DPH819" s="135"/>
      <c r="DPI819" s="133"/>
      <c r="DPJ819" s="134"/>
      <c r="DPK819" s="134"/>
      <c r="DPL819" s="134"/>
      <c r="DPM819" s="135"/>
      <c r="DPN819" s="132"/>
      <c r="DPO819" s="132"/>
      <c r="DPP819" s="132"/>
      <c r="DPQ819" s="133"/>
      <c r="DPR819" s="134"/>
      <c r="DPS819" s="134"/>
      <c r="DPT819" s="134"/>
      <c r="DPU819" s="135"/>
      <c r="DPV819" s="133"/>
      <c r="DPW819" s="134"/>
      <c r="DPX819" s="134"/>
      <c r="DPY819" s="134"/>
      <c r="DPZ819" s="135"/>
      <c r="DQA819" s="132"/>
      <c r="DQB819" s="132"/>
      <c r="DQC819" s="132"/>
      <c r="DQD819" s="133"/>
      <c r="DQE819" s="134"/>
      <c r="DQF819" s="134"/>
      <c r="DQG819" s="134"/>
      <c r="DQH819" s="135"/>
      <c r="DQI819" s="133"/>
      <c r="DQJ819" s="134"/>
      <c r="DQK819" s="134"/>
      <c r="DQL819" s="134"/>
      <c r="DQM819" s="135"/>
      <c r="DQN819" s="132"/>
      <c r="DQO819" s="132"/>
      <c r="DQP819" s="132"/>
      <c r="DQQ819" s="133"/>
      <c r="DQR819" s="134"/>
      <c r="DQS819" s="134"/>
      <c r="DQT819" s="134"/>
      <c r="DQU819" s="135"/>
      <c r="DQV819" s="133"/>
      <c r="DQW819" s="134"/>
      <c r="DQX819" s="134"/>
      <c r="DQY819" s="134"/>
      <c r="DQZ819" s="135"/>
      <c r="DRA819" s="132"/>
      <c r="DRB819" s="132"/>
      <c r="DRC819" s="132"/>
      <c r="DRD819" s="133"/>
      <c r="DRE819" s="134"/>
      <c r="DRF819" s="134"/>
      <c r="DRG819" s="134"/>
      <c r="DRH819" s="135"/>
      <c r="DRI819" s="133"/>
      <c r="DRJ819" s="134"/>
      <c r="DRK819" s="134"/>
      <c r="DRL819" s="134"/>
      <c r="DRM819" s="135"/>
      <c r="DRN819" s="132"/>
      <c r="DRO819" s="132"/>
      <c r="DRP819" s="132"/>
      <c r="DRQ819" s="133"/>
      <c r="DRR819" s="134"/>
      <c r="DRS819" s="134"/>
      <c r="DRT819" s="134"/>
      <c r="DRU819" s="135"/>
      <c r="DRV819" s="133"/>
      <c r="DRW819" s="134"/>
      <c r="DRX819" s="134"/>
      <c r="DRY819" s="134"/>
      <c r="DRZ819" s="135"/>
      <c r="DSA819" s="132"/>
      <c r="DSB819" s="132"/>
      <c r="DSC819" s="132"/>
      <c r="DSD819" s="133"/>
      <c r="DSE819" s="134"/>
      <c r="DSF819" s="134"/>
      <c r="DSG819" s="134"/>
      <c r="DSH819" s="135"/>
      <c r="DSI819" s="133"/>
      <c r="DSJ819" s="134"/>
      <c r="DSK819" s="134"/>
      <c r="DSL819" s="134"/>
      <c r="DSM819" s="135"/>
      <c r="DSN819" s="132"/>
      <c r="DSO819" s="132"/>
      <c r="DSP819" s="132"/>
      <c r="DSQ819" s="133"/>
      <c r="DSR819" s="134"/>
      <c r="DSS819" s="134"/>
      <c r="DST819" s="134"/>
      <c r="DSU819" s="135"/>
      <c r="DSV819" s="133"/>
      <c r="DSW819" s="134"/>
      <c r="DSX819" s="134"/>
      <c r="DSY819" s="134"/>
      <c r="DSZ819" s="135"/>
      <c r="DTA819" s="132"/>
      <c r="DTB819" s="132"/>
      <c r="DTC819" s="132"/>
      <c r="DTD819" s="133"/>
      <c r="DTE819" s="134"/>
      <c r="DTF819" s="134"/>
      <c r="DTG819" s="134"/>
      <c r="DTH819" s="135"/>
      <c r="DTI819" s="133"/>
      <c r="DTJ819" s="134"/>
      <c r="DTK819" s="134"/>
      <c r="DTL819" s="134"/>
      <c r="DTM819" s="135"/>
      <c r="DTN819" s="132"/>
      <c r="DTO819" s="132"/>
      <c r="DTP819" s="132"/>
      <c r="DTQ819" s="133"/>
      <c r="DTR819" s="134"/>
      <c r="DTS819" s="134"/>
      <c r="DTT819" s="134"/>
      <c r="DTU819" s="135"/>
      <c r="DTV819" s="133"/>
      <c r="DTW819" s="134"/>
      <c r="DTX819" s="134"/>
      <c r="DTY819" s="134"/>
      <c r="DTZ819" s="135"/>
      <c r="DUA819" s="132"/>
      <c r="DUB819" s="132"/>
      <c r="DUC819" s="132"/>
      <c r="DUD819" s="133"/>
      <c r="DUE819" s="134"/>
      <c r="DUF819" s="134"/>
      <c r="DUG819" s="134"/>
      <c r="DUH819" s="135"/>
      <c r="DUI819" s="133"/>
      <c r="DUJ819" s="134"/>
      <c r="DUK819" s="134"/>
      <c r="DUL819" s="134"/>
      <c r="DUM819" s="135"/>
      <c r="DUN819" s="132"/>
      <c r="DUO819" s="132"/>
      <c r="DUP819" s="132"/>
      <c r="DUQ819" s="133"/>
      <c r="DUR819" s="134"/>
      <c r="DUS819" s="134"/>
      <c r="DUT819" s="134"/>
      <c r="DUU819" s="135"/>
      <c r="DUV819" s="133"/>
      <c r="DUW819" s="134"/>
      <c r="DUX819" s="134"/>
      <c r="DUY819" s="134"/>
      <c r="DUZ819" s="135"/>
      <c r="DVA819" s="132"/>
      <c r="DVB819" s="132"/>
      <c r="DVC819" s="132"/>
      <c r="DVD819" s="133"/>
      <c r="DVE819" s="134"/>
      <c r="DVF819" s="134"/>
      <c r="DVG819" s="134"/>
      <c r="DVH819" s="135"/>
      <c r="DVI819" s="133"/>
      <c r="DVJ819" s="134"/>
      <c r="DVK819" s="134"/>
      <c r="DVL819" s="134"/>
      <c r="DVM819" s="135"/>
      <c r="DVN819" s="132"/>
      <c r="DVO819" s="132"/>
      <c r="DVP819" s="132"/>
      <c r="DVQ819" s="133"/>
      <c r="DVR819" s="134"/>
      <c r="DVS819" s="134"/>
      <c r="DVT819" s="134"/>
      <c r="DVU819" s="135"/>
      <c r="DVV819" s="133"/>
      <c r="DVW819" s="134"/>
      <c r="DVX819" s="134"/>
      <c r="DVY819" s="134"/>
      <c r="DVZ819" s="135"/>
      <c r="DWA819" s="132"/>
      <c r="DWB819" s="132"/>
      <c r="DWC819" s="132"/>
      <c r="DWD819" s="133"/>
      <c r="DWE819" s="134"/>
      <c r="DWF819" s="134"/>
      <c r="DWG819" s="134"/>
      <c r="DWH819" s="135"/>
      <c r="DWI819" s="133"/>
      <c r="DWJ819" s="134"/>
      <c r="DWK819" s="134"/>
      <c r="DWL819" s="134"/>
      <c r="DWM819" s="135"/>
      <c r="DWN819" s="132"/>
      <c r="DWO819" s="132"/>
      <c r="DWP819" s="132"/>
      <c r="DWQ819" s="133"/>
      <c r="DWR819" s="134"/>
      <c r="DWS819" s="134"/>
      <c r="DWT819" s="134"/>
      <c r="DWU819" s="135"/>
      <c r="DWV819" s="133"/>
      <c r="DWW819" s="134"/>
      <c r="DWX819" s="134"/>
      <c r="DWY819" s="134"/>
      <c r="DWZ819" s="135"/>
      <c r="DXA819" s="132"/>
      <c r="DXB819" s="132"/>
      <c r="DXC819" s="132"/>
      <c r="DXD819" s="133"/>
      <c r="DXE819" s="134"/>
      <c r="DXF819" s="134"/>
      <c r="DXG819" s="134"/>
      <c r="DXH819" s="135"/>
      <c r="DXI819" s="133"/>
      <c r="DXJ819" s="134"/>
      <c r="DXK819" s="134"/>
      <c r="DXL819" s="134"/>
      <c r="DXM819" s="135"/>
      <c r="DXN819" s="132"/>
      <c r="DXO819" s="132"/>
      <c r="DXP819" s="132"/>
      <c r="DXQ819" s="133"/>
      <c r="DXR819" s="134"/>
      <c r="DXS819" s="134"/>
      <c r="DXT819" s="134"/>
      <c r="DXU819" s="135"/>
      <c r="DXV819" s="133"/>
      <c r="DXW819" s="134"/>
      <c r="DXX819" s="134"/>
      <c r="DXY819" s="134"/>
      <c r="DXZ819" s="135"/>
      <c r="DYA819" s="132"/>
      <c r="DYB819" s="132"/>
      <c r="DYC819" s="132"/>
      <c r="DYD819" s="133"/>
      <c r="DYE819" s="134"/>
      <c r="DYF819" s="134"/>
      <c r="DYG819" s="134"/>
      <c r="DYH819" s="135"/>
      <c r="DYI819" s="133"/>
      <c r="DYJ819" s="134"/>
      <c r="DYK819" s="134"/>
      <c r="DYL819" s="134"/>
      <c r="DYM819" s="135"/>
      <c r="DYN819" s="132"/>
      <c r="DYO819" s="132"/>
      <c r="DYP819" s="132"/>
      <c r="DYQ819" s="133"/>
      <c r="DYR819" s="134"/>
      <c r="DYS819" s="134"/>
      <c r="DYT819" s="134"/>
      <c r="DYU819" s="135"/>
      <c r="DYV819" s="133"/>
      <c r="DYW819" s="134"/>
      <c r="DYX819" s="134"/>
      <c r="DYY819" s="134"/>
      <c r="DYZ819" s="135"/>
      <c r="DZA819" s="132"/>
      <c r="DZB819" s="132"/>
      <c r="DZC819" s="132"/>
      <c r="DZD819" s="133"/>
      <c r="DZE819" s="134"/>
      <c r="DZF819" s="134"/>
      <c r="DZG819" s="134"/>
      <c r="DZH819" s="135"/>
      <c r="DZI819" s="133"/>
      <c r="DZJ819" s="134"/>
      <c r="DZK819" s="134"/>
      <c r="DZL819" s="134"/>
      <c r="DZM819" s="135"/>
      <c r="DZN819" s="132"/>
      <c r="DZO819" s="132"/>
      <c r="DZP819" s="132"/>
      <c r="DZQ819" s="133"/>
      <c r="DZR819" s="134"/>
      <c r="DZS819" s="134"/>
      <c r="DZT819" s="134"/>
      <c r="DZU819" s="135"/>
      <c r="DZV819" s="133"/>
      <c r="DZW819" s="134"/>
      <c r="DZX819" s="134"/>
      <c r="DZY819" s="134"/>
      <c r="DZZ819" s="135"/>
      <c r="EAA819" s="132"/>
      <c r="EAB819" s="132"/>
      <c r="EAC819" s="132"/>
      <c r="EAD819" s="133"/>
      <c r="EAE819" s="134"/>
      <c r="EAF819" s="134"/>
      <c r="EAG819" s="134"/>
      <c r="EAH819" s="135"/>
      <c r="EAI819" s="133"/>
      <c r="EAJ819" s="134"/>
      <c r="EAK819" s="134"/>
      <c r="EAL819" s="134"/>
      <c r="EAM819" s="135"/>
      <c r="EAN819" s="132"/>
      <c r="EAO819" s="132"/>
      <c r="EAP819" s="132"/>
      <c r="EAQ819" s="133"/>
      <c r="EAR819" s="134"/>
      <c r="EAS819" s="134"/>
      <c r="EAT819" s="134"/>
      <c r="EAU819" s="135"/>
      <c r="EAV819" s="133"/>
      <c r="EAW819" s="134"/>
      <c r="EAX819" s="134"/>
      <c r="EAY819" s="134"/>
      <c r="EAZ819" s="135"/>
      <c r="EBA819" s="132"/>
      <c r="EBB819" s="132"/>
      <c r="EBC819" s="132"/>
      <c r="EBD819" s="133"/>
      <c r="EBE819" s="134"/>
      <c r="EBF819" s="134"/>
      <c r="EBG819" s="134"/>
      <c r="EBH819" s="135"/>
      <c r="EBI819" s="133"/>
      <c r="EBJ819" s="134"/>
      <c r="EBK819" s="134"/>
      <c r="EBL819" s="134"/>
      <c r="EBM819" s="135"/>
      <c r="EBN819" s="132"/>
      <c r="EBO819" s="132"/>
      <c r="EBP819" s="132"/>
      <c r="EBQ819" s="133"/>
      <c r="EBR819" s="134"/>
      <c r="EBS819" s="134"/>
      <c r="EBT819" s="134"/>
      <c r="EBU819" s="135"/>
      <c r="EBV819" s="133"/>
      <c r="EBW819" s="134"/>
      <c r="EBX819" s="134"/>
      <c r="EBY819" s="134"/>
      <c r="EBZ819" s="135"/>
      <c r="ECA819" s="132"/>
      <c r="ECB819" s="132"/>
      <c r="ECC819" s="132"/>
      <c r="ECD819" s="133"/>
      <c r="ECE819" s="134"/>
      <c r="ECF819" s="134"/>
      <c r="ECG819" s="134"/>
      <c r="ECH819" s="135"/>
      <c r="ECI819" s="133"/>
      <c r="ECJ819" s="134"/>
      <c r="ECK819" s="134"/>
      <c r="ECL819" s="134"/>
      <c r="ECM819" s="135"/>
      <c r="ECN819" s="132"/>
      <c r="ECO819" s="132"/>
      <c r="ECP819" s="132"/>
      <c r="ECQ819" s="133"/>
      <c r="ECR819" s="134"/>
      <c r="ECS819" s="134"/>
      <c r="ECT819" s="134"/>
      <c r="ECU819" s="135"/>
      <c r="ECV819" s="133"/>
      <c r="ECW819" s="134"/>
      <c r="ECX819" s="134"/>
      <c r="ECY819" s="134"/>
      <c r="ECZ819" s="135"/>
      <c r="EDA819" s="132"/>
      <c r="EDB819" s="132"/>
      <c r="EDC819" s="132"/>
      <c r="EDD819" s="133"/>
      <c r="EDE819" s="134"/>
      <c r="EDF819" s="134"/>
      <c r="EDG819" s="134"/>
      <c r="EDH819" s="135"/>
      <c r="EDI819" s="133"/>
      <c r="EDJ819" s="134"/>
      <c r="EDK819" s="134"/>
      <c r="EDL819" s="134"/>
      <c r="EDM819" s="135"/>
      <c r="EDN819" s="132"/>
      <c r="EDO819" s="132"/>
      <c r="EDP819" s="132"/>
      <c r="EDQ819" s="133"/>
      <c r="EDR819" s="134"/>
      <c r="EDS819" s="134"/>
      <c r="EDT819" s="134"/>
      <c r="EDU819" s="135"/>
      <c r="EDV819" s="133"/>
      <c r="EDW819" s="134"/>
      <c r="EDX819" s="134"/>
      <c r="EDY819" s="134"/>
      <c r="EDZ819" s="135"/>
      <c r="EEA819" s="132"/>
      <c r="EEB819" s="132"/>
      <c r="EEC819" s="132"/>
      <c r="EED819" s="133"/>
      <c r="EEE819" s="134"/>
      <c r="EEF819" s="134"/>
      <c r="EEG819" s="134"/>
      <c r="EEH819" s="135"/>
      <c r="EEI819" s="133"/>
      <c r="EEJ819" s="134"/>
      <c r="EEK819" s="134"/>
      <c r="EEL819" s="134"/>
      <c r="EEM819" s="135"/>
      <c r="EEN819" s="132"/>
      <c r="EEO819" s="132"/>
      <c r="EEP819" s="132"/>
      <c r="EEQ819" s="133"/>
      <c r="EER819" s="134"/>
      <c r="EES819" s="134"/>
      <c r="EET819" s="134"/>
      <c r="EEU819" s="135"/>
      <c r="EEV819" s="133"/>
      <c r="EEW819" s="134"/>
      <c r="EEX819" s="134"/>
      <c r="EEY819" s="134"/>
      <c r="EEZ819" s="135"/>
      <c r="EFA819" s="132"/>
      <c r="EFB819" s="132"/>
      <c r="EFC819" s="132"/>
      <c r="EFD819" s="133"/>
      <c r="EFE819" s="134"/>
      <c r="EFF819" s="134"/>
      <c r="EFG819" s="134"/>
      <c r="EFH819" s="135"/>
      <c r="EFI819" s="133"/>
      <c r="EFJ819" s="134"/>
      <c r="EFK819" s="134"/>
      <c r="EFL819" s="134"/>
      <c r="EFM819" s="135"/>
      <c r="EFN819" s="132"/>
      <c r="EFO819" s="132"/>
      <c r="EFP819" s="132"/>
      <c r="EFQ819" s="133"/>
      <c r="EFR819" s="134"/>
      <c r="EFS819" s="134"/>
      <c r="EFT819" s="134"/>
      <c r="EFU819" s="135"/>
      <c r="EFV819" s="133"/>
      <c r="EFW819" s="134"/>
      <c r="EFX819" s="134"/>
      <c r="EFY819" s="134"/>
      <c r="EFZ819" s="135"/>
      <c r="EGA819" s="132"/>
      <c r="EGB819" s="132"/>
      <c r="EGC819" s="132"/>
      <c r="EGD819" s="133"/>
      <c r="EGE819" s="134"/>
      <c r="EGF819" s="134"/>
      <c r="EGG819" s="134"/>
      <c r="EGH819" s="135"/>
      <c r="EGI819" s="133"/>
      <c r="EGJ819" s="134"/>
      <c r="EGK819" s="134"/>
      <c r="EGL819" s="134"/>
      <c r="EGM819" s="135"/>
      <c r="EGN819" s="132"/>
      <c r="EGO819" s="132"/>
      <c r="EGP819" s="132"/>
      <c r="EGQ819" s="133"/>
      <c r="EGR819" s="134"/>
      <c r="EGS819" s="134"/>
      <c r="EGT819" s="134"/>
      <c r="EGU819" s="135"/>
      <c r="EGV819" s="133"/>
      <c r="EGW819" s="134"/>
      <c r="EGX819" s="134"/>
      <c r="EGY819" s="134"/>
      <c r="EGZ819" s="135"/>
      <c r="EHA819" s="132"/>
      <c r="EHB819" s="132"/>
      <c r="EHC819" s="132"/>
      <c r="EHD819" s="133"/>
      <c r="EHE819" s="134"/>
      <c r="EHF819" s="134"/>
      <c r="EHG819" s="134"/>
      <c r="EHH819" s="135"/>
      <c r="EHI819" s="133"/>
      <c r="EHJ819" s="134"/>
      <c r="EHK819" s="134"/>
      <c r="EHL819" s="134"/>
      <c r="EHM819" s="135"/>
      <c r="EHN819" s="132"/>
      <c r="EHO819" s="132"/>
      <c r="EHP819" s="132"/>
      <c r="EHQ819" s="133"/>
      <c r="EHR819" s="134"/>
      <c r="EHS819" s="134"/>
      <c r="EHT819" s="134"/>
      <c r="EHU819" s="135"/>
      <c r="EHV819" s="133"/>
      <c r="EHW819" s="134"/>
      <c r="EHX819" s="134"/>
      <c r="EHY819" s="134"/>
      <c r="EHZ819" s="135"/>
      <c r="EIA819" s="132"/>
      <c r="EIB819" s="132"/>
      <c r="EIC819" s="132"/>
      <c r="EID819" s="133"/>
      <c r="EIE819" s="134"/>
      <c r="EIF819" s="134"/>
      <c r="EIG819" s="134"/>
      <c r="EIH819" s="135"/>
      <c r="EII819" s="133"/>
      <c r="EIJ819" s="134"/>
      <c r="EIK819" s="134"/>
      <c r="EIL819" s="134"/>
      <c r="EIM819" s="135"/>
      <c r="EIN819" s="132"/>
      <c r="EIO819" s="132"/>
      <c r="EIP819" s="132"/>
      <c r="EIQ819" s="133"/>
      <c r="EIR819" s="134"/>
      <c r="EIS819" s="134"/>
      <c r="EIT819" s="134"/>
      <c r="EIU819" s="135"/>
      <c r="EIV819" s="133"/>
      <c r="EIW819" s="134"/>
      <c r="EIX819" s="134"/>
      <c r="EIY819" s="134"/>
      <c r="EIZ819" s="135"/>
      <c r="EJA819" s="132"/>
      <c r="EJB819" s="132"/>
      <c r="EJC819" s="132"/>
      <c r="EJD819" s="133"/>
      <c r="EJE819" s="134"/>
      <c r="EJF819" s="134"/>
      <c r="EJG819" s="134"/>
      <c r="EJH819" s="135"/>
      <c r="EJI819" s="133"/>
      <c r="EJJ819" s="134"/>
      <c r="EJK819" s="134"/>
      <c r="EJL819" s="134"/>
      <c r="EJM819" s="135"/>
      <c r="EJN819" s="132"/>
      <c r="EJO819" s="132"/>
      <c r="EJP819" s="132"/>
      <c r="EJQ819" s="133"/>
      <c r="EJR819" s="134"/>
      <c r="EJS819" s="134"/>
      <c r="EJT819" s="134"/>
      <c r="EJU819" s="135"/>
      <c r="EJV819" s="133"/>
      <c r="EJW819" s="134"/>
      <c r="EJX819" s="134"/>
      <c r="EJY819" s="134"/>
      <c r="EJZ819" s="135"/>
      <c r="EKA819" s="132"/>
      <c r="EKB819" s="132"/>
      <c r="EKC819" s="132"/>
      <c r="EKD819" s="133"/>
      <c r="EKE819" s="134"/>
      <c r="EKF819" s="134"/>
      <c r="EKG819" s="134"/>
      <c r="EKH819" s="135"/>
      <c r="EKI819" s="133"/>
      <c r="EKJ819" s="134"/>
      <c r="EKK819" s="134"/>
      <c r="EKL819" s="134"/>
      <c r="EKM819" s="135"/>
      <c r="EKN819" s="132"/>
      <c r="EKO819" s="132"/>
      <c r="EKP819" s="132"/>
      <c r="EKQ819" s="133"/>
      <c r="EKR819" s="134"/>
      <c r="EKS819" s="134"/>
      <c r="EKT819" s="134"/>
      <c r="EKU819" s="135"/>
      <c r="EKV819" s="133"/>
      <c r="EKW819" s="134"/>
      <c r="EKX819" s="134"/>
      <c r="EKY819" s="134"/>
      <c r="EKZ819" s="135"/>
      <c r="ELA819" s="132"/>
      <c r="ELB819" s="132"/>
      <c r="ELC819" s="132"/>
      <c r="ELD819" s="133"/>
      <c r="ELE819" s="134"/>
      <c r="ELF819" s="134"/>
      <c r="ELG819" s="134"/>
      <c r="ELH819" s="135"/>
      <c r="ELI819" s="133"/>
      <c r="ELJ819" s="134"/>
      <c r="ELK819" s="134"/>
      <c r="ELL819" s="134"/>
      <c r="ELM819" s="135"/>
      <c r="ELN819" s="132"/>
      <c r="ELO819" s="132"/>
      <c r="ELP819" s="132"/>
      <c r="ELQ819" s="133"/>
      <c r="ELR819" s="134"/>
      <c r="ELS819" s="134"/>
      <c r="ELT819" s="134"/>
      <c r="ELU819" s="135"/>
      <c r="ELV819" s="133"/>
      <c r="ELW819" s="134"/>
      <c r="ELX819" s="134"/>
      <c r="ELY819" s="134"/>
      <c r="ELZ819" s="135"/>
      <c r="EMA819" s="132"/>
      <c r="EMB819" s="132"/>
      <c r="EMC819" s="132"/>
      <c r="EMD819" s="133"/>
      <c r="EME819" s="134"/>
      <c r="EMF819" s="134"/>
      <c r="EMG819" s="134"/>
      <c r="EMH819" s="135"/>
      <c r="EMI819" s="133"/>
      <c r="EMJ819" s="134"/>
      <c r="EMK819" s="134"/>
      <c r="EML819" s="134"/>
      <c r="EMM819" s="135"/>
      <c r="EMN819" s="132"/>
      <c r="EMO819" s="132"/>
      <c r="EMP819" s="132"/>
      <c r="EMQ819" s="133"/>
      <c r="EMR819" s="134"/>
      <c r="EMS819" s="134"/>
      <c r="EMT819" s="134"/>
      <c r="EMU819" s="135"/>
      <c r="EMV819" s="133"/>
      <c r="EMW819" s="134"/>
      <c r="EMX819" s="134"/>
      <c r="EMY819" s="134"/>
      <c r="EMZ819" s="135"/>
      <c r="ENA819" s="132"/>
      <c r="ENB819" s="132"/>
      <c r="ENC819" s="132"/>
      <c r="END819" s="133"/>
      <c r="ENE819" s="134"/>
      <c r="ENF819" s="134"/>
      <c r="ENG819" s="134"/>
      <c r="ENH819" s="135"/>
      <c r="ENI819" s="133"/>
      <c r="ENJ819" s="134"/>
      <c r="ENK819" s="134"/>
      <c r="ENL819" s="134"/>
      <c r="ENM819" s="135"/>
      <c r="ENN819" s="132"/>
      <c r="ENO819" s="132"/>
      <c r="ENP819" s="132"/>
      <c r="ENQ819" s="133"/>
      <c r="ENR819" s="134"/>
      <c r="ENS819" s="134"/>
      <c r="ENT819" s="134"/>
      <c r="ENU819" s="135"/>
      <c r="ENV819" s="133"/>
      <c r="ENW819" s="134"/>
      <c r="ENX819" s="134"/>
      <c r="ENY819" s="134"/>
      <c r="ENZ819" s="135"/>
      <c r="EOA819" s="132"/>
      <c r="EOB819" s="132"/>
      <c r="EOC819" s="132"/>
      <c r="EOD819" s="133"/>
      <c r="EOE819" s="134"/>
      <c r="EOF819" s="134"/>
      <c r="EOG819" s="134"/>
      <c r="EOH819" s="135"/>
      <c r="EOI819" s="133"/>
      <c r="EOJ819" s="134"/>
      <c r="EOK819" s="134"/>
      <c r="EOL819" s="134"/>
      <c r="EOM819" s="135"/>
      <c r="EON819" s="132"/>
      <c r="EOO819" s="132"/>
      <c r="EOP819" s="132"/>
      <c r="EOQ819" s="133"/>
      <c r="EOR819" s="134"/>
      <c r="EOS819" s="134"/>
      <c r="EOT819" s="134"/>
      <c r="EOU819" s="135"/>
      <c r="EOV819" s="133"/>
      <c r="EOW819" s="134"/>
      <c r="EOX819" s="134"/>
      <c r="EOY819" s="134"/>
      <c r="EOZ819" s="135"/>
      <c r="EPA819" s="132"/>
      <c r="EPB819" s="132"/>
      <c r="EPC819" s="132"/>
      <c r="EPD819" s="133"/>
      <c r="EPE819" s="134"/>
      <c r="EPF819" s="134"/>
      <c r="EPG819" s="134"/>
      <c r="EPH819" s="135"/>
      <c r="EPI819" s="133"/>
      <c r="EPJ819" s="134"/>
      <c r="EPK819" s="134"/>
      <c r="EPL819" s="134"/>
      <c r="EPM819" s="135"/>
      <c r="EPN819" s="132"/>
      <c r="EPO819" s="132"/>
      <c r="EPP819" s="132"/>
      <c r="EPQ819" s="133"/>
      <c r="EPR819" s="134"/>
      <c r="EPS819" s="134"/>
      <c r="EPT819" s="134"/>
      <c r="EPU819" s="135"/>
      <c r="EPV819" s="133"/>
      <c r="EPW819" s="134"/>
      <c r="EPX819" s="134"/>
      <c r="EPY819" s="134"/>
      <c r="EPZ819" s="135"/>
      <c r="EQA819" s="132"/>
      <c r="EQB819" s="132"/>
      <c r="EQC819" s="132"/>
      <c r="EQD819" s="133"/>
      <c r="EQE819" s="134"/>
      <c r="EQF819" s="134"/>
      <c r="EQG819" s="134"/>
      <c r="EQH819" s="135"/>
      <c r="EQI819" s="133"/>
      <c r="EQJ819" s="134"/>
      <c r="EQK819" s="134"/>
      <c r="EQL819" s="134"/>
      <c r="EQM819" s="135"/>
      <c r="EQN819" s="132"/>
      <c r="EQO819" s="132"/>
      <c r="EQP819" s="132"/>
      <c r="EQQ819" s="133"/>
      <c r="EQR819" s="134"/>
      <c r="EQS819" s="134"/>
      <c r="EQT819" s="134"/>
      <c r="EQU819" s="135"/>
      <c r="EQV819" s="133"/>
      <c r="EQW819" s="134"/>
      <c r="EQX819" s="134"/>
      <c r="EQY819" s="134"/>
      <c r="EQZ819" s="135"/>
      <c r="ERA819" s="132"/>
      <c r="ERB819" s="132"/>
      <c r="ERC819" s="132"/>
      <c r="ERD819" s="133"/>
      <c r="ERE819" s="134"/>
      <c r="ERF819" s="134"/>
      <c r="ERG819" s="134"/>
      <c r="ERH819" s="135"/>
      <c r="ERI819" s="133"/>
      <c r="ERJ819" s="134"/>
      <c r="ERK819" s="134"/>
      <c r="ERL819" s="134"/>
      <c r="ERM819" s="135"/>
      <c r="ERN819" s="132"/>
      <c r="ERO819" s="132"/>
      <c r="ERP819" s="132"/>
      <c r="ERQ819" s="133"/>
      <c r="ERR819" s="134"/>
      <c r="ERS819" s="134"/>
      <c r="ERT819" s="134"/>
      <c r="ERU819" s="135"/>
      <c r="ERV819" s="133"/>
      <c r="ERW819" s="134"/>
      <c r="ERX819" s="134"/>
      <c r="ERY819" s="134"/>
      <c r="ERZ819" s="135"/>
      <c r="ESA819" s="132"/>
      <c r="ESB819" s="132"/>
      <c r="ESC819" s="132"/>
      <c r="ESD819" s="133"/>
      <c r="ESE819" s="134"/>
      <c r="ESF819" s="134"/>
      <c r="ESG819" s="134"/>
      <c r="ESH819" s="135"/>
      <c r="ESI819" s="133"/>
      <c r="ESJ819" s="134"/>
      <c r="ESK819" s="134"/>
      <c r="ESL819" s="134"/>
      <c r="ESM819" s="135"/>
      <c r="ESN819" s="132"/>
      <c r="ESO819" s="132"/>
      <c r="ESP819" s="132"/>
      <c r="ESQ819" s="133"/>
      <c r="ESR819" s="134"/>
      <c r="ESS819" s="134"/>
      <c r="EST819" s="134"/>
      <c r="ESU819" s="135"/>
      <c r="ESV819" s="133"/>
      <c r="ESW819" s="134"/>
      <c r="ESX819" s="134"/>
      <c r="ESY819" s="134"/>
      <c r="ESZ819" s="135"/>
      <c r="ETA819" s="132"/>
      <c r="ETB819" s="132"/>
      <c r="ETC819" s="132"/>
      <c r="ETD819" s="133"/>
      <c r="ETE819" s="134"/>
      <c r="ETF819" s="134"/>
      <c r="ETG819" s="134"/>
      <c r="ETH819" s="135"/>
      <c r="ETI819" s="133"/>
      <c r="ETJ819" s="134"/>
      <c r="ETK819" s="134"/>
      <c r="ETL819" s="134"/>
      <c r="ETM819" s="135"/>
      <c r="ETN819" s="132"/>
      <c r="ETO819" s="132"/>
      <c r="ETP819" s="132"/>
      <c r="ETQ819" s="133"/>
      <c r="ETR819" s="134"/>
      <c r="ETS819" s="134"/>
      <c r="ETT819" s="134"/>
      <c r="ETU819" s="135"/>
      <c r="ETV819" s="133"/>
      <c r="ETW819" s="134"/>
      <c r="ETX819" s="134"/>
      <c r="ETY819" s="134"/>
      <c r="ETZ819" s="135"/>
      <c r="EUA819" s="132"/>
      <c r="EUB819" s="132"/>
      <c r="EUC819" s="132"/>
      <c r="EUD819" s="133"/>
      <c r="EUE819" s="134"/>
      <c r="EUF819" s="134"/>
      <c r="EUG819" s="134"/>
      <c r="EUH819" s="135"/>
      <c r="EUI819" s="133"/>
      <c r="EUJ819" s="134"/>
      <c r="EUK819" s="134"/>
      <c r="EUL819" s="134"/>
      <c r="EUM819" s="135"/>
      <c r="EUN819" s="132"/>
      <c r="EUO819" s="132"/>
      <c r="EUP819" s="132"/>
      <c r="EUQ819" s="133"/>
      <c r="EUR819" s="134"/>
      <c r="EUS819" s="134"/>
      <c r="EUT819" s="134"/>
      <c r="EUU819" s="135"/>
      <c r="EUV819" s="133"/>
      <c r="EUW819" s="134"/>
      <c r="EUX819" s="134"/>
      <c r="EUY819" s="134"/>
      <c r="EUZ819" s="135"/>
      <c r="EVA819" s="132"/>
      <c r="EVB819" s="132"/>
      <c r="EVC819" s="132"/>
      <c r="EVD819" s="133"/>
      <c r="EVE819" s="134"/>
      <c r="EVF819" s="134"/>
      <c r="EVG819" s="134"/>
      <c r="EVH819" s="135"/>
      <c r="EVI819" s="133"/>
      <c r="EVJ819" s="134"/>
      <c r="EVK819" s="134"/>
      <c r="EVL819" s="134"/>
      <c r="EVM819" s="135"/>
      <c r="EVN819" s="132"/>
      <c r="EVO819" s="132"/>
      <c r="EVP819" s="132"/>
      <c r="EVQ819" s="133"/>
      <c r="EVR819" s="134"/>
      <c r="EVS819" s="134"/>
      <c r="EVT819" s="134"/>
      <c r="EVU819" s="135"/>
      <c r="EVV819" s="133"/>
      <c r="EVW819" s="134"/>
      <c r="EVX819" s="134"/>
      <c r="EVY819" s="134"/>
      <c r="EVZ819" s="135"/>
      <c r="EWA819" s="132"/>
      <c r="EWB819" s="132"/>
      <c r="EWC819" s="132"/>
      <c r="EWD819" s="133"/>
      <c r="EWE819" s="134"/>
      <c r="EWF819" s="134"/>
      <c r="EWG819" s="134"/>
      <c r="EWH819" s="135"/>
      <c r="EWI819" s="133"/>
      <c r="EWJ819" s="134"/>
      <c r="EWK819" s="134"/>
      <c r="EWL819" s="134"/>
      <c r="EWM819" s="135"/>
      <c r="EWN819" s="132"/>
      <c r="EWO819" s="132"/>
      <c r="EWP819" s="132"/>
      <c r="EWQ819" s="133"/>
      <c r="EWR819" s="134"/>
      <c r="EWS819" s="134"/>
      <c r="EWT819" s="134"/>
      <c r="EWU819" s="135"/>
      <c r="EWV819" s="133"/>
      <c r="EWW819" s="134"/>
      <c r="EWX819" s="134"/>
      <c r="EWY819" s="134"/>
      <c r="EWZ819" s="135"/>
      <c r="EXA819" s="132"/>
      <c r="EXB819" s="132"/>
      <c r="EXC819" s="132"/>
      <c r="EXD819" s="133"/>
      <c r="EXE819" s="134"/>
      <c r="EXF819" s="134"/>
      <c r="EXG819" s="134"/>
      <c r="EXH819" s="135"/>
      <c r="EXI819" s="133"/>
      <c r="EXJ819" s="134"/>
      <c r="EXK819" s="134"/>
      <c r="EXL819" s="134"/>
      <c r="EXM819" s="135"/>
      <c r="EXN819" s="132"/>
      <c r="EXO819" s="132"/>
      <c r="EXP819" s="132"/>
      <c r="EXQ819" s="133"/>
      <c r="EXR819" s="134"/>
      <c r="EXS819" s="134"/>
      <c r="EXT819" s="134"/>
      <c r="EXU819" s="135"/>
      <c r="EXV819" s="133"/>
      <c r="EXW819" s="134"/>
      <c r="EXX819" s="134"/>
      <c r="EXY819" s="134"/>
      <c r="EXZ819" s="135"/>
      <c r="EYA819" s="132"/>
      <c r="EYB819" s="132"/>
      <c r="EYC819" s="132"/>
      <c r="EYD819" s="133"/>
      <c r="EYE819" s="134"/>
      <c r="EYF819" s="134"/>
      <c r="EYG819" s="134"/>
      <c r="EYH819" s="135"/>
      <c r="EYI819" s="133"/>
      <c r="EYJ819" s="134"/>
      <c r="EYK819" s="134"/>
      <c r="EYL819" s="134"/>
      <c r="EYM819" s="135"/>
      <c r="EYN819" s="132"/>
      <c r="EYO819" s="132"/>
      <c r="EYP819" s="132"/>
      <c r="EYQ819" s="133"/>
      <c r="EYR819" s="134"/>
      <c r="EYS819" s="134"/>
      <c r="EYT819" s="134"/>
      <c r="EYU819" s="135"/>
      <c r="EYV819" s="133"/>
      <c r="EYW819" s="134"/>
      <c r="EYX819" s="134"/>
      <c r="EYY819" s="134"/>
      <c r="EYZ819" s="135"/>
      <c r="EZA819" s="132"/>
      <c r="EZB819" s="132"/>
      <c r="EZC819" s="132"/>
      <c r="EZD819" s="133"/>
      <c r="EZE819" s="134"/>
      <c r="EZF819" s="134"/>
      <c r="EZG819" s="134"/>
      <c r="EZH819" s="135"/>
      <c r="EZI819" s="133"/>
      <c r="EZJ819" s="134"/>
      <c r="EZK819" s="134"/>
      <c r="EZL819" s="134"/>
      <c r="EZM819" s="135"/>
      <c r="EZN819" s="132"/>
      <c r="EZO819" s="132"/>
      <c r="EZP819" s="132"/>
      <c r="EZQ819" s="133"/>
      <c r="EZR819" s="134"/>
      <c r="EZS819" s="134"/>
      <c r="EZT819" s="134"/>
      <c r="EZU819" s="135"/>
      <c r="EZV819" s="133"/>
      <c r="EZW819" s="134"/>
      <c r="EZX819" s="134"/>
      <c r="EZY819" s="134"/>
      <c r="EZZ819" s="135"/>
      <c r="FAA819" s="132"/>
      <c r="FAB819" s="132"/>
      <c r="FAC819" s="132"/>
      <c r="FAD819" s="133"/>
      <c r="FAE819" s="134"/>
      <c r="FAF819" s="134"/>
      <c r="FAG819" s="134"/>
      <c r="FAH819" s="135"/>
      <c r="FAI819" s="133"/>
      <c r="FAJ819" s="134"/>
      <c r="FAK819" s="134"/>
      <c r="FAL819" s="134"/>
      <c r="FAM819" s="135"/>
      <c r="FAN819" s="132"/>
      <c r="FAO819" s="132"/>
      <c r="FAP819" s="132"/>
      <c r="FAQ819" s="133"/>
      <c r="FAR819" s="134"/>
      <c r="FAS819" s="134"/>
      <c r="FAT819" s="134"/>
      <c r="FAU819" s="135"/>
      <c r="FAV819" s="133"/>
      <c r="FAW819" s="134"/>
      <c r="FAX819" s="134"/>
      <c r="FAY819" s="134"/>
      <c r="FAZ819" s="135"/>
      <c r="FBA819" s="132"/>
      <c r="FBB819" s="132"/>
      <c r="FBC819" s="132"/>
      <c r="FBD819" s="133"/>
      <c r="FBE819" s="134"/>
      <c r="FBF819" s="134"/>
      <c r="FBG819" s="134"/>
      <c r="FBH819" s="135"/>
      <c r="FBI819" s="133"/>
      <c r="FBJ819" s="134"/>
      <c r="FBK819" s="134"/>
      <c r="FBL819" s="134"/>
      <c r="FBM819" s="135"/>
      <c r="FBN819" s="132"/>
      <c r="FBO819" s="132"/>
      <c r="FBP819" s="132"/>
      <c r="FBQ819" s="133"/>
      <c r="FBR819" s="134"/>
      <c r="FBS819" s="134"/>
      <c r="FBT819" s="134"/>
      <c r="FBU819" s="135"/>
      <c r="FBV819" s="133"/>
      <c r="FBW819" s="134"/>
      <c r="FBX819" s="134"/>
      <c r="FBY819" s="134"/>
      <c r="FBZ819" s="135"/>
      <c r="FCA819" s="132"/>
      <c r="FCB819" s="132"/>
      <c r="FCC819" s="132"/>
      <c r="FCD819" s="133"/>
      <c r="FCE819" s="134"/>
      <c r="FCF819" s="134"/>
      <c r="FCG819" s="134"/>
      <c r="FCH819" s="135"/>
      <c r="FCI819" s="133"/>
      <c r="FCJ819" s="134"/>
      <c r="FCK819" s="134"/>
      <c r="FCL819" s="134"/>
      <c r="FCM819" s="135"/>
      <c r="FCN819" s="132"/>
      <c r="FCO819" s="132"/>
      <c r="FCP819" s="132"/>
      <c r="FCQ819" s="133"/>
      <c r="FCR819" s="134"/>
      <c r="FCS819" s="134"/>
      <c r="FCT819" s="134"/>
      <c r="FCU819" s="135"/>
      <c r="FCV819" s="133"/>
      <c r="FCW819" s="134"/>
      <c r="FCX819" s="134"/>
      <c r="FCY819" s="134"/>
      <c r="FCZ819" s="135"/>
      <c r="FDA819" s="132"/>
      <c r="FDB819" s="132"/>
      <c r="FDC819" s="132"/>
      <c r="FDD819" s="133"/>
      <c r="FDE819" s="134"/>
      <c r="FDF819" s="134"/>
      <c r="FDG819" s="134"/>
      <c r="FDH819" s="135"/>
      <c r="FDI819" s="133"/>
      <c r="FDJ819" s="134"/>
      <c r="FDK819" s="134"/>
      <c r="FDL819" s="134"/>
      <c r="FDM819" s="135"/>
      <c r="FDN819" s="132"/>
      <c r="FDO819" s="132"/>
      <c r="FDP819" s="132"/>
      <c r="FDQ819" s="133"/>
      <c r="FDR819" s="134"/>
      <c r="FDS819" s="134"/>
      <c r="FDT819" s="134"/>
      <c r="FDU819" s="135"/>
      <c r="FDV819" s="133"/>
      <c r="FDW819" s="134"/>
      <c r="FDX819" s="134"/>
      <c r="FDY819" s="134"/>
      <c r="FDZ819" s="135"/>
      <c r="FEA819" s="132"/>
      <c r="FEB819" s="132"/>
      <c r="FEC819" s="132"/>
      <c r="FED819" s="133"/>
      <c r="FEE819" s="134"/>
      <c r="FEF819" s="134"/>
      <c r="FEG819" s="134"/>
      <c r="FEH819" s="135"/>
      <c r="FEI819" s="133"/>
      <c r="FEJ819" s="134"/>
      <c r="FEK819" s="134"/>
      <c r="FEL819" s="134"/>
      <c r="FEM819" s="135"/>
      <c r="FEN819" s="132"/>
      <c r="FEO819" s="132"/>
      <c r="FEP819" s="132"/>
      <c r="FEQ819" s="133"/>
      <c r="FER819" s="134"/>
      <c r="FES819" s="134"/>
      <c r="FET819" s="134"/>
      <c r="FEU819" s="135"/>
      <c r="FEV819" s="133"/>
      <c r="FEW819" s="134"/>
      <c r="FEX819" s="134"/>
      <c r="FEY819" s="134"/>
      <c r="FEZ819" s="135"/>
      <c r="FFA819" s="132"/>
      <c r="FFB819" s="132"/>
      <c r="FFC819" s="132"/>
      <c r="FFD819" s="133"/>
      <c r="FFE819" s="134"/>
      <c r="FFF819" s="134"/>
      <c r="FFG819" s="134"/>
      <c r="FFH819" s="135"/>
      <c r="FFI819" s="133"/>
      <c r="FFJ819" s="134"/>
      <c r="FFK819" s="134"/>
      <c r="FFL819" s="134"/>
      <c r="FFM819" s="135"/>
      <c r="FFN819" s="132"/>
      <c r="FFO819" s="132"/>
      <c r="FFP819" s="132"/>
      <c r="FFQ819" s="133"/>
      <c r="FFR819" s="134"/>
      <c r="FFS819" s="134"/>
      <c r="FFT819" s="134"/>
      <c r="FFU819" s="135"/>
      <c r="FFV819" s="133"/>
      <c r="FFW819" s="134"/>
      <c r="FFX819" s="134"/>
      <c r="FFY819" s="134"/>
      <c r="FFZ819" s="135"/>
      <c r="FGA819" s="132"/>
      <c r="FGB819" s="132"/>
      <c r="FGC819" s="132"/>
      <c r="FGD819" s="133"/>
      <c r="FGE819" s="134"/>
      <c r="FGF819" s="134"/>
      <c r="FGG819" s="134"/>
      <c r="FGH819" s="135"/>
      <c r="FGI819" s="133"/>
      <c r="FGJ819" s="134"/>
      <c r="FGK819" s="134"/>
      <c r="FGL819" s="134"/>
      <c r="FGM819" s="135"/>
      <c r="FGN819" s="132"/>
      <c r="FGO819" s="132"/>
      <c r="FGP819" s="132"/>
      <c r="FGQ819" s="133"/>
      <c r="FGR819" s="134"/>
      <c r="FGS819" s="134"/>
      <c r="FGT819" s="134"/>
      <c r="FGU819" s="135"/>
      <c r="FGV819" s="133"/>
      <c r="FGW819" s="134"/>
      <c r="FGX819" s="134"/>
      <c r="FGY819" s="134"/>
      <c r="FGZ819" s="135"/>
      <c r="FHA819" s="132"/>
      <c r="FHB819" s="132"/>
      <c r="FHC819" s="132"/>
      <c r="FHD819" s="133"/>
      <c r="FHE819" s="134"/>
      <c r="FHF819" s="134"/>
      <c r="FHG819" s="134"/>
      <c r="FHH819" s="135"/>
      <c r="FHI819" s="133"/>
      <c r="FHJ819" s="134"/>
      <c r="FHK819" s="134"/>
      <c r="FHL819" s="134"/>
      <c r="FHM819" s="135"/>
      <c r="FHN819" s="132"/>
      <c r="FHO819" s="132"/>
      <c r="FHP819" s="132"/>
      <c r="FHQ819" s="133"/>
      <c r="FHR819" s="134"/>
      <c r="FHS819" s="134"/>
      <c r="FHT819" s="134"/>
      <c r="FHU819" s="135"/>
      <c r="FHV819" s="133"/>
      <c r="FHW819" s="134"/>
      <c r="FHX819" s="134"/>
      <c r="FHY819" s="134"/>
      <c r="FHZ819" s="135"/>
      <c r="FIA819" s="132"/>
      <c r="FIB819" s="132"/>
      <c r="FIC819" s="132"/>
      <c r="FID819" s="133"/>
      <c r="FIE819" s="134"/>
      <c r="FIF819" s="134"/>
      <c r="FIG819" s="134"/>
      <c r="FIH819" s="135"/>
      <c r="FII819" s="133"/>
      <c r="FIJ819" s="134"/>
      <c r="FIK819" s="134"/>
      <c r="FIL819" s="134"/>
      <c r="FIM819" s="135"/>
      <c r="FIN819" s="132"/>
      <c r="FIO819" s="132"/>
      <c r="FIP819" s="132"/>
      <c r="FIQ819" s="133"/>
      <c r="FIR819" s="134"/>
      <c r="FIS819" s="134"/>
      <c r="FIT819" s="134"/>
      <c r="FIU819" s="135"/>
      <c r="FIV819" s="133"/>
      <c r="FIW819" s="134"/>
      <c r="FIX819" s="134"/>
      <c r="FIY819" s="134"/>
      <c r="FIZ819" s="135"/>
      <c r="FJA819" s="132"/>
      <c r="FJB819" s="132"/>
      <c r="FJC819" s="132"/>
      <c r="FJD819" s="133"/>
      <c r="FJE819" s="134"/>
      <c r="FJF819" s="134"/>
      <c r="FJG819" s="134"/>
      <c r="FJH819" s="135"/>
      <c r="FJI819" s="133"/>
      <c r="FJJ819" s="134"/>
      <c r="FJK819" s="134"/>
      <c r="FJL819" s="134"/>
      <c r="FJM819" s="135"/>
      <c r="FJN819" s="132"/>
      <c r="FJO819" s="132"/>
      <c r="FJP819" s="132"/>
      <c r="FJQ819" s="133"/>
      <c r="FJR819" s="134"/>
      <c r="FJS819" s="134"/>
      <c r="FJT819" s="134"/>
      <c r="FJU819" s="135"/>
      <c r="FJV819" s="133"/>
      <c r="FJW819" s="134"/>
      <c r="FJX819" s="134"/>
      <c r="FJY819" s="134"/>
      <c r="FJZ819" s="135"/>
      <c r="FKA819" s="132"/>
      <c r="FKB819" s="132"/>
      <c r="FKC819" s="132"/>
      <c r="FKD819" s="133"/>
      <c r="FKE819" s="134"/>
      <c r="FKF819" s="134"/>
      <c r="FKG819" s="134"/>
      <c r="FKH819" s="135"/>
      <c r="FKI819" s="133"/>
      <c r="FKJ819" s="134"/>
      <c r="FKK819" s="134"/>
      <c r="FKL819" s="134"/>
      <c r="FKM819" s="135"/>
      <c r="FKN819" s="132"/>
      <c r="FKO819" s="132"/>
      <c r="FKP819" s="132"/>
      <c r="FKQ819" s="133"/>
      <c r="FKR819" s="134"/>
      <c r="FKS819" s="134"/>
      <c r="FKT819" s="134"/>
      <c r="FKU819" s="135"/>
      <c r="FKV819" s="133"/>
      <c r="FKW819" s="134"/>
      <c r="FKX819" s="134"/>
      <c r="FKY819" s="134"/>
      <c r="FKZ819" s="135"/>
      <c r="FLA819" s="132"/>
      <c r="FLB819" s="132"/>
      <c r="FLC819" s="132"/>
      <c r="FLD819" s="133"/>
      <c r="FLE819" s="134"/>
      <c r="FLF819" s="134"/>
      <c r="FLG819" s="134"/>
      <c r="FLH819" s="135"/>
      <c r="FLI819" s="133"/>
      <c r="FLJ819" s="134"/>
      <c r="FLK819" s="134"/>
      <c r="FLL819" s="134"/>
      <c r="FLM819" s="135"/>
      <c r="FLN819" s="132"/>
      <c r="FLO819" s="132"/>
      <c r="FLP819" s="132"/>
      <c r="FLQ819" s="133"/>
      <c r="FLR819" s="134"/>
      <c r="FLS819" s="134"/>
      <c r="FLT819" s="134"/>
      <c r="FLU819" s="135"/>
      <c r="FLV819" s="133"/>
      <c r="FLW819" s="134"/>
      <c r="FLX819" s="134"/>
      <c r="FLY819" s="134"/>
      <c r="FLZ819" s="135"/>
      <c r="FMA819" s="132"/>
      <c r="FMB819" s="132"/>
      <c r="FMC819" s="132"/>
      <c r="FMD819" s="133"/>
      <c r="FME819" s="134"/>
      <c r="FMF819" s="134"/>
      <c r="FMG819" s="134"/>
      <c r="FMH819" s="135"/>
      <c r="FMI819" s="133"/>
      <c r="FMJ819" s="134"/>
      <c r="FMK819" s="134"/>
      <c r="FML819" s="134"/>
      <c r="FMM819" s="135"/>
      <c r="FMN819" s="132"/>
      <c r="FMO819" s="132"/>
      <c r="FMP819" s="132"/>
      <c r="FMQ819" s="133"/>
      <c r="FMR819" s="134"/>
      <c r="FMS819" s="134"/>
      <c r="FMT819" s="134"/>
      <c r="FMU819" s="135"/>
      <c r="FMV819" s="133"/>
      <c r="FMW819" s="134"/>
      <c r="FMX819" s="134"/>
      <c r="FMY819" s="134"/>
      <c r="FMZ819" s="135"/>
      <c r="FNA819" s="132"/>
      <c r="FNB819" s="132"/>
      <c r="FNC819" s="132"/>
      <c r="FND819" s="133"/>
      <c r="FNE819" s="134"/>
      <c r="FNF819" s="134"/>
      <c r="FNG819" s="134"/>
      <c r="FNH819" s="135"/>
      <c r="FNI819" s="133"/>
      <c r="FNJ819" s="134"/>
      <c r="FNK819" s="134"/>
      <c r="FNL819" s="134"/>
      <c r="FNM819" s="135"/>
      <c r="FNN819" s="132"/>
      <c r="FNO819" s="132"/>
      <c r="FNP819" s="132"/>
      <c r="FNQ819" s="133"/>
      <c r="FNR819" s="134"/>
      <c r="FNS819" s="134"/>
      <c r="FNT819" s="134"/>
      <c r="FNU819" s="135"/>
      <c r="FNV819" s="133"/>
      <c r="FNW819" s="134"/>
      <c r="FNX819" s="134"/>
      <c r="FNY819" s="134"/>
      <c r="FNZ819" s="135"/>
      <c r="FOA819" s="132"/>
      <c r="FOB819" s="132"/>
      <c r="FOC819" s="132"/>
      <c r="FOD819" s="133"/>
      <c r="FOE819" s="134"/>
      <c r="FOF819" s="134"/>
      <c r="FOG819" s="134"/>
      <c r="FOH819" s="135"/>
      <c r="FOI819" s="133"/>
      <c r="FOJ819" s="134"/>
      <c r="FOK819" s="134"/>
      <c r="FOL819" s="134"/>
      <c r="FOM819" s="135"/>
      <c r="FON819" s="132"/>
      <c r="FOO819" s="132"/>
      <c r="FOP819" s="132"/>
      <c r="FOQ819" s="133"/>
      <c r="FOR819" s="134"/>
      <c r="FOS819" s="134"/>
      <c r="FOT819" s="134"/>
      <c r="FOU819" s="135"/>
      <c r="FOV819" s="133"/>
      <c r="FOW819" s="134"/>
      <c r="FOX819" s="134"/>
      <c r="FOY819" s="134"/>
      <c r="FOZ819" s="135"/>
      <c r="FPA819" s="132"/>
      <c r="FPB819" s="132"/>
      <c r="FPC819" s="132"/>
      <c r="FPD819" s="133"/>
      <c r="FPE819" s="134"/>
      <c r="FPF819" s="134"/>
      <c r="FPG819" s="134"/>
      <c r="FPH819" s="135"/>
      <c r="FPI819" s="133"/>
      <c r="FPJ819" s="134"/>
      <c r="FPK819" s="134"/>
      <c r="FPL819" s="134"/>
      <c r="FPM819" s="135"/>
      <c r="FPN819" s="132"/>
      <c r="FPO819" s="132"/>
      <c r="FPP819" s="132"/>
      <c r="FPQ819" s="133"/>
      <c r="FPR819" s="134"/>
      <c r="FPS819" s="134"/>
      <c r="FPT819" s="134"/>
      <c r="FPU819" s="135"/>
      <c r="FPV819" s="133"/>
      <c r="FPW819" s="134"/>
      <c r="FPX819" s="134"/>
      <c r="FPY819" s="134"/>
      <c r="FPZ819" s="135"/>
      <c r="FQA819" s="132"/>
      <c r="FQB819" s="132"/>
      <c r="FQC819" s="132"/>
      <c r="FQD819" s="133"/>
      <c r="FQE819" s="134"/>
      <c r="FQF819" s="134"/>
      <c r="FQG819" s="134"/>
      <c r="FQH819" s="135"/>
      <c r="FQI819" s="133"/>
      <c r="FQJ819" s="134"/>
      <c r="FQK819" s="134"/>
      <c r="FQL819" s="134"/>
      <c r="FQM819" s="135"/>
      <c r="FQN819" s="132"/>
      <c r="FQO819" s="132"/>
      <c r="FQP819" s="132"/>
      <c r="FQQ819" s="133"/>
      <c r="FQR819" s="134"/>
      <c r="FQS819" s="134"/>
      <c r="FQT819" s="134"/>
      <c r="FQU819" s="135"/>
      <c r="FQV819" s="133"/>
      <c r="FQW819" s="134"/>
      <c r="FQX819" s="134"/>
      <c r="FQY819" s="134"/>
      <c r="FQZ819" s="135"/>
      <c r="FRA819" s="132"/>
      <c r="FRB819" s="132"/>
      <c r="FRC819" s="132"/>
      <c r="FRD819" s="133"/>
      <c r="FRE819" s="134"/>
      <c r="FRF819" s="134"/>
      <c r="FRG819" s="134"/>
      <c r="FRH819" s="135"/>
      <c r="FRI819" s="133"/>
      <c r="FRJ819" s="134"/>
      <c r="FRK819" s="134"/>
      <c r="FRL819" s="134"/>
      <c r="FRM819" s="135"/>
      <c r="FRN819" s="132"/>
      <c r="FRO819" s="132"/>
      <c r="FRP819" s="132"/>
      <c r="FRQ819" s="133"/>
      <c r="FRR819" s="134"/>
      <c r="FRS819" s="134"/>
      <c r="FRT819" s="134"/>
      <c r="FRU819" s="135"/>
      <c r="FRV819" s="133"/>
      <c r="FRW819" s="134"/>
      <c r="FRX819" s="134"/>
      <c r="FRY819" s="134"/>
      <c r="FRZ819" s="135"/>
      <c r="FSA819" s="132"/>
      <c r="FSB819" s="132"/>
      <c r="FSC819" s="132"/>
      <c r="FSD819" s="133"/>
      <c r="FSE819" s="134"/>
      <c r="FSF819" s="134"/>
      <c r="FSG819" s="134"/>
      <c r="FSH819" s="135"/>
      <c r="FSI819" s="133"/>
      <c r="FSJ819" s="134"/>
      <c r="FSK819" s="134"/>
      <c r="FSL819" s="134"/>
      <c r="FSM819" s="135"/>
      <c r="FSN819" s="132"/>
      <c r="FSO819" s="132"/>
      <c r="FSP819" s="132"/>
      <c r="FSQ819" s="133"/>
      <c r="FSR819" s="134"/>
      <c r="FSS819" s="134"/>
      <c r="FST819" s="134"/>
      <c r="FSU819" s="135"/>
      <c r="FSV819" s="133"/>
      <c r="FSW819" s="134"/>
      <c r="FSX819" s="134"/>
      <c r="FSY819" s="134"/>
      <c r="FSZ819" s="135"/>
      <c r="FTA819" s="132"/>
      <c r="FTB819" s="132"/>
      <c r="FTC819" s="132"/>
      <c r="FTD819" s="133"/>
      <c r="FTE819" s="134"/>
      <c r="FTF819" s="134"/>
      <c r="FTG819" s="134"/>
      <c r="FTH819" s="135"/>
      <c r="FTI819" s="133"/>
      <c r="FTJ819" s="134"/>
      <c r="FTK819" s="134"/>
      <c r="FTL819" s="134"/>
      <c r="FTM819" s="135"/>
      <c r="FTN819" s="132"/>
      <c r="FTO819" s="132"/>
      <c r="FTP819" s="132"/>
      <c r="FTQ819" s="133"/>
      <c r="FTR819" s="134"/>
      <c r="FTS819" s="134"/>
      <c r="FTT819" s="134"/>
      <c r="FTU819" s="135"/>
      <c r="FTV819" s="133"/>
      <c r="FTW819" s="134"/>
      <c r="FTX819" s="134"/>
      <c r="FTY819" s="134"/>
      <c r="FTZ819" s="135"/>
      <c r="FUA819" s="132"/>
      <c r="FUB819" s="132"/>
      <c r="FUC819" s="132"/>
      <c r="FUD819" s="133"/>
      <c r="FUE819" s="134"/>
      <c r="FUF819" s="134"/>
      <c r="FUG819" s="134"/>
      <c r="FUH819" s="135"/>
      <c r="FUI819" s="133"/>
      <c r="FUJ819" s="134"/>
      <c r="FUK819" s="134"/>
      <c r="FUL819" s="134"/>
      <c r="FUM819" s="135"/>
      <c r="FUN819" s="132"/>
      <c r="FUO819" s="132"/>
      <c r="FUP819" s="132"/>
      <c r="FUQ819" s="133"/>
      <c r="FUR819" s="134"/>
      <c r="FUS819" s="134"/>
      <c r="FUT819" s="134"/>
      <c r="FUU819" s="135"/>
      <c r="FUV819" s="133"/>
      <c r="FUW819" s="134"/>
      <c r="FUX819" s="134"/>
      <c r="FUY819" s="134"/>
      <c r="FUZ819" s="135"/>
      <c r="FVA819" s="132"/>
      <c r="FVB819" s="132"/>
      <c r="FVC819" s="132"/>
      <c r="FVD819" s="133"/>
      <c r="FVE819" s="134"/>
      <c r="FVF819" s="134"/>
      <c r="FVG819" s="134"/>
      <c r="FVH819" s="135"/>
      <c r="FVI819" s="133"/>
      <c r="FVJ819" s="134"/>
      <c r="FVK819" s="134"/>
      <c r="FVL819" s="134"/>
      <c r="FVM819" s="135"/>
      <c r="FVN819" s="132"/>
      <c r="FVO819" s="132"/>
      <c r="FVP819" s="132"/>
      <c r="FVQ819" s="133"/>
      <c r="FVR819" s="134"/>
      <c r="FVS819" s="134"/>
      <c r="FVT819" s="134"/>
      <c r="FVU819" s="135"/>
      <c r="FVV819" s="133"/>
      <c r="FVW819" s="134"/>
      <c r="FVX819" s="134"/>
      <c r="FVY819" s="134"/>
      <c r="FVZ819" s="135"/>
      <c r="FWA819" s="132"/>
      <c r="FWB819" s="132"/>
      <c r="FWC819" s="132"/>
      <c r="FWD819" s="133"/>
      <c r="FWE819" s="134"/>
      <c r="FWF819" s="134"/>
      <c r="FWG819" s="134"/>
      <c r="FWH819" s="135"/>
      <c r="FWI819" s="133"/>
      <c r="FWJ819" s="134"/>
      <c r="FWK819" s="134"/>
      <c r="FWL819" s="134"/>
      <c r="FWM819" s="135"/>
      <c r="FWN819" s="132"/>
      <c r="FWO819" s="132"/>
      <c r="FWP819" s="132"/>
      <c r="FWQ819" s="133"/>
      <c r="FWR819" s="134"/>
      <c r="FWS819" s="134"/>
      <c r="FWT819" s="134"/>
      <c r="FWU819" s="135"/>
      <c r="FWV819" s="133"/>
      <c r="FWW819" s="134"/>
      <c r="FWX819" s="134"/>
      <c r="FWY819" s="134"/>
      <c r="FWZ819" s="135"/>
      <c r="FXA819" s="132"/>
      <c r="FXB819" s="132"/>
      <c r="FXC819" s="132"/>
      <c r="FXD819" s="133"/>
      <c r="FXE819" s="134"/>
      <c r="FXF819" s="134"/>
      <c r="FXG819" s="134"/>
      <c r="FXH819" s="135"/>
      <c r="FXI819" s="133"/>
      <c r="FXJ819" s="134"/>
      <c r="FXK819" s="134"/>
      <c r="FXL819" s="134"/>
      <c r="FXM819" s="135"/>
      <c r="FXN819" s="132"/>
      <c r="FXO819" s="132"/>
      <c r="FXP819" s="132"/>
      <c r="FXQ819" s="133"/>
      <c r="FXR819" s="134"/>
      <c r="FXS819" s="134"/>
      <c r="FXT819" s="134"/>
      <c r="FXU819" s="135"/>
      <c r="FXV819" s="133"/>
      <c r="FXW819" s="134"/>
      <c r="FXX819" s="134"/>
      <c r="FXY819" s="134"/>
      <c r="FXZ819" s="135"/>
      <c r="FYA819" s="132"/>
      <c r="FYB819" s="132"/>
      <c r="FYC819" s="132"/>
      <c r="FYD819" s="133"/>
      <c r="FYE819" s="134"/>
      <c r="FYF819" s="134"/>
      <c r="FYG819" s="134"/>
      <c r="FYH819" s="135"/>
      <c r="FYI819" s="133"/>
      <c r="FYJ819" s="134"/>
      <c r="FYK819" s="134"/>
      <c r="FYL819" s="134"/>
      <c r="FYM819" s="135"/>
      <c r="FYN819" s="132"/>
      <c r="FYO819" s="132"/>
      <c r="FYP819" s="132"/>
      <c r="FYQ819" s="133"/>
      <c r="FYR819" s="134"/>
      <c r="FYS819" s="134"/>
      <c r="FYT819" s="134"/>
      <c r="FYU819" s="135"/>
      <c r="FYV819" s="133"/>
      <c r="FYW819" s="134"/>
      <c r="FYX819" s="134"/>
      <c r="FYY819" s="134"/>
      <c r="FYZ819" s="135"/>
      <c r="FZA819" s="132"/>
      <c r="FZB819" s="132"/>
      <c r="FZC819" s="132"/>
      <c r="FZD819" s="133"/>
      <c r="FZE819" s="134"/>
      <c r="FZF819" s="134"/>
      <c r="FZG819" s="134"/>
      <c r="FZH819" s="135"/>
      <c r="FZI819" s="133"/>
      <c r="FZJ819" s="134"/>
      <c r="FZK819" s="134"/>
      <c r="FZL819" s="134"/>
      <c r="FZM819" s="135"/>
      <c r="FZN819" s="132"/>
      <c r="FZO819" s="132"/>
      <c r="FZP819" s="132"/>
      <c r="FZQ819" s="133"/>
      <c r="FZR819" s="134"/>
      <c r="FZS819" s="134"/>
      <c r="FZT819" s="134"/>
      <c r="FZU819" s="135"/>
      <c r="FZV819" s="133"/>
      <c r="FZW819" s="134"/>
      <c r="FZX819" s="134"/>
      <c r="FZY819" s="134"/>
      <c r="FZZ819" s="135"/>
      <c r="GAA819" s="132"/>
      <c r="GAB819" s="132"/>
      <c r="GAC819" s="132"/>
      <c r="GAD819" s="133"/>
      <c r="GAE819" s="134"/>
      <c r="GAF819" s="134"/>
      <c r="GAG819" s="134"/>
      <c r="GAH819" s="135"/>
      <c r="GAI819" s="133"/>
      <c r="GAJ819" s="134"/>
      <c r="GAK819" s="134"/>
      <c r="GAL819" s="134"/>
      <c r="GAM819" s="135"/>
      <c r="GAN819" s="132"/>
      <c r="GAO819" s="132"/>
      <c r="GAP819" s="132"/>
      <c r="GAQ819" s="133"/>
      <c r="GAR819" s="134"/>
      <c r="GAS819" s="134"/>
      <c r="GAT819" s="134"/>
      <c r="GAU819" s="135"/>
      <c r="GAV819" s="133"/>
      <c r="GAW819" s="134"/>
      <c r="GAX819" s="134"/>
      <c r="GAY819" s="134"/>
      <c r="GAZ819" s="135"/>
      <c r="GBA819" s="132"/>
      <c r="GBB819" s="132"/>
      <c r="GBC819" s="132"/>
      <c r="GBD819" s="133"/>
      <c r="GBE819" s="134"/>
      <c r="GBF819" s="134"/>
      <c r="GBG819" s="134"/>
      <c r="GBH819" s="135"/>
      <c r="GBI819" s="133"/>
      <c r="GBJ819" s="134"/>
      <c r="GBK819" s="134"/>
      <c r="GBL819" s="134"/>
      <c r="GBM819" s="135"/>
      <c r="GBN819" s="132"/>
      <c r="GBO819" s="132"/>
      <c r="GBP819" s="132"/>
      <c r="GBQ819" s="133"/>
      <c r="GBR819" s="134"/>
      <c r="GBS819" s="134"/>
      <c r="GBT819" s="134"/>
      <c r="GBU819" s="135"/>
      <c r="GBV819" s="133"/>
      <c r="GBW819" s="134"/>
      <c r="GBX819" s="134"/>
      <c r="GBY819" s="134"/>
      <c r="GBZ819" s="135"/>
      <c r="GCA819" s="132"/>
      <c r="GCB819" s="132"/>
      <c r="GCC819" s="132"/>
      <c r="GCD819" s="133"/>
      <c r="GCE819" s="134"/>
      <c r="GCF819" s="134"/>
      <c r="GCG819" s="134"/>
      <c r="GCH819" s="135"/>
      <c r="GCI819" s="133"/>
      <c r="GCJ819" s="134"/>
      <c r="GCK819" s="134"/>
      <c r="GCL819" s="134"/>
      <c r="GCM819" s="135"/>
      <c r="GCN819" s="132"/>
      <c r="GCO819" s="132"/>
      <c r="GCP819" s="132"/>
      <c r="GCQ819" s="133"/>
      <c r="GCR819" s="134"/>
      <c r="GCS819" s="134"/>
      <c r="GCT819" s="134"/>
      <c r="GCU819" s="135"/>
      <c r="GCV819" s="133"/>
      <c r="GCW819" s="134"/>
      <c r="GCX819" s="134"/>
      <c r="GCY819" s="134"/>
      <c r="GCZ819" s="135"/>
      <c r="GDA819" s="132"/>
      <c r="GDB819" s="132"/>
      <c r="GDC819" s="132"/>
      <c r="GDD819" s="133"/>
      <c r="GDE819" s="134"/>
      <c r="GDF819" s="134"/>
      <c r="GDG819" s="134"/>
      <c r="GDH819" s="135"/>
      <c r="GDI819" s="133"/>
      <c r="GDJ819" s="134"/>
      <c r="GDK819" s="134"/>
      <c r="GDL819" s="134"/>
      <c r="GDM819" s="135"/>
      <c r="GDN819" s="132"/>
      <c r="GDO819" s="132"/>
      <c r="GDP819" s="132"/>
      <c r="GDQ819" s="133"/>
      <c r="GDR819" s="134"/>
      <c r="GDS819" s="134"/>
      <c r="GDT819" s="134"/>
      <c r="GDU819" s="135"/>
      <c r="GDV819" s="133"/>
      <c r="GDW819" s="134"/>
      <c r="GDX819" s="134"/>
      <c r="GDY819" s="134"/>
      <c r="GDZ819" s="135"/>
      <c r="GEA819" s="132"/>
      <c r="GEB819" s="132"/>
      <c r="GEC819" s="132"/>
      <c r="GED819" s="133"/>
      <c r="GEE819" s="134"/>
      <c r="GEF819" s="134"/>
      <c r="GEG819" s="134"/>
      <c r="GEH819" s="135"/>
      <c r="GEI819" s="133"/>
      <c r="GEJ819" s="134"/>
      <c r="GEK819" s="134"/>
      <c r="GEL819" s="134"/>
      <c r="GEM819" s="135"/>
      <c r="GEN819" s="132"/>
      <c r="GEO819" s="132"/>
      <c r="GEP819" s="132"/>
      <c r="GEQ819" s="133"/>
      <c r="GER819" s="134"/>
      <c r="GES819" s="134"/>
      <c r="GET819" s="134"/>
      <c r="GEU819" s="135"/>
      <c r="GEV819" s="133"/>
      <c r="GEW819" s="134"/>
      <c r="GEX819" s="134"/>
      <c r="GEY819" s="134"/>
      <c r="GEZ819" s="135"/>
      <c r="GFA819" s="132"/>
      <c r="GFB819" s="132"/>
      <c r="GFC819" s="132"/>
      <c r="GFD819" s="133"/>
      <c r="GFE819" s="134"/>
      <c r="GFF819" s="134"/>
      <c r="GFG819" s="134"/>
      <c r="GFH819" s="135"/>
      <c r="GFI819" s="133"/>
      <c r="GFJ819" s="134"/>
      <c r="GFK819" s="134"/>
      <c r="GFL819" s="134"/>
      <c r="GFM819" s="135"/>
      <c r="GFN819" s="132"/>
      <c r="GFO819" s="132"/>
      <c r="GFP819" s="132"/>
      <c r="GFQ819" s="133"/>
      <c r="GFR819" s="134"/>
      <c r="GFS819" s="134"/>
      <c r="GFT819" s="134"/>
      <c r="GFU819" s="135"/>
      <c r="GFV819" s="133"/>
      <c r="GFW819" s="134"/>
      <c r="GFX819" s="134"/>
      <c r="GFY819" s="134"/>
      <c r="GFZ819" s="135"/>
      <c r="GGA819" s="132"/>
      <c r="GGB819" s="132"/>
      <c r="GGC819" s="132"/>
      <c r="GGD819" s="133"/>
      <c r="GGE819" s="134"/>
      <c r="GGF819" s="134"/>
      <c r="GGG819" s="134"/>
      <c r="GGH819" s="135"/>
      <c r="GGI819" s="133"/>
      <c r="GGJ819" s="134"/>
      <c r="GGK819" s="134"/>
      <c r="GGL819" s="134"/>
      <c r="GGM819" s="135"/>
      <c r="GGN819" s="132"/>
      <c r="GGO819" s="132"/>
      <c r="GGP819" s="132"/>
      <c r="GGQ819" s="133"/>
      <c r="GGR819" s="134"/>
      <c r="GGS819" s="134"/>
      <c r="GGT819" s="134"/>
      <c r="GGU819" s="135"/>
      <c r="GGV819" s="133"/>
      <c r="GGW819" s="134"/>
      <c r="GGX819" s="134"/>
      <c r="GGY819" s="134"/>
      <c r="GGZ819" s="135"/>
      <c r="GHA819" s="132"/>
      <c r="GHB819" s="132"/>
      <c r="GHC819" s="132"/>
      <c r="GHD819" s="133"/>
      <c r="GHE819" s="134"/>
      <c r="GHF819" s="134"/>
      <c r="GHG819" s="134"/>
      <c r="GHH819" s="135"/>
      <c r="GHI819" s="133"/>
      <c r="GHJ819" s="134"/>
      <c r="GHK819" s="134"/>
      <c r="GHL819" s="134"/>
      <c r="GHM819" s="135"/>
      <c r="GHN819" s="132"/>
      <c r="GHO819" s="132"/>
      <c r="GHP819" s="132"/>
      <c r="GHQ819" s="133"/>
      <c r="GHR819" s="134"/>
      <c r="GHS819" s="134"/>
      <c r="GHT819" s="134"/>
      <c r="GHU819" s="135"/>
      <c r="GHV819" s="133"/>
      <c r="GHW819" s="134"/>
      <c r="GHX819" s="134"/>
      <c r="GHY819" s="134"/>
      <c r="GHZ819" s="135"/>
      <c r="GIA819" s="132"/>
      <c r="GIB819" s="132"/>
      <c r="GIC819" s="132"/>
      <c r="GID819" s="133"/>
      <c r="GIE819" s="134"/>
      <c r="GIF819" s="134"/>
      <c r="GIG819" s="134"/>
      <c r="GIH819" s="135"/>
      <c r="GII819" s="133"/>
      <c r="GIJ819" s="134"/>
      <c r="GIK819" s="134"/>
      <c r="GIL819" s="134"/>
      <c r="GIM819" s="135"/>
      <c r="GIN819" s="132"/>
      <c r="GIO819" s="132"/>
      <c r="GIP819" s="132"/>
      <c r="GIQ819" s="133"/>
      <c r="GIR819" s="134"/>
      <c r="GIS819" s="134"/>
      <c r="GIT819" s="134"/>
      <c r="GIU819" s="135"/>
      <c r="GIV819" s="133"/>
      <c r="GIW819" s="134"/>
      <c r="GIX819" s="134"/>
      <c r="GIY819" s="134"/>
      <c r="GIZ819" s="135"/>
      <c r="GJA819" s="132"/>
      <c r="GJB819" s="132"/>
      <c r="GJC819" s="132"/>
      <c r="GJD819" s="133"/>
      <c r="GJE819" s="134"/>
      <c r="GJF819" s="134"/>
      <c r="GJG819" s="134"/>
      <c r="GJH819" s="135"/>
      <c r="GJI819" s="133"/>
      <c r="GJJ819" s="134"/>
      <c r="GJK819" s="134"/>
      <c r="GJL819" s="134"/>
      <c r="GJM819" s="135"/>
      <c r="GJN819" s="132"/>
      <c r="GJO819" s="132"/>
      <c r="GJP819" s="132"/>
      <c r="GJQ819" s="133"/>
      <c r="GJR819" s="134"/>
      <c r="GJS819" s="134"/>
      <c r="GJT819" s="134"/>
      <c r="GJU819" s="135"/>
      <c r="GJV819" s="133"/>
      <c r="GJW819" s="134"/>
      <c r="GJX819" s="134"/>
      <c r="GJY819" s="134"/>
      <c r="GJZ819" s="135"/>
      <c r="GKA819" s="132"/>
      <c r="GKB819" s="132"/>
      <c r="GKC819" s="132"/>
      <c r="GKD819" s="133"/>
      <c r="GKE819" s="134"/>
      <c r="GKF819" s="134"/>
      <c r="GKG819" s="134"/>
      <c r="GKH819" s="135"/>
      <c r="GKI819" s="133"/>
      <c r="GKJ819" s="134"/>
      <c r="GKK819" s="134"/>
      <c r="GKL819" s="134"/>
      <c r="GKM819" s="135"/>
      <c r="GKN819" s="132"/>
      <c r="GKO819" s="132"/>
      <c r="GKP819" s="132"/>
      <c r="GKQ819" s="133"/>
      <c r="GKR819" s="134"/>
      <c r="GKS819" s="134"/>
      <c r="GKT819" s="134"/>
      <c r="GKU819" s="135"/>
      <c r="GKV819" s="133"/>
      <c r="GKW819" s="134"/>
      <c r="GKX819" s="134"/>
      <c r="GKY819" s="134"/>
      <c r="GKZ819" s="135"/>
      <c r="GLA819" s="132"/>
      <c r="GLB819" s="132"/>
      <c r="GLC819" s="132"/>
      <c r="GLD819" s="133"/>
      <c r="GLE819" s="134"/>
      <c r="GLF819" s="134"/>
      <c r="GLG819" s="134"/>
      <c r="GLH819" s="135"/>
      <c r="GLI819" s="133"/>
      <c r="GLJ819" s="134"/>
      <c r="GLK819" s="134"/>
      <c r="GLL819" s="134"/>
      <c r="GLM819" s="135"/>
      <c r="GLN819" s="132"/>
      <c r="GLO819" s="132"/>
      <c r="GLP819" s="132"/>
      <c r="GLQ819" s="133"/>
      <c r="GLR819" s="134"/>
      <c r="GLS819" s="134"/>
      <c r="GLT819" s="134"/>
      <c r="GLU819" s="135"/>
      <c r="GLV819" s="133"/>
      <c r="GLW819" s="134"/>
      <c r="GLX819" s="134"/>
      <c r="GLY819" s="134"/>
      <c r="GLZ819" s="135"/>
      <c r="GMA819" s="132"/>
      <c r="GMB819" s="132"/>
      <c r="GMC819" s="132"/>
      <c r="GMD819" s="133"/>
      <c r="GME819" s="134"/>
      <c r="GMF819" s="134"/>
      <c r="GMG819" s="134"/>
      <c r="GMH819" s="135"/>
      <c r="GMI819" s="133"/>
      <c r="GMJ819" s="134"/>
      <c r="GMK819" s="134"/>
      <c r="GML819" s="134"/>
      <c r="GMM819" s="135"/>
      <c r="GMN819" s="132"/>
      <c r="GMO819" s="132"/>
      <c r="GMP819" s="132"/>
      <c r="GMQ819" s="133"/>
      <c r="GMR819" s="134"/>
      <c r="GMS819" s="134"/>
      <c r="GMT819" s="134"/>
      <c r="GMU819" s="135"/>
      <c r="GMV819" s="133"/>
      <c r="GMW819" s="134"/>
      <c r="GMX819" s="134"/>
      <c r="GMY819" s="134"/>
      <c r="GMZ819" s="135"/>
      <c r="GNA819" s="132"/>
      <c r="GNB819" s="132"/>
      <c r="GNC819" s="132"/>
      <c r="GND819" s="133"/>
      <c r="GNE819" s="134"/>
      <c r="GNF819" s="134"/>
      <c r="GNG819" s="134"/>
      <c r="GNH819" s="135"/>
      <c r="GNI819" s="133"/>
      <c r="GNJ819" s="134"/>
      <c r="GNK819" s="134"/>
      <c r="GNL819" s="134"/>
      <c r="GNM819" s="135"/>
      <c r="GNN819" s="132"/>
      <c r="GNO819" s="132"/>
      <c r="GNP819" s="132"/>
      <c r="GNQ819" s="133"/>
      <c r="GNR819" s="134"/>
      <c r="GNS819" s="134"/>
      <c r="GNT819" s="134"/>
      <c r="GNU819" s="135"/>
      <c r="GNV819" s="133"/>
      <c r="GNW819" s="134"/>
      <c r="GNX819" s="134"/>
      <c r="GNY819" s="134"/>
      <c r="GNZ819" s="135"/>
      <c r="GOA819" s="132"/>
      <c r="GOB819" s="132"/>
      <c r="GOC819" s="132"/>
      <c r="GOD819" s="133"/>
      <c r="GOE819" s="134"/>
      <c r="GOF819" s="134"/>
      <c r="GOG819" s="134"/>
      <c r="GOH819" s="135"/>
      <c r="GOI819" s="133"/>
      <c r="GOJ819" s="134"/>
      <c r="GOK819" s="134"/>
      <c r="GOL819" s="134"/>
      <c r="GOM819" s="135"/>
      <c r="GON819" s="132"/>
      <c r="GOO819" s="132"/>
      <c r="GOP819" s="132"/>
      <c r="GOQ819" s="133"/>
      <c r="GOR819" s="134"/>
      <c r="GOS819" s="134"/>
      <c r="GOT819" s="134"/>
      <c r="GOU819" s="135"/>
      <c r="GOV819" s="133"/>
      <c r="GOW819" s="134"/>
      <c r="GOX819" s="134"/>
      <c r="GOY819" s="134"/>
      <c r="GOZ819" s="135"/>
      <c r="GPA819" s="132"/>
      <c r="GPB819" s="132"/>
      <c r="GPC819" s="132"/>
      <c r="GPD819" s="133"/>
      <c r="GPE819" s="134"/>
      <c r="GPF819" s="134"/>
      <c r="GPG819" s="134"/>
      <c r="GPH819" s="135"/>
      <c r="GPI819" s="133"/>
      <c r="GPJ819" s="134"/>
      <c r="GPK819" s="134"/>
      <c r="GPL819" s="134"/>
      <c r="GPM819" s="135"/>
      <c r="GPN819" s="132"/>
      <c r="GPO819" s="132"/>
      <c r="GPP819" s="132"/>
      <c r="GPQ819" s="133"/>
      <c r="GPR819" s="134"/>
      <c r="GPS819" s="134"/>
      <c r="GPT819" s="134"/>
      <c r="GPU819" s="135"/>
      <c r="GPV819" s="133"/>
      <c r="GPW819" s="134"/>
      <c r="GPX819" s="134"/>
      <c r="GPY819" s="134"/>
      <c r="GPZ819" s="135"/>
      <c r="GQA819" s="132"/>
      <c r="GQB819" s="132"/>
      <c r="GQC819" s="132"/>
      <c r="GQD819" s="133"/>
      <c r="GQE819" s="134"/>
      <c r="GQF819" s="134"/>
      <c r="GQG819" s="134"/>
      <c r="GQH819" s="135"/>
      <c r="GQI819" s="133"/>
      <c r="GQJ819" s="134"/>
      <c r="GQK819" s="134"/>
      <c r="GQL819" s="134"/>
      <c r="GQM819" s="135"/>
      <c r="GQN819" s="132"/>
      <c r="GQO819" s="132"/>
      <c r="GQP819" s="132"/>
      <c r="GQQ819" s="133"/>
      <c r="GQR819" s="134"/>
      <c r="GQS819" s="134"/>
      <c r="GQT819" s="134"/>
      <c r="GQU819" s="135"/>
      <c r="GQV819" s="133"/>
      <c r="GQW819" s="134"/>
      <c r="GQX819" s="134"/>
      <c r="GQY819" s="134"/>
      <c r="GQZ819" s="135"/>
      <c r="GRA819" s="132"/>
      <c r="GRB819" s="132"/>
      <c r="GRC819" s="132"/>
      <c r="GRD819" s="133"/>
      <c r="GRE819" s="134"/>
      <c r="GRF819" s="134"/>
      <c r="GRG819" s="134"/>
      <c r="GRH819" s="135"/>
      <c r="GRI819" s="133"/>
      <c r="GRJ819" s="134"/>
      <c r="GRK819" s="134"/>
      <c r="GRL819" s="134"/>
      <c r="GRM819" s="135"/>
      <c r="GRN819" s="132"/>
      <c r="GRO819" s="132"/>
      <c r="GRP819" s="132"/>
      <c r="GRQ819" s="133"/>
      <c r="GRR819" s="134"/>
      <c r="GRS819" s="134"/>
      <c r="GRT819" s="134"/>
      <c r="GRU819" s="135"/>
      <c r="GRV819" s="133"/>
      <c r="GRW819" s="134"/>
      <c r="GRX819" s="134"/>
      <c r="GRY819" s="134"/>
      <c r="GRZ819" s="135"/>
      <c r="GSA819" s="132"/>
      <c r="GSB819" s="132"/>
      <c r="GSC819" s="132"/>
      <c r="GSD819" s="133"/>
      <c r="GSE819" s="134"/>
      <c r="GSF819" s="134"/>
      <c r="GSG819" s="134"/>
      <c r="GSH819" s="135"/>
      <c r="GSI819" s="133"/>
      <c r="GSJ819" s="134"/>
      <c r="GSK819" s="134"/>
      <c r="GSL819" s="134"/>
      <c r="GSM819" s="135"/>
      <c r="GSN819" s="132"/>
      <c r="GSO819" s="132"/>
      <c r="GSP819" s="132"/>
      <c r="GSQ819" s="133"/>
      <c r="GSR819" s="134"/>
      <c r="GSS819" s="134"/>
      <c r="GST819" s="134"/>
      <c r="GSU819" s="135"/>
      <c r="GSV819" s="133"/>
      <c r="GSW819" s="134"/>
      <c r="GSX819" s="134"/>
      <c r="GSY819" s="134"/>
      <c r="GSZ819" s="135"/>
      <c r="GTA819" s="132"/>
      <c r="GTB819" s="132"/>
      <c r="GTC819" s="132"/>
      <c r="GTD819" s="133"/>
      <c r="GTE819" s="134"/>
      <c r="GTF819" s="134"/>
      <c r="GTG819" s="134"/>
      <c r="GTH819" s="135"/>
      <c r="GTI819" s="133"/>
      <c r="GTJ819" s="134"/>
      <c r="GTK819" s="134"/>
      <c r="GTL819" s="134"/>
      <c r="GTM819" s="135"/>
      <c r="GTN819" s="132"/>
      <c r="GTO819" s="132"/>
      <c r="GTP819" s="132"/>
      <c r="GTQ819" s="133"/>
      <c r="GTR819" s="134"/>
      <c r="GTS819" s="134"/>
      <c r="GTT819" s="134"/>
      <c r="GTU819" s="135"/>
      <c r="GTV819" s="133"/>
      <c r="GTW819" s="134"/>
      <c r="GTX819" s="134"/>
      <c r="GTY819" s="134"/>
      <c r="GTZ819" s="135"/>
      <c r="GUA819" s="132"/>
      <c r="GUB819" s="132"/>
      <c r="GUC819" s="132"/>
      <c r="GUD819" s="133"/>
      <c r="GUE819" s="134"/>
      <c r="GUF819" s="134"/>
      <c r="GUG819" s="134"/>
      <c r="GUH819" s="135"/>
      <c r="GUI819" s="133"/>
      <c r="GUJ819" s="134"/>
      <c r="GUK819" s="134"/>
      <c r="GUL819" s="134"/>
      <c r="GUM819" s="135"/>
      <c r="GUN819" s="132"/>
      <c r="GUO819" s="132"/>
      <c r="GUP819" s="132"/>
      <c r="GUQ819" s="133"/>
      <c r="GUR819" s="134"/>
      <c r="GUS819" s="134"/>
      <c r="GUT819" s="134"/>
      <c r="GUU819" s="135"/>
      <c r="GUV819" s="133"/>
      <c r="GUW819" s="134"/>
      <c r="GUX819" s="134"/>
      <c r="GUY819" s="134"/>
      <c r="GUZ819" s="135"/>
      <c r="GVA819" s="132"/>
      <c r="GVB819" s="132"/>
      <c r="GVC819" s="132"/>
      <c r="GVD819" s="133"/>
      <c r="GVE819" s="134"/>
      <c r="GVF819" s="134"/>
      <c r="GVG819" s="134"/>
      <c r="GVH819" s="135"/>
      <c r="GVI819" s="133"/>
      <c r="GVJ819" s="134"/>
      <c r="GVK819" s="134"/>
      <c r="GVL819" s="134"/>
      <c r="GVM819" s="135"/>
      <c r="GVN819" s="132"/>
      <c r="GVO819" s="132"/>
      <c r="GVP819" s="132"/>
      <c r="GVQ819" s="133"/>
      <c r="GVR819" s="134"/>
      <c r="GVS819" s="134"/>
      <c r="GVT819" s="134"/>
      <c r="GVU819" s="135"/>
      <c r="GVV819" s="133"/>
      <c r="GVW819" s="134"/>
      <c r="GVX819" s="134"/>
      <c r="GVY819" s="134"/>
      <c r="GVZ819" s="135"/>
      <c r="GWA819" s="132"/>
      <c r="GWB819" s="132"/>
      <c r="GWC819" s="132"/>
      <c r="GWD819" s="133"/>
      <c r="GWE819" s="134"/>
      <c r="GWF819" s="134"/>
      <c r="GWG819" s="134"/>
      <c r="GWH819" s="135"/>
      <c r="GWI819" s="133"/>
      <c r="GWJ819" s="134"/>
      <c r="GWK819" s="134"/>
      <c r="GWL819" s="134"/>
      <c r="GWM819" s="135"/>
      <c r="GWN819" s="132"/>
      <c r="GWO819" s="132"/>
      <c r="GWP819" s="132"/>
      <c r="GWQ819" s="133"/>
      <c r="GWR819" s="134"/>
      <c r="GWS819" s="134"/>
      <c r="GWT819" s="134"/>
      <c r="GWU819" s="135"/>
      <c r="GWV819" s="133"/>
      <c r="GWW819" s="134"/>
      <c r="GWX819" s="134"/>
      <c r="GWY819" s="134"/>
      <c r="GWZ819" s="135"/>
      <c r="GXA819" s="132"/>
      <c r="GXB819" s="132"/>
      <c r="GXC819" s="132"/>
      <c r="GXD819" s="133"/>
      <c r="GXE819" s="134"/>
      <c r="GXF819" s="134"/>
      <c r="GXG819" s="134"/>
      <c r="GXH819" s="135"/>
      <c r="GXI819" s="133"/>
      <c r="GXJ819" s="134"/>
      <c r="GXK819" s="134"/>
      <c r="GXL819" s="134"/>
      <c r="GXM819" s="135"/>
      <c r="GXN819" s="132"/>
      <c r="GXO819" s="132"/>
      <c r="GXP819" s="132"/>
      <c r="GXQ819" s="133"/>
      <c r="GXR819" s="134"/>
      <c r="GXS819" s="134"/>
      <c r="GXT819" s="134"/>
      <c r="GXU819" s="135"/>
      <c r="GXV819" s="133"/>
      <c r="GXW819" s="134"/>
      <c r="GXX819" s="134"/>
      <c r="GXY819" s="134"/>
      <c r="GXZ819" s="135"/>
      <c r="GYA819" s="132"/>
      <c r="GYB819" s="132"/>
      <c r="GYC819" s="132"/>
      <c r="GYD819" s="133"/>
      <c r="GYE819" s="134"/>
      <c r="GYF819" s="134"/>
      <c r="GYG819" s="134"/>
      <c r="GYH819" s="135"/>
      <c r="GYI819" s="133"/>
      <c r="GYJ819" s="134"/>
      <c r="GYK819" s="134"/>
      <c r="GYL819" s="134"/>
      <c r="GYM819" s="135"/>
      <c r="GYN819" s="132"/>
      <c r="GYO819" s="132"/>
      <c r="GYP819" s="132"/>
      <c r="GYQ819" s="133"/>
      <c r="GYR819" s="134"/>
      <c r="GYS819" s="134"/>
      <c r="GYT819" s="134"/>
      <c r="GYU819" s="135"/>
      <c r="GYV819" s="133"/>
      <c r="GYW819" s="134"/>
      <c r="GYX819" s="134"/>
      <c r="GYY819" s="134"/>
      <c r="GYZ819" s="135"/>
      <c r="GZA819" s="132"/>
      <c r="GZB819" s="132"/>
      <c r="GZC819" s="132"/>
      <c r="GZD819" s="133"/>
      <c r="GZE819" s="134"/>
      <c r="GZF819" s="134"/>
      <c r="GZG819" s="134"/>
      <c r="GZH819" s="135"/>
      <c r="GZI819" s="133"/>
      <c r="GZJ819" s="134"/>
      <c r="GZK819" s="134"/>
      <c r="GZL819" s="134"/>
      <c r="GZM819" s="135"/>
      <c r="GZN819" s="132"/>
      <c r="GZO819" s="132"/>
      <c r="GZP819" s="132"/>
      <c r="GZQ819" s="133"/>
      <c r="GZR819" s="134"/>
      <c r="GZS819" s="134"/>
      <c r="GZT819" s="134"/>
      <c r="GZU819" s="135"/>
      <c r="GZV819" s="133"/>
      <c r="GZW819" s="134"/>
      <c r="GZX819" s="134"/>
      <c r="GZY819" s="134"/>
      <c r="GZZ819" s="135"/>
      <c r="HAA819" s="132"/>
      <c r="HAB819" s="132"/>
      <c r="HAC819" s="132"/>
      <c r="HAD819" s="133"/>
      <c r="HAE819" s="134"/>
      <c r="HAF819" s="134"/>
      <c r="HAG819" s="134"/>
      <c r="HAH819" s="135"/>
      <c r="HAI819" s="133"/>
      <c r="HAJ819" s="134"/>
      <c r="HAK819" s="134"/>
      <c r="HAL819" s="134"/>
      <c r="HAM819" s="135"/>
      <c r="HAN819" s="132"/>
      <c r="HAO819" s="132"/>
      <c r="HAP819" s="132"/>
      <c r="HAQ819" s="133"/>
      <c r="HAR819" s="134"/>
      <c r="HAS819" s="134"/>
      <c r="HAT819" s="134"/>
      <c r="HAU819" s="135"/>
      <c r="HAV819" s="133"/>
      <c r="HAW819" s="134"/>
      <c r="HAX819" s="134"/>
      <c r="HAY819" s="134"/>
      <c r="HAZ819" s="135"/>
      <c r="HBA819" s="132"/>
      <c r="HBB819" s="132"/>
      <c r="HBC819" s="132"/>
      <c r="HBD819" s="133"/>
      <c r="HBE819" s="134"/>
      <c r="HBF819" s="134"/>
      <c r="HBG819" s="134"/>
      <c r="HBH819" s="135"/>
      <c r="HBI819" s="133"/>
      <c r="HBJ819" s="134"/>
      <c r="HBK819" s="134"/>
      <c r="HBL819" s="134"/>
      <c r="HBM819" s="135"/>
      <c r="HBN819" s="132"/>
      <c r="HBO819" s="132"/>
      <c r="HBP819" s="132"/>
      <c r="HBQ819" s="133"/>
      <c r="HBR819" s="134"/>
      <c r="HBS819" s="134"/>
      <c r="HBT819" s="134"/>
      <c r="HBU819" s="135"/>
      <c r="HBV819" s="133"/>
      <c r="HBW819" s="134"/>
      <c r="HBX819" s="134"/>
      <c r="HBY819" s="134"/>
      <c r="HBZ819" s="135"/>
      <c r="HCA819" s="132"/>
      <c r="HCB819" s="132"/>
      <c r="HCC819" s="132"/>
      <c r="HCD819" s="133"/>
      <c r="HCE819" s="134"/>
      <c r="HCF819" s="134"/>
      <c r="HCG819" s="134"/>
      <c r="HCH819" s="135"/>
      <c r="HCI819" s="133"/>
      <c r="HCJ819" s="134"/>
      <c r="HCK819" s="134"/>
      <c r="HCL819" s="134"/>
      <c r="HCM819" s="135"/>
      <c r="HCN819" s="132"/>
      <c r="HCO819" s="132"/>
      <c r="HCP819" s="132"/>
      <c r="HCQ819" s="133"/>
      <c r="HCR819" s="134"/>
      <c r="HCS819" s="134"/>
      <c r="HCT819" s="134"/>
      <c r="HCU819" s="135"/>
      <c r="HCV819" s="133"/>
      <c r="HCW819" s="134"/>
      <c r="HCX819" s="134"/>
      <c r="HCY819" s="134"/>
      <c r="HCZ819" s="135"/>
      <c r="HDA819" s="132"/>
      <c r="HDB819" s="132"/>
      <c r="HDC819" s="132"/>
      <c r="HDD819" s="133"/>
      <c r="HDE819" s="134"/>
      <c r="HDF819" s="134"/>
      <c r="HDG819" s="134"/>
      <c r="HDH819" s="135"/>
      <c r="HDI819" s="133"/>
      <c r="HDJ819" s="134"/>
      <c r="HDK819" s="134"/>
      <c r="HDL819" s="134"/>
      <c r="HDM819" s="135"/>
      <c r="HDN819" s="132"/>
      <c r="HDO819" s="132"/>
      <c r="HDP819" s="132"/>
      <c r="HDQ819" s="133"/>
      <c r="HDR819" s="134"/>
      <c r="HDS819" s="134"/>
      <c r="HDT819" s="134"/>
      <c r="HDU819" s="135"/>
      <c r="HDV819" s="133"/>
      <c r="HDW819" s="134"/>
      <c r="HDX819" s="134"/>
      <c r="HDY819" s="134"/>
      <c r="HDZ819" s="135"/>
      <c r="HEA819" s="132"/>
      <c r="HEB819" s="132"/>
      <c r="HEC819" s="132"/>
      <c r="HED819" s="133"/>
      <c r="HEE819" s="134"/>
      <c r="HEF819" s="134"/>
      <c r="HEG819" s="134"/>
      <c r="HEH819" s="135"/>
      <c r="HEI819" s="133"/>
      <c r="HEJ819" s="134"/>
      <c r="HEK819" s="134"/>
      <c r="HEL819" s="134"/>
      <c r="HEM819" s="135"/>
      <c r="HEN819" s="132"/>
      <c r="HEO819" s="132"/>
      <c r="HEP819" s="132"/>
      <c r="HEQ819" s="133"/>
      <c r="HER819" s="134"/>
      <c r="HES819" s="134"/>
      <c r="HET819" s="134"/>
      <c r="HEU819" s="135"/>
      <c r="HEV819" s="133"/>
      <c r="HEW819" s="134"/>
      <c r="HEX819" s="134"/>
      <c r="HEY819" s="134"/>
      <c r="HEZ819" s="135"/>
      <c r="HFA819" s="132"/>
      <c r="HFB819" s="132"/>
      <c r="HFC819" s="132"/>
      <c r="HFD819" s="133"/>
      <c r="HFE819" s="134"/>
      <c r="HFF819" s="134"/>
      <c r="HFG819" s="134"/>
      <c r="HFH819" s="135"/>
      <c r="HFI819" s="133"/>
      <c r="HFJ819" s="134"/>
      <c r="HFK819" s="134"/>
      <c r="HFL819" s="134"/>
      <c r="HFM819" s="135"/>
      <c r="HFN819" s="132"/>
      <c r="HFO819" s="132"/>
      <c r="HFP819" s="132"/>
      <c r="HFQ819" s="133"/>
      <c r="HFR819" s="134"/>
      <c r="HFS819" s="134"/>
      <c r="HFT819" s="134"/>
      <c r="HFU819" s="135"/>
      <c r="HFV819" s="133"/>
      <c r="HFW819" s="134"/>
      <c r="HFX819" s="134"/>
      <c r="HFY819" s="134"/>
      <c r="HFZ819" s="135"/>
      <c r="HGA819" s="132"/>
      <c r="HGB819" s="132"/>
      <c r="HGC819" s="132"/>
      <c r="HGD819" s="133"/>
      <c r="HGE819" s="134"/>
      <c r="HGF819" s="134"/>
      <c r="HGG819" s="134"/>
      <c r="HGH819" s="135"/>
      <c r="HGI819" s="133"/>
      <c r="HGJ819" s="134"/>
      <c r="HGK819" s="134"/>
      <c r="HGL819" s="134"/>
      <c r="HGM819" s="135"/>
      <c r="HGN819" s="132"/>
      <c r="HGO819" s="132"/>
      <c r="HGP819" s="132"/>
      <c r="HGQ819" s="133"/>
      <c r="HGR819" s="134"/>
      <c r="HGS819" s="134"/>
      <c r="HGT819" s="134"/>
      <c r="HGU819" s="135"/>
      <c r="HGV819" s="133"/>
      <c r="HGW819" s="134"/>
      <c r="HGX819" s="134"/>
      <c r="HGY819" s="134"/>
      <c r="HGZ819" s="135"/>
      <c r="HHA819" s="132"/>
      <c r="HHB819" s="132"/>
      <c r="HHC819" s="132"/>
      <c r="HHD819" s="133"/>
      <c r="HHE819" s="134"/>
      <c r="HHF819" s="134"/>
      <c r="HHG819" s="134"/>
      <c r="HHH819" s="135"/>
      <c r="HHI819" s="133"/>
      <c r="HHJ819" s="134"/>
      <c r="HHK819" s="134"/>
      <c r="HHL819" s="134"/>
      <c r="HHM819" s="135"/>
      <c r="HHN819" s="132"/>
      <c r="HHO819" s="132"/>
      <c r="HHP819" s="132"/>
      <c r="HHQ819" s="133"/>
      <c r="HHR819" s="134"/>
      <c r="HHS819" s="134"/>
      <c r="HHT819" s="134"/>
      <c r="HHU819" s="135"/>
      <c r="HHV819" s="133"/>
      <c r="HHW819" s="134"/>
      <c r="HHX819" s="134"/>
      <c r="HHY819" s="134"/>
      <c r="HHZ819" s="135"/>
      <c r="HIA819" s="132"/>
      <c r="HIB819" s="132"/>
      <c r="HIC819" s="132"/>
      <c r="HID819" s="133"/>
      <c r="HIE819" s="134"/>
      <c r="HIF819" s="134"/>
      <c r="HIG819" s="134"/>
      <c r="HIH819" s="135"/>
      <c r="HII819" s="133"/>
      <c r="HIJ819" s="134"/>
      <c r="HIK819" s="134"/>
      <c r="HIL819" s="134"/>
      <c r="HIM819" s="135"/>
      <c r="HIN819" s="132"/>
      <c r="HIO819" s="132"/>
      <c r="HIP819" s="132"/>
      <c r="HIQ819" s="133"/>
      <c r="HIR819" s="134"/>
      <c r="HIS819" s="134"/>
      <c r="HIT819" s="134"/>
      <c r="HIU819" s="135"/>
      <c r="HIV819" s="133"/>
      <c r="HIW819" s="134"/>
      <c r="HIX819" s="134"/>
      <c r="HIY819" s="134"/>
      <c r="HIZ819" s="135"/>
      <c r="HJA819" s="132"/>
      <c r="HJB819" s="132"/>
      <c r="HJC819" s="132"/>
      <c r="HJD819" s="133"/>
      <c r="HJE819" s="134"/>
      <c r="HJF819" s="134"/>
      <c r="HJG819" s="134"/>
      <c r="HJH819" s="135"/>
      <c r="HJI819" s="133"/>
      <c r="HJJ819" s="134"/>
      <c r="HJK819" s="134"/>
      <c r="HJL819" s="134"/>
      <c r="HJM819" s="135"/>
      <c r="HJN819" s="132"/>
      <c r="HJO819" s="132"/>
      <c r="HJP819" s="132"/>
      <c r="HJQ819" s="133"/>
      <c r="HJR819" s="134"/>
      <c r="HJS819" s="134"/>
      <c r="HJT819" s="134"/>
      <c r="HJU819" s="135"/>
      <c r="HJV819" s="133"/>
      <c r="HJW819" s="134"/>
      <c r="HJX819" s="134"/>
      <c r="HJY819" s="134"/>
      <c r="HJZ819" s="135"/>
      <c r="HKA819" s="132"/>
      <c r="HKB819" s="132"/>
      <c r="HKC819" s="132"/>
      <c r="HKD819" s="133"/>
      <c r="HKE819" s="134"/>
      <c r="HKF819" s="134"/>
      <c r="HKG819" s="134"/>
      <c r="HKH819" s="135"/>
      <c r="HKI819" s="133"/>
      <c r="HKJ819" s="134"/>
      <c r="HKK819" s="134"/>
      <c r="HKL819" s="134"/>
      <c r="HKM819" s="135"/>
      <c r="HKN819" s="132"/>
      <c r="HKO819" s="132"/>
      <c r="HKP819" s="132"/>
      <c r="HKQ819" s="133"/>
      <c r="HKR819" s="134"/>
      <c r="HKS819" s="134"/>
      <c r="HKT819" s="134"/>
      <c r="HKU819" s="135"/>
      <c r="HKV819" s="133"/>
      <c r="HKW819" s="134"/>
      <c r="HKX819" s="134"/>
      <c r="HKY819" s="134"/>
      <c r="HKZ819" s="135"/>
      <c r="HLA819" s="132"/>
      <c r="HLB819" s="132"/>
      <c r="HLC819" s="132"/>
      <c r="HLD819" s="133"/>
      <c r="HLE819" s="134"/>
      <c r="HLF819" s="134"/>
      <c r="HLG819" s="134"/>
      <c r="HLH819" s="135"/>
      <c r="HLI819" s="133"/>
      <c r="HLJ819" s="134"/>
      <c r="HLK819" s="134"/>
      <c r="HLL819" s="134"/>
      <c r="HLM819" s="135"/>
      <c r="HLN819" s="132"/>
      <c r="HLO819" s="132"/>
      <c r="HLP819" s="132"/>
      <c r="HLQ819" s="133"/>
      <c r="HLR819" s="134"/>
      <c r="HLS819" s="134"/>
      <c r="HLT819" s="134"/>
      <c r="HLU819" s="135"/>
      <c r="HLV819" s="133"/>
      <c r="HLW819" s="134"/>
      <c r="HLX819" s="134"/>
      <c r="HLY819" s="134"/>
      <c r="HLZ819" s="135"/>
      <c r="HMA819" s="132"/>
      <c r="HMB819" s="132"/>
      <c r="HMC819" s="132"/>
      <c r="HMD819" s="133"/>
      <c r="HME819" s="134"/>
      <c r="HMF819" s="134"/>
      <c r="HMG819" s="134"/>
      <c r="HMH819" s="135"/>
      <c r="HMI819" s="133"/>
      <c r="HMJ819" s="134"/>
      <c r="HMK819" s="134"/>
      <c r="HML819" s="134"/>
      <c r="HMM819" s="135"/>
      <c r="HMN819" s="132"/>
      <c r="HMO819" s="132"/>
      <c r="HMP819" s="132"/>
      <c r="HMQ819" s="133"/>
      <c r="HMR819" s="134"/>
      <c r="HMS819" s="134"/>
      <c r="HMT819" s="134"/>
      <c r="HMU819" s="135"/>
      <c r="HMV819" s="133"/>
      <c r="HMW819" s="134"/>
      <c r="HMX819" s="134"/>
      <c r="HMY819" s="134"/>
      <c r="HMZ819" s="135"/>
      <c r="HNA819" s="132"/>
      <c r="HNB819" s="132"/>
      <c r="HNC819" s="132"/>
      <c r="HND819" s="133"/>
      <c r="HNE819" s="134"/>
      <c r="HNF819" s="134"/>
      <c r="HNG819" s="134"/>
      <c r="HNH819" s="135"/>
      <c r="HNI819" s="133"/>
      <c r="HNJ819" s="134"/>
      <c r="HNK819" s="134"/>
      <c r="HNL819" s="134"/>
      <c r="HNM819" s="135"/>
      <c r="HNN819" s="132"/>
      <c r="HNO819" s="132"/>
      <c r="HNP819" s="132"/>
      <c r="HNQ819" s="133"/>
      <c r="HNR819" s="134"/>
      <c r="HNS819" s="134"/>
      <c r="HNT819" s="134"/>
      <c r="HNU819" s="135"/>
      <c r="HNV819" s="133"/>
      <c r="HNW819" s="134"/>
      <c r="HNX819" s="134"/>
      <c r="HNY819" s="134"/>
      <c r="HNZ819" s="135"/>
      <c r="HOA819" s="132"/>
      <c r="HOB819" s="132"/>
      <c r="HOC819" s="132"/>
      <c r="HOD819" s="133"/>
      <c r="HOE819" s="134"/>
      <c r="HOF819" s="134"/>
      <c r="HOG819" s="134"/>
      <c r="HOH819" s="135"/>
      <c r="HOI819" s="133"/>
      <c r="HOJ819" s="134"/>
      <c r="HOK819" s="134"/>
      <c r="HOL819" s="134"/>
      <c r="HOM819" s="135"/>
      <c r="HON819" s="132"/>
      <c r="HOO819" s="132"/>
      <c r="HOP819" s="132"/>
      <c r="HOQ819" s="133"/>
      <c r="HOR819" s="134"/>
      <c r="HOS819" s="134"/>
      <c r="HOT819" s="134"/>
      <c r="HOU819" s="135"/>
      <c r="HOV819" s="133"/>
      <c r="HOW819" s="134"/>
      <c r="HOX819" s="134"/>
      <c r="HOY819" s="134"/>
      <c r="HOZ819" s="135"/>
      <c r="HPA819" s="132"/>
      <c r="HPB819" s="132"/>
      <c r="HPC819" s="132"/>
      <c r="HPD819" s="133"/>
      <c r="HPE819" s="134"/>
      <c r="HPF819" s="134"/>
      <c r="HPG819" s="134"/>
      <c r="HPH819" s="135"/>
      <c r="HPI819" s="133"/>
      <c r="HPJ819" s="134"/>
      <c r="HPK819" s="134"/>
      <c r="HPL819" s="134"/>
      <c r="HPM819" s="135"/>
      <c r="HPN819" s="132"/>
      <c r="HPO819" s="132"/>
      <c r="HPP819" s="132"/>
      <c r="HPQ819" s="133"/>
      <c r="HPR819" s="134"/>
      <c r="HPS819" s="134"/>
      <c r="HPT819" s="134"/>
      <c r="HPU819" s="135"/>
      <c r="HPV819" s="133"/>
      <c r="HPW819" s="134"/>
      <c r="HPX819" s="134"/>
      <c r="HPY819" s="134"/>
      <c r="HPZ819" s="135"/>
      <c r="HQA819" s="132"/>
      <c r="HQB819" s="132"/>
      <c r="HQC819" s="132"/>
      <c r="HQD819" s="133"/>
      <c r="HQE819" s="134"/>
      <c r="HQF819" s="134"/>
      <c r="HQG819" s="134"/>
      <c r="HQH819" s="135"/>
      <c r="HQI819" s="133"/>
      <c r="HQJ819" s="134"/>
      <c r="HQK819" s="134"/>
      <c r="HQL819" s="134"/>
      <c r="HQM819" s="135"/>
      <c r="HQN819" s="132"/>
      <c r="HQO819" s="132"/>
      <c r="HQP819" s="132"/>
      <c r="HQQ819" s="133"/>
      <c r="HQR819" s="134"/>
      <c r="HQS819" s="134"/>
      <c r="HQT819" s="134"/>
      <c r="HQU819" s="135"/>
      <c r="HQV819" s="133"/>
      <c r="HQW819" s="134"/>
      <c r="HQX819" s="134"/>
      <c r="HQY819" s="134"/>
      <c r="HQZ819" s="135"/>
      <c r="HRA819" s="132"/>
      <c r="HRB819" s="132"/>
      <c r="HRC819" s="132"/>
      <c r="HRD819" s="133"/>
      <c r="HRE819" s="134"/>
      <c r="HRF819" s="134"/>
      <c r="HRG819" s="134"/>
      <c r="HRH819" s="135"/>
      <c r="HRI819" s="133"/>
      <c r="HRJ819" s="134"/>
      <c r="HRK819" s="134"/>
      <c r="HRL819" s="134"/>
      <c r="HRM819" s="135"/>
      <c r="HRN819" s="132"/>
      <c r="HRO819" s="132"/>
      <c r="HRP819" s="132"/>
      <c r="HRQ819" s="133"/>
      <c r="HRR819" s="134"/>
      <c r="HRS819" s="134"/>
      <c r="HRT819" s="134"/>
      <c r="HRU819" s="135"/>
      <c r="HRV819" s="133"/>
      <c r="HRW819" s="134"/>
      <c r="HRX819" s="134"/>
      <c r="HRY819" s="134"/>
      <c r="HRZ819" s="135"/>
      <c r="HSA819" s="132"/>
      <c r="HSB819" s="132"/>
      <c r="HSC819" s="132"/>
      <c r="HSD819" s="133"/>
      <c r="HSE819" s="134"/>
      <c r="HSF819" s="134"/>
      <c r="HSG819" s="134"/>
      <c r="HSH819" s="135"/>
      <c r="HSI819" s="133"/>
      <c r="HSJ819" s="134"/>
      <c r="HSK819" s="134"/>
      <c r="HSL819" s="134"/>
      <c r="HSM819" s="135"/>
      <c r="HSN819" s="132"/>
      <c r="HSO819" s="132"/>
      <c r="HSP819" s="132"/>
      <c r="HSQ819" s="133"/>
      <c r="HSR819" s="134"/>
      <c r="HSS819" s="134"/>
      <c r="HST819" s="134"/>
      <c r="HSU819" s="135"/>
      <c r="HSV819" s="133"/>
      <c r="HSW819" s="134"/>
      <c r="HSX819" s="134"/>
      <c r="HSY819" s="134"/>
      <c r="HSZ819" s="135"/>
      <c r="HTA819" s="132"/>
      <c r="HTB819" s="132"/>
      <c r="HTC819" s="132"/>
      <c r="HTD819" s="133"/>
      <c r="HTE819" s="134"/>
      <c r="HTF819" s="134"/>
      <c r="HTG819" s="134"/>
      <c r="HTH819" s="135"/>
      <c r="HTI819" s="133"/>
      <c r="HTJ819" s="134"/>
      <c r="HTK819" s="134"/>
      <c r="HTL819" s="134"/>
      <c r="HTM819" s="135"/>
      <c r="HTN819" s="132"/>
      <c r="HTO819" s="132"/>
      <c r="HTP819" s="132"/>
      <c r="HTQ819" s="133"/>
      <c r="HTR819" s="134"/>
      <c r="HTS819" s="134"/>
      <c r="HTT819" s="134"/>
      <c r="HTU819" s="135"/>
      <c r="HTV819" s="133"/>
      <c r="HTW819" s="134"/>
      <c r="HTX819" s="134"/>
      <c r="HTY819" s="134"/>
      <c r="HTZ819" s="135"/>
      <c r="HUA819" s="132"/>
      <c r="HUB819" s="132"/>
      <c r="HUC819" s="132"/>
      <c r="HUD819" s="133"/>
      <c r="HUE819" s="134"/>
      <c r="HUF819" s="134"/>
      <c r="HUG819" s="134"/>
      <c r="HUH819" s="135"/>
      <c r="HUI819" s="133"/>
      <c r="HUJ819" s="134"/>
      <c r="HUK819" s="134"/>
      <c r="HUL819" s="134"/>
      <c r="HUM819" s="135"/>
      <c r="HUN819" s="132"/>
      <c r="HUO819" s="132"/>
      <c r="HUP819" s="132"/>
      <c r="HUQ819" s="133"/>
      <c r="HUR819" s="134"/>
      <c r="HUS819" s="134"/>
      <c r="HUT819" s="134"/>
      <c r="HUU819" s="135"/>
      <c r="HUV819" s="133"/>
      <c r="HUW819" s="134"/>
      <c r="HUX819" s="134"/>
      <c r="HUY819" s="134"/>
      <c r="HUZ819" s="135"/>
      <c r="HVA819" s="132"/>
      <c r="HVB819" s="132"/>
      <c r="HVC819" s="132"/>
      <c r="HVD819" s="133"/>
      <c r="HVE819" s="134"/>
      <c r="HVF819" s="134"/>
      <c r="HVG819" s="134"/>
      <c r="HVH819" s="135"/>
      <c r="HVI819" s="133"/>
      <c r="HVJ819" s="134"/>
      <c r="HVK819" s="134"/>
      <c r="HVL819" s="134"/>
      <c r="HVM819" s="135"/>
      <c r="HVN819" s="132"/>
      <c r="HVO819" s="132"/>
      <c r="HVP819" s="132"/>
      <c r="HVQ819" s="133"/>
      <c r="HVR819" s="134"/>
      <c r="HVS819" s="134"/>
      <c r="HVT819" s="134"/>
      <c r="HVU819" s="135"/>
      <c r="HVV819" s="133"/>
      <c r="HVW819" s="134"/>
      <c r="HVX819" s="134"/>
      <c r="HVY819" s="134"/>
      <c r="HVZ819" s="135"/>
      <c r="HWA819" s="132"/>
      <c r="HWB819" s="132"/>
      <c r="HWC819" s="132"/>
      <c r="HWD819" s="133"/>
      <c r="HWE819" s="134"/>
      <c r="HWF819" s="134"/>
      <c r="HWG819" s="134"/>
      <c r="HWH819" s="135"/>
      <c r="HWI819" s="133"/>
      <c r="HWJ819" s="134"/>
      <c r="HWK819" s="134"/>
      <c r="HWL819" s="134"/>
      <c r="HWM819" s="135"/>
      <c r="HWN819" s="132"/>
      <c r="HWO819" s="132"/>
      <c r="HWP819" s="132"/>
      <c r="HWQ819" s="133"/>
      <c r="HWR819" s="134"/>
      <c r="HWS819" s="134"/>
      <c r="HWT819" s="134"/>
      <c r="HWU819" s="135"/>
      <c r="HWV819" s="133"/>
      <c r="HWW819" s="134"/>
      <c r="HWX819" s="134"/>
      <c r="HWY819" s="134"/>
      <c r="HWZ819" s="135"/>
      <c r="HXA819" s="132"/>
      <c r="HXB819" s="132"/>
      <c r="HXC819" s="132"/>
      <c r="HXD819" s="133"/>
      <c r="HXE819" s="134"/>
      <c r="HXF819" s="134"/>
      <c r="HXG819" s="134"/>
      <c r="HXH819" s="135"/>
      <c r="HXI819" s="133"/>
      <c r="HXJ819" s="134"/>
      <c r="HXK819" s="134"/>
      <c r="HXL819" s="134"/>
      <c r="HXM819" s="135"/>
      <c r="HXN819" s="132"/>
      <c r="HXO819" s="132"/>
      <c r="HXP819" s="132"/>
      <c r="HXQ819" s="133"/>
      <c r="HXR819" s="134"/>
      <c r="HXS819" s="134"/>
      <c r="HXT819" s="134"/>
      <c r="HXU819" s="135"/>
      <c r="HXV819" s="133"/>
      <c r="HXW819" s="134"/>
      <c r="HXX819" s="134"/>
      <c r="HXY819" s="134"/>
      <c r="HXZ819" s="135"/>
      <c r="HYA819" s="132"/>
      <c r="HYB819" s="132"/>
      <c r="HYC819" s="132"/>
      <c r="HYD819" s="133"/>
      <c r="HYE819" s="134"/>
      <c r="HYF819" s="134"/>
      <c r="HYG819" s="134"/>
      <c r="HYH819" s="135"/>
      <c r="HYI819" s="133"/>
      <c r="HYJ819" s="134"/>
      <c r="HYK819" s="134"/>
      <c r="HYL819" s="134"/>
      <c r="HYM819" s="135"/>
      <c r="HYN819" s="132"/>
      <c r="HYO819" s="132"/>
      <c r="HYP819" s="132"/>
      <c r="HYQ819" s="133"/>
      <c r="HYR819" s="134"/>
      <c r="HYS819" s="134"/>
      <c r="HYT819" s="134"/>
      <c r="HYU819" s="135"/>
      <c r="HYV819" s="133"/>
      <c r="HYW819" s="134"/>
      <c r="HYX819" s="134"/>
      <c r="HYY819" s="134"/>
      <c r="HYZ819" s="135"/>
      <c r="HZA819" s="132"/>
      <c r="HZB819" s="132"/>
      <c r="HZC819" s="132"/>
      <c r="HZD819" s="133"/>
      <c r="HZE819" s="134"/>
      <c r="HZF819" s="134"/>
      <c r="HZG819" s="134"/>
      <c r="HZH819" s="135"/>
      <c r="HZI819" s="133"/>
      <c r="HZJ819" s="134"/>
      <c r="HZK819" s="134"/>
      <c r="HZL819" s="134"/>
      <c r="HZM819" s="135"/>
      <c r="HZN819" s="132"/>
      <c r="HZO819" s="132"/>
      <c r="HZP819" s="132"/>
      <c r="HZQ819" s="133"/>
      <c r="HZR819" s="134"/>
      <c r="HZS819" s="134"/>
      <c r="HZT819" s="134"/>
      <c r="HZU819" s="135"/>
      <c r="HZV819" s="133"/>
      <c r="HZW819" s="134"/>
      <c r="HZX819" s="134"/>
      <c r="HZY819" s="134"/>
      <c r="HZZ819" s="135"/>
      <c r="IAA819" s="132"/>
      <c r="IAB819" s="132"/>
      <c r="IAC819" s="132"/>
      <c r="IAD819" s="133"/>
      <c r="IAE819" s="134"/>
      <c r="IAF819" s="134"/>
      <c r="IAG819" s="134"/>
      <c r="IAH819" s="135"/>
      <c r="IAI819" s="133"/>
      <c r="IAJ819" s="134"/>
      <c r="IAK819" s="134"/>
      <c r="IAL819" s="134"/>
      <c r="IAM819" s="135"/>
      <c r="IAN819" s="132"/>
      <c r="IAO819" s="132"/>
      <c r="IAP819" s="132"/>
      <c r="IAQ819" s="133"/>
      <c r="IAR819" s="134"/>
      <c r="IAS819" s="134"/>
      <c r="IAT819" s="134"/>
      <c r="IAU819" s="135"/>
      <c r="IAV819" s="133"/>
      <c r="IAW819" s="134"/>
      <c r="IAX819" s="134"/>
      <c r="IAY819" s="134"/>
      <c r="IAZ819" s="135"/>
      <c r="IBA819" s="132"/>
      <c r="IBB819" s="132"/>
      <c r="IBC819" s="132"/>
      <c r="IBD819" s="133"/>
      <c r="IBE819" s="134"/>
      <c r="IBF819" s="134"/>
      <c r="IBG819" s="134"/>
      <c r="IBH819" s="135"/>
      <c r="IBI819" s="133"/>
      <c r="IBJ819" s="134"/>
      <c r="IBK819" s="134"/>
      <c r="IBL819" s="134"/>
      <c r="IBM819" s="135"/>
      <c r="IBN819" s="132"/>
      <c r="IBO819" s="132"/>
      <c r="IBP819" s="132"/>
      <c r="IBQ819" s="133"/>
      <c r="IBR819" s="134"/>
      <c r="IBS819" s="134"/>
      <c r="IBT819" s="134"/>
      <c r="IBU819" s="135"/>
      <c r="IBV819" s="133"/>
      <c r="IBW819" s="134"/>
      <c r="IBX819" s="134"/>
      <c r="IBY819" s="134"/>
      <c r="IBZ819" s="135"/>
      <c r="ICA819" s="132"/>
      <c r="ICB819" s="132"/>
      <c r="ICC819" s="132"/>
      <c r="ICD819" s="133"/>
      <c r="ICE819" s="134"/>
      <c r="ICF819" s="134"/>
      <c r="ICG819" s="134"/>
      <c r="ICH819" s="135"/>
      <c r="ICI819" s="133"/>
      <c r="ICJ819" s="134"/>
      <c r="ICK819" s="134"/>
      <c r="ICL819" s="134"/>
      <c r="ICM819" s="135"/>
      <c r="ICN819" s="132"/>
      <c r="ICO819" s="132"/>
      <c r="ICP819" s="132"/>
      <c r="ICQ819" s="133"/>
      <c r="ICR819" s="134"/>
      <c r="ICS819" s="134"/>
      <c r="ICT819" s="134"/>
      <c r="ICU819" s="135"/>
      <c r="ICV819" s="133"/>
      <c r="ICW819" s="134"/>
      <c r="ICX819" s="134"/>
      <c r="ICY819" s="134"/>
      <c r="ICZ819" s="135"/>
      <c r="IDA819" s="132"/>
      <c r="IDB819" s="132"/>
      <c r="IDC819" s="132"/>
      <c r="IDD819" s="133"/>
      <c r="IDE819" s="134"/>
      <c r="IDF819" s="134"/>
      <c r="IDG819" s="134"/>
      <c r="IDH819" s="135"/>
      <c r="IDI819" s="133"/>
      <c r="IDJ819" s="134"/>
      <c r="IDK819" s="134"/>
      <c r="IDL819" s="134"/>
      <c r="IDM819" s="135"/>
      <c r="IDN819" s="132"/>
      <c r="IDO819" s="132"/>
      <c r="IDP819" s="132"/>
      <c r="IDQ819" s="133"/>
      <c r="IDR819" s="134"/>
      <c r="IDS819" s="134"/>
      <c r="IDT819" s="134"/>
      <c r="IDU819" s="135"/>
      <c r="IDV819" s="133"/>
      <c r="IDW819" s="134"/>
      <c r="IDX819" s="134"/>
      <c r="IDY819" s="134"/>
      <c r="IDZ819" s="135"/>
      <c r="IEA819" s="132"/>
      <c r="IEB819" s="132"/>
      <c r="IEC819" s="132"/>
      <c r="IED819" s="133"/>
      <c r="IEE819" s="134"/>
      <c r="IEF819" s="134"/>
      <c r="IEG819" s="134"/>
      <c r="IEH819" s="135"/>
      <c r="IEI819" s="133"/>
      <c r="IEJ819" s="134"/>
      <c r="IEK819" s="134"/>
      <c r="IEL819" s="134"/>
      <c r="IEM819" s="135"/>
      <c r="IEN819" s="132"/>
      <c r="IEO819" s="132"/>
      <c r="IEP819" s="132"/>
      <c r="IEQ819" s="133"/>
      <c r="IER819" s="134"/>
      <c r="IES819" s="134"/>
      <c r="IET819" s="134"/>
      <c r="IEU819" s="135"/>
      <c r="IEV819" s="133"/>
      <c r="IEW819" s="134"/>
      <c r="IEX819" s="134"/>
      <c r="IEY819" s="134"/>
      <c r="IEZ819" s="135"/>
      <c r="IFA819" s="132"/>
      <c r="IFB819" s="132"/>
      <c r="IFC819" s="132"/>
      <c r="IFD819" s="133"/>
      <c r="IFE819" s="134"/>
      <c r="IFF819" s="134"/>
      <c r="IFG819" s="134"/>
      <c r="IFH819" s="135"/>
      <c r="IFI819" s="133"/>
      <c r="IFJ819" s="134"/>
      <c r="IFK819" s="134"/>
      <c r="IFL819" s="134"/>
      <c r="IFM819" s="135"/>
      <c r="IFN819" s="132"/>
      <c r="IFO819" s="132"/>
      <c r="IFP819" s="132"/>
      <c r="IFQ819" s="133"/>
      <c r="IFR819" s="134"/>
      <c r="IFS819" s="134"/>
      <c r="IFT819" s="134"/>
      <c r="IFU819" s="135"/>
      <c r="IFV819" s="133"/>
      <c r="IFW819" s="134"/>
      <c r="IFX819" s="134"/>
      <c r="IFY819" s="134"/>
      <c r="IFZ819" s="135"/>
      <c r="IGA819" s="132"/>
      <c r="IGB819" s="132"/>
      <c r="IGC819" s="132"/>
      <c r="IGD819" s="133"/>
      <c r="IGE819" s="134"/>
      <c r="IGF819" s="134"/>
      <c r="IGG819" s="134"/>
      <c r="IGH819" s="135"/>
      <c r="IGI819" s="133"/>
      <c r="IGJ819" s="134"/>
      <c r="IGK819" s="134"/>
      <c r="IGL819" s="134"/>
      <c r="IGM819" s="135"/>
      <c r="IGN819" s="132"/>
      <c r="IGO819" s="132"/>
      <c r="IGP819" s="132"/>
      <c r="IGQ819" s="133"/>
      <c r="IGR819" s="134"/>
      <c r="IGS819" s="134"/>
      <c r="IGT819" s="134"/>
      <c r="IGU819" s="135"/>
      <c r="IGV819" s="133"/>
      <c r="IGW819" s="134"/>
      <c r="IGX819" s="134"/>
      <c r="IGY819" s="134"/>
      <c r="IGZ819" s="135"/>
      <c r="IHA819" s="132"/>
      <c r="IHB819" s="132"/>
      <c r="IHC819" s="132"/>
      <c r="IHD819" s="133"/>
      <c r="IHE819" s="134"/>
      <c r="IHF819" s="134"/>
      <c r="IHG819" s="134"/>
      <c r="IHH819" s="135"/>
      <c r="IHI819" s="133"/>
      <c r="IHJ819" s="134"/>
      <c r="IHK819" s="134"/>
      <c r="IHL819" s="134"/>
      <c r="IHM819" s="135"/>
      <c r="IHN819" s="132"/>
      <c r="IHO819" s="132"/>
      <c r="IHP819" s="132"/>
      <c r="IHQ819" s="133"/>
      <c r="IHR819" s="134"/>
      <c r="IHS819" s="134"/>
      <c r="IHT819" s="134"/>
      <c r="IHU819" s="135"/>
      <c r="IHV819" s="133"/>
      <c r="IHW819" s="134"/>
      <c r="IHX819" s="134"/>
      <c r="IHY819" s="134"/>
      <c r="IHZ819" s="135"/>
      <c r="IIA819" s="132"/>
      <c r="IIB819" s="132"/>
      <c r="IIC819" s="132"/>
      <c r="IID819" s="133"/>
      <c r="IIE819" s="134"/>
      <c r="IIF819" s="134"/>
      <c r="IIG819" s="134"/>
      <c r="IIH819" s="135"/>
      <c r="III819" s="133"/>
      <c r="IIJ819" s="134"/>
      <c r="IIK819" s="134"/>
      <c r="IIL819" s="134"/>
      <c r="IIM819" s="135"/>
      <c r="IIN819" s="132"/>
      <c r="IIO819" s="132"/>
      <c r="IIP819" s="132"/>
      <c r="IIQ819" s="133"/>
      <c r="IIR819" s="134"/>
      <c r="IIS819" s="134"/>
      <c r="IIT819" s="134"/>
      <c r="IIU819" s="135"/>
      <c r="IIV819" s="133"/>
      <c r="IIW819" s="134"/>
      <c r="IIX819" s="134"/>
      <c r="IIY819" s="134"/>
      <c r="IIZ819" s="135"/>
      <c r="IJA819" s="132"/>
      <c r="IJB819" s="132"/>
      <c r="IJC819" s="132"/>
      <c r="IJD819" s="133"/>
      <c r="IJE819" s="134"/>
      <c r="IJF819" s="134"/>
      <c r="IJG819" s="134"/>
      <c r="IJH819" s="135"/>
      <c r="IJI819" s="133"/>
      <c r="IJJ819" s="134"/>
      <c r="IJK819" s="134"/>
      <c r="IJL819" s="134"/>
      <c r="IJM819" s="135"/>
      <c r="IJN819" s="132"/>
      <c r="IJO819" s="132"/>
      <c r="IJP819" s="132"/>
      <c r="IJQ819" s="133"/>
      <c r="IJR819" s="134"/>
      <c r="IJS819" s="134"/>
      <c r="IJT819" s="134"/>
      <c r="IJU819" s="135"/>
      <c r="IJV819" s="133"/>
      <c r="IJW819" s="134"/>
      <c r="IJX819" s="134"/>
      <c r="IJY819" s="134"/>
      <c r="IJZ819" s="135"/>
      <c r="IKA819" s="132"/>
      <c r="IKB819" s="132"/>
      <c r="IKC819" s="132"/>
      <c r="IKD819" s="133"/>
      <c r="IKE819" s="134"/>
      <c r="IKF819" s="134"/>
      <c r="IKG819" s="134"/>
      <c r="IKH819" s="135"/>
      <c r="IKI819" s="133"/>
      <c r="IKJ819" s="134"/>
      <c r="IKK819" s="134"/>
      <c r="IKL819" s="134"/>
      <c r="IKM819" s="135"/>
      <c r="IKN819" s="132"/>
      <c r="IKO819" s="132"/>
      <c r="IKP819" s="132"/>
      <c r="IKQ819" s="133"/>
      <c r="IKR819" s="134"/>
      <c r="IKS819" s="134"/>
      <c r="IKT819" s="134"/>
      <c r="IKU819" s="135"/>
      <c r="IKV819" s="133"/>
      <c r="IKW819" s="134"/>
      <c r="IKX819" s="134"/>
      <c r="IKY819" s="134"/>
      <c r="IKZ819" s="135"/>
      <c r="ILA819" s="132"/>
      <c r="ILB819" s="132"/>
      <c r="ILC819" s="132"/>
      <c r="ILD819" s="133"/>
      <c r="ILE819" s="134"/>
      <c r="ILF819" s="134"/>
      <c r="ILG819" s="134"/>
      <c r="ILH819" s="135"/>
      <c r="ILI819" s="133"/>
      <c r="ILJ819" s="134"/>
      <c r="ILK819" s="134"/>
      <c r="ILL819" s="134"/>
      <c r="ILM819" s="135"/>
      <c r="ILN819" s="132"/>
      <c r="ILO819" s="132"/>
      <c r="ILP819" s="132"/>
      <c r="ILQ819" s="133"/>
      <c r="ILR819" s="134"/>
      <c r="ILS819" s="134"/>
      <c r="ILT819" s="134"/>
      <c r="ILU819" s="135"/>
      <c r="ILV819" s="133"/>
      <c r="ILW819" s="134"/>
      <c r="ILX819" s="134"/>
      <c r="ILY819" s="134"/>
      <c r="ILZ819" s="135"/>
      <c r="IMA819" s="132"/>
      <c r="IMB819" s="132"/>
      <c r="IMC819" s="132"/>
      <c r="IMD819" s="133"/>
      <c r="IME819" s="134"/>
      <c r="IMF819" s="134"/>
      <c r="IMG819" s="134"/>
      <c r="IMH819" s="135"/>
      <c r="IMI819" s="133"/>
      <c r="IMJ819" s="134"/>
      <c r="IMK819" s="134"/>
      <c r="IML819" s="134"/>
      <c r="IMM819" s="135"/>
      <c r="IMN819" s="132"/>
      <c r="IMO819" s="132"/>
      <c r="IMP819" s="132"/>
      <c r="IMQ819" s="133"/>
      <c r="IMR819" s="134"/>
      <c r="IMS819" s="134"/>
      <c r="IMT819" s="134"/>
      <c r="IMU819" s="135"/>
      <c r="IMV819" s="133"/>
      <c r="IMW819" s="134"/>
      <c r="IMX819" s="134"/>
      <c r="IMY819" s="134"/>
      <c r="IMZ819" s="135"/>
      <c r="INA819" s="132"/>
      <c r="INB819" s="132"/>
      <c r="INC819" s="132"/>
      <c r="IND819" s="133"/>
      <c r="INE819" s="134"/>
      <c r="INF819" s="134"/>
      <c r="ING819" s="134"/>
      <c r="INH819" s="135"/>
      <c r="INI819" s="133"/>
      <c r="INJ819" s="134"/>
      <c r="INK819" s="134"/>
      <c r="INL819" s="134"/>
      <c r="INM819" s="135"/>
      <c r="INN819" s="132"/>
      <c r="INO819" s="132"/>
      <c r="INP819" s="132"/>
      <c r="INQ819" s="133"/>
      <c r="INR819" s="134"/>
      <c r="INS819" s="134"/>
      <c r="INT819" s="134"/>
      <c r="INU819" s="135"/>
      <c r="INV819" s="133"/>
      <c r="INW819" s="134"/>
      <c r="INX819" s="134"/>
      <c r="INY819" s="134"/>
      <c r="INZ819" s="135"/>
      <c r="IOA819" s="132"/>
      <c r="IOB819" s="132"/>
      <c r="IOC819" s="132"/>
      <c r="IOD819" s="133"/>
      <c r="IOE819" s="134"/>
      <c r="IOF819" s="134"/>
      <c r="IOG819" s="134"/>
      <c r="IOH819" s="135"/>
      <c r="IOI819" s="133"/>
      <c r="IOJ819" s="134"/>
      <c r="IOK819" s="134"/>
      <c r="IOL819" s="134"/>
      <c r="IOM819" s="135"/>
      <c r="ION819" s="132"/>
      <c r="IOO819" s="132"/>
      <c r="IOP819" s="132"/>
      <c r="IOQ819" s="133"/>
      <c r="IOR819" s="134"/>
      <c r="IOS819" s="134"/>
      <c r="IOT819" s="134"/>
      <c r="IOU819" s="135"/>
      <c r="IOV819" s="133"/>
      <c r="IOW819" s="134"/>
      <c r="IOX819" s="134"/>
      <c r="IOY819" s="134"/>
      <c r="IOZ819" s="135"/>
      <c r="IPA819" s="132"/>
      <c r="IPB819" s="132"/>
      <c r="IPC819" s="132"/>
      <c r="IPD819" s="133"/>
      <c r="IPE819" s="134"/>
      <c r="IPF819" s="134"/>
      <c r="IPG819" s="134"/>
      <c r="IPH819" s="135"/>
      <c r="IPI819" s="133"/>
      <c r="IPJ819" s="134"/>
      <c r="IPK819" s="134"/>
      <c r="IPL819" s="134"/>
      <c r="IPM819" s="135"/>
      <c r="IPN819" s="132"/>
      <c r="IPO819" s="132"/>
      <c r="IPP819" s="132"/>
      <c r="IPQ819" s="133"/>
      <c r="IPR819" s="134"/>
      <c r="IPS819" s="134"/>
      <c r="IPT819" s="134"/>
      <c r="IPU819" s="135"/>
      <c r="IPV819" s="133"/>
      <c r="IPW819" s="134"/>
      <c r="IPX819" s="134"/>
      <c r="IPY819" s="134"/>
      <c r="IPZ819" s="135"/>
      <c r="IQA819" s="132"/>
      <c r="IQB819" s="132"/>
      <c r="IQC819" s="132"/>
      <c r="IQD819" s="133"/>
      <c r="IQE819" s="134"/>
      <c r="IQF819" s="134"/>
      <c r="IQG819" s="134"/>
      <c r="IQH819" s="135"/>
      <c r="IQI819" s="133"/>
      <c r="IQJ819" s="134"/>
      <c r="IQK819" s="134"/>
      <c r="IQL819" s="134"/>
      <c r="IQM819" s="135"/>
      <c r="IQN819" s="132"/>
      <c r="IQO819" s="132"/>
      <c r="IQP819" s="132"/>
      <c r="IQQ819" s="133"/>
      <c r="IQR819" s="134"/>
      <c r="IQS819" s="134"/>
      <c r="IQT819" s="134"/>
      <c r="IQU819" s="135"/>
      <c r="IQV819" s="133"/>
      <c r="IQW819" s="134"/>
      <c r="IQX819" s="134"/>
      <c r="IQY819" s="134"/>
      <c r="IQZ819" s="135"/>
      <c r="IRA819" s="132"/>
      <c r="IRB819" s="132"/>
      <c r="IRC819" s="132"/>
      <c r="IRD819" s="133"/>
      <c r="IRE819" s="134"/>
      <c r="IRF819" s="134"/>
      <c r="IRG819" s="134"/>
      <c r="IRH819" s="135"/>
      <c r="IRI819" s="133"/>
      <c r="IRJ819" s="134"/>
      <c r="IRK819" s="134"/>
      <c r="IRL819" s="134"/>
      <c r="IRM819" s="135"/>
      <c r="IRN819" s="132"/>
      <c r="IRO819" s="132"/>
      <c r="IRP819" s="132"/>
      <c r="IRQ819" s="133"/>
      <c r="IRR819" s="134"/>
      <c r="IRS819" s="134"/>
      <c r="IRT819" s="134"/>
      <c r="IRU819" s="135"/>
      <c r="IRV819" s="133"/>
      <c r="IRW819" s="134"/>
      <c r="IRX819" s="134"/>
      <c r="IRY819" s="134"/>
      <c r="IRZ819" s="135"/>
      <c r="ISA819" s="132"/>
      <c r="ISB819" s="132"/>
      <c r="ISC819" s="132"/>
      <c r="ISD819" s="133"/>
      <c r="ISE819" s="134"/>
      <c r="ISF819" s="134"/>
      <c r="ISG819" s="134"/>
      <c r="ISH819" s="135"/>
      <c r="ISI819" s="133"/>
      <c r="ISJ819" s="134"/>
      <c r="ISK819" s="134"/>
      <c r="ISL819" s="134"/>
      <c r="ISM819" s="135"/>
      <c r="ISN819" s="132"/>
      <c r="ISO819" s="132"/>
      <c r="ISP819" s="132"/>
      <c r="ISQ819" s="133"/>
      <c r="ISR819" s="134"/>
      <c r="ISS819" s="134"/>
      <c r="IST819" s="134"/>
      <c r="ISU819" s="135"/>
      <c r="ISV819" s="133"/>
      <c r="ISW819" s="134"/>
      <c r="ISX819" s="134"/>
      <c r="ISY819" s="134"/>
      <c r="ISZ819" s="135"/>
      <c r="ITA819" s="132"/>
      <c r="ITB819" s="132"/>
      <c r="ITC819" s="132"/>
      <c r="ITD819" s="133"/>
      <c r="ITE819" s="134"/>
      <c r="ITF819" s="134"/>
      <c r="ITG819" s="134"/>
      <c r="ITH819" s="135"/>
      <c r="ITI819" s="133"/>
      <c r="ITJ819" s="134"/>
      <c r="ITK819" s="134"/>
      <c r="ITL819" s="134"/>
      <c r="ITM819" s="135"/>
      <c r="ITN819" s="132"/>
      <c r="ITO819" s="132"/>
      <c r="ITP819" s="132"/>
      <c r="ITQ819" s="133"/>
      <c r="ITR819" s="134"/>
      <c r="ITS819" s="134"/>
      <c r="ITT819" s="134"/>
      <c r="ITU819" s="135"/>
      <c r="ITV819" s="133"/>
      <c r="ITW819" s="134"/>
      <c r="ITX819" s="134"/>
      <c r="ITY819" s="134"/>
      <c r="ITZ819" s="135"/>
      <c r="IUA819" s="132"/>
      <c r="IUB819" s="132"/>
      <c r="IUC819" s="132"/>
      <c r="IUD819" s="133"/>
      <c r="IUE819" s="134"/>
      <c r="IUF819" s="134"/>
      <c r="IUG819" s="134"/>
      <c r="IUH819" s="135"/>
      <c r="IUI819" s="133"/>
      <c r="IUJ819" s="134"/>
      <c r="IUK819" s="134"/>
      <c r="IUL819" s="134"/>
      <c r="IUM819" s="135"/>
      <c r="IUN819" s="132"/>
      <c r="IUO819" s="132"/>
      <c r="IUP819" s="132"/>
      <c r="IUQ819" s="133"/>
      <c r="IUR819" s="134"/>
      <c r="IUS819" s="134"/>
      <c r="IUT819" s="134"/>
      <c r="IUU819" s="135"/>
      <c r="IUV819" s="133"/>
      <c r="IUW819" s="134"/>
      <c r="IUX819" s="134"/>
      <c r="IUY819" s="134"/>
      <c r="IUZ819" s="135"/>
      <c r="IVA819" s="132"/>
      <c r="IVB819" s="132"/>
      <c r="IVC819" s="132"/>
      <c r="IVD819" s="133"/>
      <c r="IVE819" s="134"/>
      <c r="IVF819" s="134"/>
      <c r="IVG819" s="134"/>
      <c r="IVH819" s="135"/>
      <c r="IVI819" s="133"/>
      <c r="IVJ819" s="134"/>
      <c r="IVK819" s="134"/>
      <c r="IVL819" s="134"/>
      <c r="IVM819" s="135"/>
      <c r="IVN819" s="132"/>
      <c r="IVO819" s="132"/>
      <c r="IVP819" s="132"/>
      <c r="IVQ819" s="133"/>
      <c r="IVR819" s="134"/>
      <c r="IVS819" s="134"/>
      <c r="IVT819" s="134"/>
      <c r="IVU819" s="135"/>
      <c r="IVV819" s="133"/>
      <c r="IVW819" s="134"/>
      <c r="IVX819" s="134"/>
      <c r="IVY819" s="134"/>
      <c r="IVZ819" s="135"/>
      <c r="IWA819" s="132"/>
      <c r="IWB819" s="132"/>
      <c r="IWC819" s="132"/>
      <c r="IWD819" s="133"/>
      <c r="IWE819" s="134"/>
      <c r="IWF819" s="134"/>
      <c r="IWG819" s="134"/>
      <c r="IWH819" s="135"/>
      <c r="IWI819" s="133"/>
      <c r="IWJ819" s="134"/>
      <c r="IWK819" s="134"/>
      <c r="IWL819" s="134"/>
      <c r="IWM819" s="135"/>
      <c r="IWN819" s="132"/>
      <c r="IWO819" s="132"/>
      <c r="IWP819" s="132"/>
      <c r="IWQ819" s="133"/>
      <c r="IWR819" s="134"/>
      <c r="IWS819" s="134"/>
      <c r="IWT819" s="134"/>
      <c r="IWU819" s="135"/>
      <c r="IWV819" s="133"/>
      <c r="IWW819" s="134"/>
      <c r="IWX819" s="134"/>
      <c r="IWY819" s="134"/>
      <c r="IWZ819" s="135"/>
      <c r="IXA819" s="132"/>
      <c r="IXB819" s="132"/>
      <c r="IXC819" s="132"/>
      <c r="IXD819" s="133"/>
      <c r="IXE819" s="134"/>
      <c r="IXF819" s="134"/>
      <c r="IXG819" s="134"/>
      <c r="IXH819" s="135"/>
      <c r="IXI819" s="133"/>
      <c r="IXJ819" s="134"/>
      <c r="IXK819" s="134"/>
      <c r="IXL819" s="134"/>
      <c r="IXM819" s="135"/>
      <c r="IXN819" s="132"/>
      <c r="IXO819" s="132"/>
      <c r="IXP819" s="132"/>
      <c r="IXQ819" s="133"/>
      <c r="IXR819" s="134"/>
      <c r="IXS819" s="134"/>
      <c r="IXT819" s="134"/>
      <c r="IXU819" s="135"/>
      <c r="IXV819" s="133"/>
      <c r="IXW819" s="134"/>
      <c r="IXX819" s="134"/>
      <c r="IXY819" s="134"/>
      <c r="IXZ819" s="135"/>
      <c r="IYA819" s="132"/>
      <c r="IYB819" s="132"/>
      <c r="IYC819" s="132"/>
      <c r="IYD819" s="133"/>
      <c r="IYE819" s="134"/>
      <c r="IYF819" s="134"/>
      <c r="IYG819" s="134"/>
      <c r="IYH819" s="135"/>
      <c r="IYI819" s="133"/>
      <c r="IYJ819" s="134"/>
      <c r="IYK819" s="134"/>
      <c r="IYL819" s="134"/>
      <c r="IYM819" s="135"/>
      <c r="IYN819" s="132"/>
      <c r="IYO819" s="132"/>
      <c r="IYP819" s="132"/>
      <c r="IYQ819" s="133"/>
      <c r="IYR819" s="134"/>
      <c r="IYS819" s="134"/>
      <c r="IYT819" s="134"/>
      <c r="IYU819" s="135"/>
      <c r="IYV819" s="133"/>
      <c r="IYW819" s="134"/>
      <c r="IYX819" s="134"/>
      <c r="IYY819" s="134"/>
      <c r="IYZ819" s="135"/>
      <c r="IZA819" s="132"/>
      <c r="IZB819" s="132"/>
      <c r="IZC819" s="132"/>
      <c r="IZD819" s="133"/>
      <c r="IZE819" s="134"/>
      <c r="IZF819" s="134"/>
      <c r="IZG819" s="134"/>
      <c r="IZH819" s="135"/>
      <c r="IZI819" s="133"/>
      <c r="IZJ819" s="134"/>
      <c r="IZK819" s="134"/>
      <c r="IZL819" s="134"/>
      <c r="IZM819" s="135"/>
      <c r="IZN819" s="132"/>
      <c r="IZO819" s="132"/>
      <c r="IZP819" s="132"/>
      <c r="IZQ819" s="133"/>
      <c r="IZR819" s="134"/>
      <c r="IZS819" s="134"/>
      <c r="IZT819" s="134"/>
      <c r="IZU819" s="135"/>
      <c r="IZV819" s="133"/>
      <c r="IZW819" s="134"/>
      <c r="IZX819" s="134"/>
      <c r="IZY819" s="134"/>
      <c r="IZZ819" s="135"/>
      <c r="JAA819" s="132"/>
      <c r="JAB819" s="132"/>
      <c r="JAC819" s="132"/>
      <c r="JAD819" s="133"/>
      <c r="JAE819" s="134"/>
      <c r="JAF819" s="134"/>
      <c r="JAG819" s="134"/>
      <c r="JAH819" s="135"/>
      <c r="JAI819" s="133"/>
      <c r="JAJ819" s="134"/>
      <c r="JAK819" s="134"/>
      <c r="JAL819" s="134"/>
      <c r="JAM819" s="135"/>
      <c r="JAN819" s="132"/>
      <c r="JAO819" s="132"/>
      <c r="JAP819" s="132"/>
      <c r="JAQ819" s="133"/>
      <c r="JAR819" s="134"/>
      <c r="JAS819" s="134"/>
      <c r="JAT819" s="134"/>
      <c r="JAU819" s="135"/>
      <c r="JAV819" s="133"/>
      <c r="JAW819" s="134"/>
      <c r="JAX819" s="134"/>
      <c r="JAY819" s="134"/>
      <c r="JAZ819" s="135"/>
      <c r="JBA819" s="132"/>
      <c r="JBB819" s="132"/>
      <c r="JBC819" s="132"/>
      <c r="JBD819" s="133"/>
      <c r="JBE819" s="134"/>
      <c r="JBF819" s="134"/>
      <c r="JBG819" s="134"/>
      <c r="JBH819" s="135"/>
      <c r="JBI819" s="133"/>
      <c r="JBJ819" s="134"/>
      <c r="JBK819" s="134"/>
      <c r="JBL819" s="134"/>
      <c r="JBM819" s="135"/>
      <c r="JBN819" s="132"/>
      <c r="JBO819" s="132"/>
      <c r="JBP819" s="132"/>
      <c r="JBQ819" s="133"/>
      <c r="JBR819" s="134"/>
      <c r="JBS819" s="134"/>
      <c r="JBT819" s="134"/>
      <c r="JBU819" s="135"/>
      <c r="JBV819" s="133"/>
      <c r="JBW819" s="134"/>
      <c r="JBX819" s="134"/>
      <c r="JBY819" s="134"/>
      <c r="JBZ819" s="135"/>
      <c r="JCA819" s="132"/>
      <c r="JCB819" s="132"/>
      <c r="JCC819" s="132"/>
      <c r="JCD819" s="133"/>
      <c r="JCE819" s="134"/>
      <c r="JCF819" s="134"/>
      <c r="JCG819" s="134"/>
      <c r="JCH819" s="135"/>
      <c r="JCI819" s="133"/>
      <c r="JCJ819" s="134"/>
      <c r="JCK819" s="134"/>
      <c r="JCL819" s="134"/>
      <c r="JCM819" s="135"/>
      <c r="JCN819" s="132"/>
      <c r="JCO819" s="132"/>
      <c r="JCP819" s="132"/>
      <c r="JCQ819" s="133"/>
      <c r="JCR819" s="134"/>
      <c r="JCS819" s="134"/>
      <c r="JCT819" s="134"/>
      <c r="JCU819" s="135"/>
      <c r="JCV819" s="133"/>
      <c r="JCW819" s="134"/>
      <c r="JCX819" s="134"/>
      <c r="JCY819" s="134"/>
      <c r="JCZ819" s="135"/>
      <c r="JDA819" s="132"/>
      <c r="JDB819" s="132"/>
      <c r="JDC819" s="132"/>
      <c r="JDD819" s="133"/>
      <c r="JDE819" s="134"/>
      <c r="JDF819" s="134"/>
      <c r="JDG819" s="134"/>
      <c r="JDH819" s="135"/>
      <c r="JDI819" s="133"/>
      <c r="JDJ819" s="134"/>
      <c r="JDK819" s="134"/>
      <c r="JDL819" s="134"/>
      <c r="JDM819" s="135"/>
      <c r="JDN819" s="132"/>
      <c r="JDO819" s="132"/>
      <c r="JDP819" s="132"/>
      <c r="JDQ819" s="133"/>
      <c r="JDR819" s="134"/>
      <c r="JDS819" s="134"/>
      <c r="JDT819" s="134"/>
      <c r="JDU819" s="135"/>
      <c r="JDV819" s="133"/>
      <c r="JDW819" s="134"/>
      <c r="JDX819" s="134"/>
      <c r="JDY819" s="134"/>
      <c r="JDZ819" s="135"/>
      <c r="JEA819" s="132"/>
      <c r="JEB819" s="132"/>
      <c r="JEC819" s="132"/>
      <c r="JED819" s="133"/>
      <c r="JEE819" s="134"/>
      <c r="JEF819" s="134"/>
      <c r="JEG819" s="134"/>
      <c r="JEH819" s="135"/>
      <c r="JEI819" s="133"/>
      <c r="JEJ819" s="134"/>
      <c r="JEK819" s="134"/>
      <c r="JEL819" s="134"/>
      <c r="JEM819" s="135"/>
      <c r="JEN819" s="132"/>
      <c r="JEO819" s="132"/>
      <c r="JEP819" s="132"/>
      <c r="JEQ819" s="133"/>
      <c r="JER819" s="134"/>
      <c r="JES819" s="134"/>
      <c r="JET819" s="134"/>
      <c r="JEU819" s="135"/>
      <c r="JEV819" s="133"/>
      <c r="JEW819" s="134"/>
      <c r="JEX819" s="134"/>
      <c r="JEY819" s="134"/>
      <c r="JEZ819" s="135"/>
      <c r="JFA819" s="132"/>
      <c r="JFB819" s="132"/>
      <c r="JFC819" s="132"/>
      <c r="JFD819" s="133"/>
      <c r="JFE819" s="134"/>
      <c r="JFF819" s="134"/>
      <c r="JFG819" s="134"/>
      <c r="JFH819" s="135"/>
      <c r="JFI819" s="133"/>
      <c r="JFJ819" s="134"/>
      <c r="JFK819" s="134"/>
      <c r="JFL819" s="134"/>
      <c r="JFM819" s="135"/>
      <c r="JFN819" s="132"/>
      <c r="JFO819" s="132"/>
      <c r="JFP819" s="132"/>
      <c r="JFQ819" s="133"/>
      <c r="JFR819" s="134"/>
      <c r="JFS819" s="134"/>
      <c r="JFT819" s="134"/>
      <c r="JFU819" s="135"/>
      <c r="JFV819" s="133"/>
      <c r="JFW819" s="134"/>
      <c r="JFX819" s="134"/>
      <c r="JFY819" s="134"/>
      <c r="JFZ819" s="135"/>
      <c r="JGA819" s="132"/>
      <c r="JGB819" s="132"/>
      <c r="JGC819" s="132"/>
      <c r="JGD819" s="133"/>
      <c r="JGE819" s="134"/>
      <c r="JGF819" s="134"/>
      <c r="JGG819" s="134"/>
      <c r="JGH819" s="135"/>
      <c r="JGI819" s="133"/>
      <c r="JGJ819" s="134"/>
      <c r="JGK819" s="134"/>
      <c r="JGL819" s="134"/>
      <c r="JGM819" s="135"/>
      <c r="JGN819" s="132"/>
      <c r="JGO819" s="132"/>
      <c r="JGP819" s="132"/>
      <c r="JGQ819" s="133"/>
      <c r="JGR819" s="134"/>
      <c r="JGS819" s="134"/>
      <c r="JGT819" s="134"/>
      <c r="JGU819" s="135"/>
      <c r="JGV819" s="133"/>
      <c r="JGW819" s="134"/>
      <c r="JGX819" s="134"/>
      <c r="JGY819" s="134"/>
      <c r="JGZ819" s="135"/>
      <c r="JHA819" s="132"/>
      <c r="JHB819" s="132"/>
      <c r="JHC819" s="132"/>
      <c r="JHD819" s="133"/>
      <c r="JHE819" s="134"/>
      <c r="JHF819" s="134"/>
      <c r="JHG819" s="134"/>
      <c r="JHH819" s="135"/>
      <c r="JHI819" s="133"/>
      <c r="JHJ819" s="134"/>
      <c r="JHK819" s="134"/>
      <c r="JHL819" s="134"/>
      <c r="JHM819" s="135"/>
      <c r="JHN819" s="132"/>
      <c r="JHO819" s="132"/>
      <c r="JHP819" s="132"/>
      <c r="JHQ819" s="133"/>
      <c r="JHR819" s="134"/>
      <c r="JHS819" s="134"/>
      <c r="JHT819" s="134"/>
      <c r="JHU819" s="135"/>
      <c r="JHV819" s="133"/>
      <c r="JHW819" s="134"/>
      <c r="JHX819" s="134"/>
      <c r="JHY819" s="134"/>
      <c r="JHZ819" s="135"/>
      <c r="JIA819" s="132"/>
      <c r="JIB819" s="132"/>
      <c r="JIC819" s="132"/>
      <c r="JID819" s="133"/>
      <c r="JIE819" s="134"/>
      <c r="JIF819" s="134"/>
      <c r="JIG819" s="134"/>
      <c r="JIH819" s="135"/>
      <c r="JII819" s="133"/>
      <c r="JIJ819" s="134"/>
      <c r="JIK819" s="134"/>
      <c r="JIL819" s="134"/>
      <c r="JIM819" s="135"/>
      <c r="JIN819" s="132"/>
      <c r="JIO819" s="132"/>
      <c r="JIP819" s="132"/>
      <c r="JIQ819" s="133"/>
      <c r="JIR819" s="134"/>
      <c r="JIS819" s="134"/>
      <c r="JIT819" s="134"/>
      <c r="JIU819" s="135"/>
      <c r="JIV819" s="133"/>
      <c r="JIW819" s="134"/>
      <c r="JIX819" s="134"/>
      <c r="JIY819" s="134"/>
      <c r="JIZ819" s="135"/>
      <c r="JJA819" s="132"/>
      <c r="JJB819" s="132"/>
      <c r="JJC819" s="132"/>
      <c r="JJD819" s="133"/>
      <c r="JJE819" s="134"/>
      <c r="JJF819" s="134"/>
      <c r="JJG819" s="134"/>
      <c r="JJH819" s="135"/>
      <c r="JJI819" s="133"/>
      <c r="JJJ819" s="134"/>
      <c r="JJK819" s="134"/>
      <c r="JJL819" s="134"/>
      <c r="JJM819" s="135"/>
      <c r="JJN819" s="132"/>
      <c r="JJO819" s="132"/>
      <c r="JJP819" s="132"/>
      <c r="JJQ819" s="133"/>
      <c r="JJR819" s="134"/>
      <c r="JJS819" s="134"/>
      <c r="JJT819" s="134"/>
      <c r="JJU819" s="135"/>
      <c r="JJV819" s="133"/>
      <c r="JJW819" s="134"/>
      <c r="JJX819" s="134"/>
      <c r="JJY819" s="134"/>
      <c r="JJZ819" s="135"/>
      <c r="JKA819" s="132"/>
      <c r="JKB819" s="132"/>
      <c r="JKC819" s="132"/>
      <c r="JKD819" s="133"/>
      <c r="JKE819" s="134"/>
      <c r="JKF819" s="134"/>
      <c r="JKG819" s="134"/>
      <c r="JKH819" s="135"/>
      <c r="JKI819" s="133"/>
      <c r="JKJ819" s="134"/>
      <c r="JKK819" s="134"/>
      <c r="JKL819" s="134"/>
      <c r="JKM819" s="135"/>
      <c r="JKN819" s="132"/>
      <c r="JKO819" s="132"/>
      <c r="JKP819" s="132"/>
      <c r="JKQ819" s="133"/>
      <c r="JKR819" s="134"/>
      <c r="JKS819" s="134"/>
      <c r="JKT819" s="134"/>
      <c r="JKU819" s="135"/>
      <c r="JKV819" s="133"/>
      <c r="JKW819" s="134"/>
      <c r="JKX819" s="134"/>
      <c r="JKY819" s="134"/>
      <c r="JKZ819" s="135"/>
      <c r="JLA819" s="132"/>
      <c r="JLB819" s="132"/>
      <c r="JLC819" s="132"/>
      <c r="JLD819" s="133"/>
      <c r="JLE819" s="134"/>
      <c r="JLF819" s="134"/>
      <c r="JLG819" s="134"/>
      <c r="JLH819" s="135"/>
      <c r="JLI819" s="133"/>
      <c r="JLJ819" s="134"/>
      <c r="JLK819" s="134"/>
      <c r="JLL819" s="134"/>
      <c r="JLM819" s="135"/>
      <c r="JLN819" s="132"/>
      <c r="JLO819" s="132"/>
      <c r="JLP819" s="132"/>
      <c r="JLQ819" s="133"/>
      <c r="JLR819" s="134"/>
      <c r="JLS819" s="134"/>
      <c r="JLT819" s="134"/>
      <c r="JLU819" s="135"/>
      <c r="JLV819" s="133"/>
      <c r="JLW819" s="134"/>
      <c r="JLX819" s="134"/>
      <c r="JLY819" s="134"/>
      <c r="JLZ819" s="135"/>
      <c r="JMA819" s="132"/>
      <c r="JMB819" s="132"/>
      <c r="JMC819" s="132"/>
      <c r="JMD819" s="133"/>
      <c r="JME819" s="134"/>
      <c r="JMF819" s="134"/>
      <c r="JMG819" s="134"/>
      <c r="JMH819" s="135"/>
      <c r="JMI819" s="133"/>
      <c r="JMJ819" s="134"/>
      <c r="JMK819" s="134"/>
      <c r="JML819" s="134"/>
      <c r="JMM819" s="135"/>
      <c r="JMN819" s="132"/>
      <c r="JMO819" s="132"/>
      <c r="JMP819" s="132"/>
      <c r="JMQ819" s="133"/>
      <c r="JMR819" s="134"/>
      <c r="JMS819" s="134"/>
      <c r="JMT819" s="134"/>
      <c r="JMU819" s="135"/>
      <c r="JMV819" s="133"/>
      <c r="JMW819" s="134"/>
      <c r="JMX819" s="134"/>
      <c r="JMY819" s="134"/>
      <c r="JMZ819" s="135"/>
      <c r="JNA819" s="132"/>
      <c r="JNB819" s="132"/>
      <c r="JNC819" s="132"/>
      <c r="JND819" s="133"/>
      <c r="JNE819" s="134"/>
      <c r="JNF819" s="134"/>
      <c r="JNG819" s="134"/>
      <c r="JNH819" s="135"/>
      <c r="JNI819" s="133"/>
      <c r="JNJ819" s="134"/>
      <c r="JNK819" s="134"/>
      <c r="JNL819" s="134"/>
      <c r="JNM819" s="135"/>
      <c r="JNN819" s="132"/>
      <c r="JNO819" s="132"/>
      <c r="JNP819" s="132"/>
      <c r="JNQ819" s="133"/>
      <c r="JNR819" s="134"/>
      <c r="JNS819" s="134"/>
      <c r="JNT819" s="134"/>
      <c r="JNU819" s="135"/>
      <c r="JNV819" s="133"/>
      <c r="JNW819" s="134"/>
      <c r="JNX819" s="134"/>
      <c r="JNY819" s="134"/>
      <c r="JNZ819" s="135"/>
      <c r="JOA819" s="132"/>
      <c r="JOB819" s="132"/>
      <c r="JOC819" s="132"/>
      <c r="JOD819" s="133"/>
      <c r="JOE819" s="134"/>
      <c r="JOF819" s="134"/>
      <c r="JOG819" s="134"/>
      <c r="JOH819" s="135"/>
      <c r="JOI819" s="133"/>
      <c r="JOJ819" s="134"/>
      <c r="JOK819" s="134"/>
      <c r="JOL819" s="134"/>
      <c r="JOM819" s="135"/>
      <c r="JON819" s="132"/>
      <c r="JOO819" s="132"/>
      <c r="JOP819" s="132"/>
      <c r="JOQ819" s="133"/>
      <c r="JOR819" s="134"/>
      <c r="JOS819" s="134"/>
      <c r="JOT819" s="134"/>
      <c r="JOU819" s="135"/>
      <c r="JOV819" s="133"/>
      <c r="JOW819" s="134"/>
      <c r="JOX819" s="134"/>
      <c r="JOY819" s="134"/>
      <c r="JOZ819" s="135"/>
      <c r="JPA819" s="132"/>
      <c r="JPB819" s="132"/>
      <c r="JPC819" s="132"/>
      <c r="JPD819" s="133"/>
      <c r="JPE819" s="134"/>
      <c r="JPF819" s="134"/>
      <c r="JPG819" s="134"/>
      <c r="JPH819" s="135"/>
      <c r="JPI819" s="133"/>
      <c r="JPJ819" s="134"/>
      <c r="JPK819" s="134"/>
      <c r="JPL819" s="134"/>
      <c r="JPM819" s="135"/>
      <c r="JPN819" s="132"/>
      <c r="JPO819" s="132"/>
      <c r="JPP819" s="132"/>
      <c r="JPQ819" s="133"/>
      <c r="JPR819" s="134"/>
      <c r="JPS819" s="134"/>
      <c r="JPT819" s="134"/>
      <c r="JPU819" s="135"/>
      <c r="JPV819" s="133"/>
      <c r="JPW819" s="134"/>
      <c r="JPX819" s="134"/>
      <c r="JPY819" s="134"/>
      <c r="JPZ819" s="135"/>
      <c r="JQA819" s="132"/>
      <c r="JQB819" s="132"/>
      <c r="JQC819" s="132"/>
      <c r="JQD819" s="133"/>
      <c r="JQE819" s="134"/>
      <c r="JQF819" s="134"/>
      <c r="JQG819" s="134"/>
      <c r="JQH819" s="135"/>
      <c r="JQI819" s="133"/>
      <c r="JQJ819" s="134"/>
      <c r="JQK819" s="134"/>
      <c r="JQL819" s="134"/>
      <c r="JQM819" s="135"/>
      <c r="JQN819" s="132"/>
      <c r="JQO819" s="132"/>
      <c r="JQP819" s="132"/>
      <c r="JQQ819" s="133"/>
      <c r="JQR819" s="134"/>
      <c r="JQS819" s="134"/>
      <c r="JQT819" s="134"/>
      <c r="JQU819" s="135"/>
      <c r="JQV819" s="133"/>
      <c r="JQW819" s="134"/>
      <c r="JQX819" s="134"/>
      <c r="JQY819" s="134"/>
      <c r="JQZ819" s="135"/>
      <c r="JRA819" s="132"/>
      <c r="JRB819" s="132"/>
      <c r="JRC819" s="132"/>
      <c r="JRD819" s="133"/>
      <c r="JRE819" s="134"/>
      <c r="JRF819" s="134"/>
      <c r="JRG819" s="134"/>
      <c r="JRH819" s="135"/>
      <c r="JRI819" s="133"/>
      <c r="JRJ819" s="134"/>
      <c r="JRK819" s="134"/>
      <c r="JRL819" s="134"/>
      <c r="JRM819" s="135"/>
      <c r="JRN819" s="132"/>
      <c r="JRO819" s="132"/>
      <c r="JRP819" s="132"/>
      <c r="JRQ819" s="133"/>
      <c r="JRR819" s="134"/>
      <c r="JRS819" s="134"/>
      <c r="JRT819" s="134"/>
      <c r="JRU819" s="135"/>
      <c r="JRV819" s="133"/>
      <c r="JRW819" s="134"/>
      <c r="JRX819" s="134"/>
      <c r="JRY819" s="134"/>
      <c r="JRZ819" s="135"/>
      <c r="JSA819" s="132"/>
      <c r="JSB819" s="132"/>
      <c r="JSC819" s="132"/>
      <c r="JSD819" s="133"/>
      <c r="JSE819" s="134"/>
      <c r="JSF819" s="134"/>
      <c r="JSG819" s="134"/>
      <c r="JSH819" s="135"/>
      <c r="JSI819" s="133"/>
      <c r="JSJ819" s="134"/>
      <c r="JSK819" s="134"/>
      <c r="JSL819" s="134"/>
      <c r="JSM819" s="135"/>
      <c r="JSN819" s="132"/>
      <c r="JSO819" s="132"/>
      <c r="JSP819" s="132"/>
      <c r="JSQ819" s="133"/>
      <c r="JSR819" s="134"/>
      <c r="JSS819" s="134"/>
      <c r="JST819" s="134"/>
      <c r="JSU819" s="135"/>
      <c r="JSV819" s="133"/>
      <c r="JSW819" s="134"/>
      <c r="JSX819" s="134"/>
      <c r="JSY819" s="134"/>
      <c r="JSZ819" s="135"/>
      <c r="JTA819" s="132"/>
      <c r="JTB819" s="132"/>
      <c r="JTC819" s="132"/>
      <c r="JTD819" s="133"/>
      <c r="JTE819" s="134"/>
      <c r="JTF819" s="134"/>
      <c r="JTG819" s="134"/>
      <c r="JTH819" s="135"/>
      <c r="JTI819" s="133"/>
      <c r="JTJ819" s="134"/>
      <c r="JTK819" s="134"/>
      <c r="JTL819" s="134"/>
      <c r="JTM819" s="135"/>
      <c r="JTN819" s="132"/>
      <c r="JTO819" s="132"/>
      <c r="JTP819" s="132"/>
      <c r="JTQ819" s="133"/>
      <c r="JTR819" s="134"/>
      <c r="JTS819" s="134"/>
      <c r="JTT819" s="134"/>
      <c r="JTU819" s="135"/>
      <c r="JTV819" s="133"/>
      <c r="JTW819" s="134"/>
      <c r="JTX819" s="134"/>
      <c r="JTY819" s="134"/>
      <c r="JTZ819" s="135"/>
      <c r="JUA819" s="132"/>
      <c r="JUB819" s="132"/>
      <c r="JUC819" s="132"/>
      <c r="JUD819" s="133"/>
      <c r="JUE819" s="134"/>
      <c r="JUF819" s="134"/>
      <c r="JUG819" s="134"/>
      <c r="JUH819" s="135"/>
      <c r="JUI819" s="133"/>
      <c r="JUJ819" s="134"/>
      <c r="JUK819" s="134"/>
      <c r="JUL819" s="134"/>
      <c r="JUM819" s="135"/>
      <c r="JUN819" s="132"/>
      <c r="JUO819" s="132"/>
      <c r="JUP819" s="132"/>
      <c r="JUQ819" s="133"/>
      <c r="JUR819" s="134"/>
      <c r="JUS819" s="134"/>
      <c r="JUT819" s="134"/>
      <c r="JUU819" s="135"/>
      <c r="JUV819" s="133"/>
      <c r="JUW819" s="134"/>
      <c r="JUX819" s="134"/>
      <c r="JUY819" s="134"/>
      <c r="JUZ819" s="135"/>
      <c r="JVA819" s="132"/>
      <c r="JVB819" s="132"/>
      <c r="JVC819" s="132"/>
      <c r="JVD819" s="133"/>
      <c r="JVE819" s="134"/>
      <c r="JVF819" s="134"/>
      <c r="JVG819" s="134"/>
      <c r="JVH819" s="135"/>
      <c r="JVI819" s="133"/>
      <c r="JVJ819" s="134"/>
      <c r="JVK819" s="134"/>
      <c r="JVL819" s="134"/>
      <c r="JVM819" s="135"/>
      <c r="JVN819" s="132"/>
      <c r="JVO819" s="132"/>
      <c r="JVP819" s="132"/>
      <c r="JVQ819" s="133"/>
      <c r="JVR819" s="134"/>
      <c r="JVS819" s="134"/>
      <c r="JVT819" s="134"/>
      <c r="JVU819" s="135"/>
      <c r="JVV819" s="133"/>
      <c r="JVW819" s="134"/>
      <c r="JVX819" s="134"/>
      <c r="JVY819" s="134"/>
      <c r="JVZ819" s="135"/>
      <c r="JWA819" s="132"/>
      <c r="JWB819" s="132"/>
      <c r="JWC819" s="132"/>
      <c r="JWD819" s="133"/>
      <c r="JWE819" s="134"/>
      <c r="JWF819" s="134"/>
      <c r="JWG819" s="134"/>
      <c r="JWH819" s="135"/>
      <c r="JWI819" s="133"/>
      <c r="JWJ819" s="134"/>
      <c r="JWK819" s="134"/>
      <c r="JWL819" s="134"/>
      <c r="JWM819" s="135"/>
      <c r="JWN819" s="132"/>
      <c r="JWO819" s="132"/>
      <c r="JWP819" s="132"/>
      <c r="JWQ819" s="133"/>
      <c r="JWR819" s="134"/>
      <c r="JWS819" s="134"/>
      <c r="JWT819" s="134"/>
      <c r="JWU819" s="135"/>
      <c r="JWV819" s="133"/>
      <c r="JWW819" s="134"/>
      <c r="JWX819" s="134"/>
      <c r="JWY819" s="134"/>
      <c r="JWZ819" s="135"/>
      <c r="JXA819" s="132"/>
      <c r="JXB819" s="132"/>
      <c r="JXC819" s="132"/>
      <c r="JXD819" s="133"/>
      <c r="JXE819" s="134"/>
      <c r="JXF819" s="134"/>
      <c r="JXG819" s="134"/>
      <c r="JXH819" s="135"/>
      <c r="JXI819" s="133"/>
      <c r="JXJ819" s="134"/>
      <c r="JXK819" s="134"/>
      <c r="JXL819" s="134"/>
      <c r="JXM819" s="135"/>
      <c r="JXN819" s="132"/>
      <c r="JXO819" s="132"/>
      <c r="JXP819" s="132"/>
      <c r="JXQ819" s="133"/>
      <c r="JXR819" s="134"/>
      <c r="JXS819" s="134"/>
      <c r="JXT819" s="134"/>
      <c r="JXU819" s="135"/>
      <c r="JXV819" s="133"/>
      <c r="JXW819" s="134"/>
      <c r="JXX819" s="134"/>
      <c r="JXY819" s="134"/>
      <c r="JXZ819" s="135"/>
      <c r="JYA819" s="132"/>
      <c r="JYB819" s="132"/>
      <c r="JYC819" s="132"/>
      <c r="JYD819" s="133"/>
      <c r="JYE819" s="134"/>
      <c r="JYF819" s="134"/>
      <c r="JYG819" s="134"/>
      <c r="JYH819" s="135"/>
      <c r="JYI819" s="133"/>
      <c r="JYJ819" s="134"/>
      <c r="JYK819" s="134"/>
      <c r="JYL819" s="134"/>
      <c r="JYM819" s="135"/>
      <c r="JYN819" s="132"/>
      <c r="JYO819" s="132"/>
      <c r="JYP819" s="132"/>
      <c r="JYQ819" s="133"/>
      <c r="JYR819" s="134"/>
      <c r="JYS819" s="134"/>
      <c r="JYT819" s="134"/>
      <c r="JYU819" s="135"/>
      <c r="JYV819" s="133"/>
      <c r="JYW819" s="134"/>
      <c r="JYX819" s="134"/>
      <c r="JYY819" s="134"/>
      <c r="JYZ819" s="135"/>
      <c r="JZA819" s="132"/>
      <c r="JZB819" s="132"/>
      <c r="JZC819" s="132"/>
      <c r="JZD819" s="133"/>
      <c r="JZE819" s="134"/>
      <c r="JZF819" s="134"/>
      <c r="JZG819" s="134"/>
      <c r="JZH819" s="135"/>
      <c r="JZI819" s="133"/>
      <c r="JZJ819" s="134"/>
      <c r="JZK819" s="134"/>
      <c r="JZL819" s="134"/>
      <c r="JZM819" s="135"/>
      <c r="JZN819" s="132"/>
      <c r="JZO819" s="132"/>
      <c r="JZP819" s="132"/>
      <c r="JZQ819" s="133"/>
      <c r="JZR819" s="134"/>
      <c r="JZS819" s="134"/>
      <c r="JZT819" s="134"/>
      <c r="JZU819" s="135"/>
      <c r="JZV819" s="133"/>
      <c r="JZW819" s="134"/>
      <c r="JZX819" s="134"/>
      <c r="JZY819" s="134"/>
      <c r="JZZ819" s="135"/>
      <c r="KAA819" s="132"/>
      <c r="KAB819" s="132"/>
      <c r="KAC819" s="132"/>
      <c r="KAD819" s="133"/>
      <c r="KAE819" s="134"/>
      <c r="KAF819" s="134"/>
      <c r="KAG819" s="134"/>
      <c r="KAH819" s="135"/>
      <c r="KAI819" s="133"/>
      <c r="KAJ819" s="134"/>
      <c r="KAK819" s="134"/>
      <c r="KAL819" s="134"/>
      <c r="KAM819" s="135"/>
      <c r="KAN819" s="132"/>
      <c r="KAO819" s="132"/>
      <c r="KAP819" s="132"/>
      <c r="KAQ819" s="133"/>
      <c r="KAR819" s="134"/>
      <c r="KAS819" s="134"/>
      <c r="KAT819" s="134"/>
      <c r="KAU819" s="135"/>
      <c r="KAV819" s="133"/>
      <c r="KAW819" s="134"/>
      <c r="KAX819" s="134"/>
      <c r="KAY819" s="134"/>
      <c r="KAZ819" s="135"/>
      <c r="KBA819" s="132"/>
      <c r="KBB819" s="132"/>
      <c r="KBC819" s="132"/>
      <c r="KBD819" s="133"/>
      <c r="KBE819" s="134"/>
      <c r="KBF819" s="134"/>
      <c r="KBG819" s="134"/>
      <c r="KBH819" s="135"/>
      <c r="KBI819" s="133"/>
      <c r="KBJ819" s="134"/>
      <c r="KBK819" s="134"/>
      <c r="KBL819" s="134"/>
      <c r="KBM819" s="135"/>
      <c r="KBN819" s="132"/>
      <c r="KBO819" s="132"/>
      <c r="KBP819" s="132"/>
      <c r="KBQ819" s="133"/>
      <c r="KBR819" s="134"/>
      <c r="KBS819" s="134"/>
      <c r="KBT819" s="134"/>
      <c r="KBU819" s="135"/>
      <c r="KBV819" s="133"/>
      <c r="KBW819" s="134"/>
      <c r="KBX819" s="134"/>
      <c r="KBY819" s="134"/>
      <c r="KBZ819" s="135"/>
      <c r="KCA819" s="132"/>
      <c r="KCB819" s="132"/>
      <c r="KCC819" s="132"/>
      <c r="KCD819" s="133"/>
      <c r="KCE819" s="134"/>
      <c r="KCF819" s="134"/>
      <c r="KCG819" s="134"/>
      <c r="KCH819" s="135"/>
      <c r="KCI819" s="133"/>
      <c r="KCJ819" s="134"/>
      <c r="KCK819" s="134"/>
      <c r="KCL819" s="134"/>
      <c r="KCM819" s="135"/>
      <c r="KCN819" s="132"/>
      <c r="KCO819" s="132"/>
      <c r="KCP819" s="132"/>
      <c r="KCQ819" s="133"/>
      <c r="KCR819" s="134"/>
      <c r="KCS819" s="134"/>
      <c r="KCT819" s="134"/>
      <c r="KCU819" s="135"/>
      <c r="KCV819" s="133"/>
      <c r="KCW819" s="134"/>
      <c r="KCX819" s="134"/>
      <c r="KCY819" s="134"/>
      <c r="KCZ819" s="135"/>
      <c r="KDA819" s="132"/>
      <c r="KDB819" s="132"/>
      <c r="KDC819" s="132"/>
      <c r="KDD819" s="133"/>
      <c r="KDE819" s="134"/>
      <c r="KDF819" s="134"/>
      <c r="KDG819" s="134"/>
      <c r="KDH819" s="135"/>
      <c r="KDI819" s="133"/>
      <c r="KDJ819" s="134"/>
      <c r="KDK819" s="134"/>
      <c r="KDL819" s="134"/>
      <c r="KDM819" s="135"/>
      <c r="KDN819" s="132"/>
      <c r="KDO819" s="132"/>
      <c r="KDP819" s="132"/>
      <c r="KDQ819" s="133"/>
      <c r="KDR819" s="134"/>
      <c r="KDS819" s="134"/>
      <c r="KDT819" s="134"/>
      <c r="KDU819" s="135"/>
      <c r="KDV819" s="133"/>
      <c r="KDW819" s="134"/>
      <c r="KDX819" s="134"/>
      <c r="KDY819" s="134"/>
      <c r="KDZ819" s="135"/>
      <c r="KEA819" s="132"/>
      <c r="KEB819" s="132"/>
      <c r="KEC819" s="132"/>
      <c r="KED819" s="133"/>
      <c r="KEE819" s="134"/>
      <c r="KEF819" s="134"/>
      <c r="KEG819" s="134"/>
      <c r="KEH819" s="135"/>
      <c r="KEI819" s="133"/>
      <c r="KEJ819" s="134"/>
      <c r="KEK819" s="134"/>
      <c r="KEL819" s="134"/>
      <c r="KEM819" s="135"/>
      <c r="KEN819" s="132"/>
      <c r="KEO819" s="132"/>
      <c r="KEP819" s="132"/>
      <c r="KEQ819" s="133"/>
      <c r="KER819" s="134"/>
      <c r="KES819" s="134"/>
      <c r="KET819" s="134"/>
      <c r="KEU819" s="135"/>
      <c r="KEV819" s="133"/>
      <c r="KEW819" s="134"/>
      <c r="KEX819" s="134"/>
      <c r="KEY819" s="134"/>
      <c r="KEZ819" s="135"/>
      <c r="KFA819" s="132"/>
      <c r="KFB819" s="132"/>
      <c r="KFC819" s="132"/>
      <c r="KFD819" s="133"/>
      <c r="KFE819" s="134"/>
      <c r="KFF819" s="134"/>
      <c r="KFG819" s="134"/>
      <c r="KFH819" s="135"/>
      <c r="KFI819" s="133"/>
      <c r="KFJ819" s="134"/>
      <c r="KFK819" s="134"/>
      <c r="KFL819" s="134"/>
      <c r="KFM819" s="135"/>
      <c r="KFN819" s="132"/>
      <c r="KFO819" s="132"/>
      <c r="KFP819" s="132"/>
      <c r="KFQ819" s="133"/>
      <c r="KFR819" s="134"/>
      <c r="KFS819" s="134"/>
      <c r="KFT819" s="134"/>
      <c r="KFU819" s="135"/>
      <c r="KFV819" s="133"/>
      <c r="KFW819" s="134"/>
      <c r="KFX819" s="134"/>
      <c r="KFY819" s="134"/>
      <c r="KFZ819" s="135"/>
      <c r="KGA819" s="132"/>
      <c r="KGB819" s="132"/>
      <c r="KGC819" s="132"/>
      <c r="KGD819" s="133"/>
      <c r="KGE819" s="134"/>
      <c r="KGF819" s="134"/>
      <c r="KGG819" s="134"/>
      <c r="KGH819" s="135"/>
      <c r="KGI819" s="133"/>
      <c r="KGJ819" s="134"/>
      <c r="KGK819" s="134"/>
      <c r="KGL819" s="134"/>
      <c r="KGM819" s="135"/>
      <c r="KGN819" s="132"/>
      <c r="KGO819" s="132"/>
      <c r="KGP819" s="132"/>
      <c r="KGQ819" s="133"/>
      <c r="KGR819" s="134"/>
      <c r="KGS819" s="134"/>
      <c r="KGT819" s="134"/>
      <c r="KGU819" s="135"/>
      <c r="KGV819" s="133"/>
      <c r="KGW819" s="134"/>
      <c r="KGX819" s="134"/>
      <c r="KGY819" s="134"/>
      <c r="KGZ819" s="135"/>
      <c r="KHA819" s="132"/>
      <c r="KHB819" s="132"/>
      <c r="KHC819" s="132"/>
      <c r="KHD819" s="133"/>
      <c r="KHE819" s="134"/>
      <c r="KHF819" s="134"/>
      <c r="KHG819" s="134"/>
      <c r="KHH819" s="135"/>
      <c r="KHI819" s="133"/>
      <c r="KHJ819" s="134"/>
      <c r="KHK819" s="134"/>
      <c r="KHL819" s="134"/>
      <c r="KHM819" s="135"/>
      <c r="KHN819" s="132"/>
      <c r="KHO819" s="132"/>
      <c r="KHP819" s="132"/>
      <c r="KHQ819" s="133"/>
      <c r="KHR819" s="134"/>
      <c r="KHS819" s="134"/>
      <c r="KHT819" s="134"/>
      <c r="KHU819" s="135"/>
      <c r="KHV819" s="133"/>
      <c r="KHW819" s="134"/>
      <c r="KHX819" s="134"/>
      <c r="KHY819" s="134"/>
      <c r="KHZ819" s="135"/>
      <c r="KIA819" s="132"/>
      <c r="KIB819" s="132"/>
      <c r="KIC819" s="132"/>
      <c r="KID819" s="133"/>
      <c r="KIE819" s="134"/>
      <c r="KIF819" s="134"/>
      <c r="KIG819" s="134"/>
      <c r="KIH819" s="135"/>
      <c r="KII819" s="133"/>
      <c r="KIJ819" s="134"/>
      <c r="KIK819" s="134"/>
      <c r="KIL819" s="134"/>
      <c r="KIM819" s="135"/>
      <c r="KIN819" s="132"/>
      <c r="KIO819" s="132"/>
      <c r="KIP819" s="132"/>
      <c r="KIQ819" s="133"/>
      <c r="KIR819" s="134"/>
      <c r="KIS819" s="134"/>
      <c r="KIT819" s="134"/>
      <c r="KIU819" s="135"/>
      <c r="KIV819" s="133"/>
      <c r="KIW819" s="134"/>
      <c r="KIX819" s="134"/>
      <c r="KIY819" s="134"/>
      <c r="KIZ819" s="135"/>
      <c r="KJA819" s="132"/>
      <c r="KJB819" s="132"/>
      <c r="KJC819" s="132"/>
      <c r="KJD819" s="133"/>
      <c r="KJE819" s="134"/>
      <c r="KJF819" s="134"/>
      <c r="KJG819" s="134"/>
      <c r="KJH819" s="135"/>
      <c r="KJI819" s="133"/>
      <c r="KJJ819" s="134"/>
      <c r="KJK819" s="134"/>
      <c r="KJL819" s="134"/>
      <c r="KJM819" s="135"/>
      <c r="KJN819" s="132"/>
      <c r="KJO819" s="132"/>
      <c r="KJP819" s="132"/>
      <c r="KJQ819" s="133"/>
      <c r="KJR819" s="134"/>
      <c r="KJS819" s="134"/>
      <c r="KJT819" s="134"/>
      <c r="KJU819" s="135"/>
      <c r="KJV819" s="133"/>
      <c r="KJW819" s="134"/>
      <c r="KJX819" s="134"/>
      <c r="KJY819" s="134"/>
      <c r="KJZ819" s="135"/>
      <c r="KKA819" s="132"/>
      <c r="KKB819" s="132"/>
      <c r="KKC819" s="132"/>
      <c r="KKD819" s="133"/>
      <c r="KKE819" s="134"/>
      <c r="KKF819" s="134"/>
      <c r="KKG819" s="134"/>
      <c r="KKH819" s="135"/>
      <c r="KKI819" s="133"/>
      <c r="KKJ819" s="134"/>
      <c r="KKK819" s="134"/>
      <c r="KKL819" s="134"/>
      <c r="KKM819" s="135"/>
      <c r="KKN819" s="132"/>
      <c r="KKO819" s="132"/>
      <c r="KKP819" s="132"/>
      <c r="KKQ819" s="133"/>
      <c r="KKR819" s="134"/>
      <c r="KKS819" s="134"/>
      <c r="KKT819" s="134"/>
      <c r="KKU819" s="135"/>
      <c r="KKV819" s="133"/>
      <c r="KKW819" s="134"/>
      <c r="KKX819" s="134"/>
      <c r="KKY819" s="134"/>
      <c r="KKZ819" s="135"/>
      <c r="KLA819" s="132"/>
      <c r="KLB819" s="132"/>
      <c r="KLC819" s="132"/>
      <c r="KLD819" s="133"/>
      <c r="KLE819" s="134"/>
      <c r="KLF819" s="134"/>
      <c r="KLG819" s="134"/>
      <c r="KLH819" s="135"/>
      <c r="KLI819" s="133"/>
      <c r="KLJ819" s="134"/>
      <c r="KLK819" s="134"/>
      <c r="KLL819" s="134"/>
      <c r="KLM819" s="135"/>
      <c r="KLN819" s="132"/>
      <c r="KLO819" s="132"/>
      <c r="KLP819" s="132"/>
      <c r="KLQ819" s="133"/>
      <c r="KLR819" s="134"/>
      <c r="KLS819" s="134"/>
      <c r="KLT819" s="134"/>
      <c r="KLU819" s="135"/>
      <c r="KLV819" s="133"/>
      <c r="KLW819" s="134"/>
      <c r="KLX819" s="134"/>
      <c r="KLY819" s="134"/>
      <c r="KLZ819" s="135"/>
      <c r="KMA819" s="132"/>
      <c r="KMB819" s="132"/>
      <c r="KMC819" s="132"/>
      <c r="KMD819" s="133"/>
      <c r="KME819" s="134"/>
      <c r="KMF819" s="134"/>
      <c r="KMG819" s="134"/>
      <c r="KMH819" s="135"/>
      <c r="KMI819" s="133"/>
      <c r="KMJ819" s="134"/>
      <c r="KMK819" s="134"/>
      <c r="KML819" s="134"/>
      <c r="KMM819" s="135"/>
      <c r="KMN819" s="132"/>
      <c r="KMO819" s="132"/>
      <c r="KMP819" s="132"/>
      <c r="KMQ819" s="133"/>
      <c r="KMR819" s="134"/>
      <c r="KMS819" s="134"/>
      <c r="KMT819" s="134"/>
      <c r="KMU819" s="135"/>
      <c r="KMV819" s="133"/>
      <c r="KMW819" s="134"/>
      <c r="KMX819" s="134"/>
      <c r="KMY819" s="134"/>
      <c r="KMZ819" s="135"/>
      <c r="KNA819" s="132"/>
      <c r="KNB819" s="132"/>
      <c r="KNC819" s="132"/>
      <c r="KND819" s="133"/>
      <c r="KNE819" s="134"/>
      <c r="KNF819" s="134"/>
      <c r="KNG819" s="134"/>
      <c r="KNH819" s="135"/>
      <c r="KNI819" s="133"/>
      <c r="KNJ819" s="134"/>
      <c r="KNK819" s="134"/>
      <c r="KNL819" s="134"/>
      <c r="KNM819" s="135"/>
      <c r="KNN819" s="132"/>
      <c r="KNO819" s="132"/>
      <c r="KNP819" s="132"/>
      <c r="KNQ819" s="133"/>
      <c r="KNR819" s="134"/>
      <c r="KNS819" s="134"/>
      <c r="KNT819" s="134"/>
      <c r="KNU819" s="135"/>
      <c r="KNV819" s="133"/>
      <c r="KNW819" s="134"/>
      <c r="KNX819" s="134"/>
      <c r="KNY819" s="134"/>
      <c r="KNZ819" s="135"/>
      <c r="KOA819" s="132"/>
      <c r="KOB819" s="132"/>
      <c r="KOC819" s="132"/>
      <c r="KOD819" s="133"/>
      <c r="KOE819" s="134"/>
      <c r="KOF819" s="134"/>
      <c r="KOG819" s="134"/>
      <c r="KOH819" s="135"/>
      <c r="KOI819" s="133"/>
      <c r="KOJ819" s="134"/>
      <c r="KOK819" s="134"/>
      <c r="KOL819" s="134"/>
      <c r="KOM819" s="135"/>
      <c r="KON819" s="132"/>
      <c r="KOO819" s="132"/>
      <c r="KOP819" s="132"/>
      <c r="KOQ819" s="133"/>
      <c r="KOR819" s="134"/>
      <c r="KOS819" s="134"/>
      <c r="KOT819" s="134"/>
      <c r="KOU819" s="135"/>
      <c r="KOV819" s="133"/>
      <c r="KOW819" s="134"/>
      <c r="KOX819" s="134"/>
      <c r="KOY819" s="134"/>
      <c r="KOZ819" s="135"/>
      <c r="KPA819" s="132"/>
      <c r="KPB819" s="132"/>
      <c r="KPC819" s="132"/>
      <c r="KPD819" s="133"/>
      <c r="KPE819" s="134"/>
      <c r="KPF819" s="134"/>
      <c r="KPG819" s="134"/>
      <c r="KPH819" s="135"/>
      <c r="KPI819" s="133"/>
      <c r="KPJ819" s="134"/>
      <c r="KPK819" s="134"/>
      <c r="KPL819" s="134"/>
      <c r="KPM819" s="135"/>
      <c r="KPN819" s="132"/>
      <c r="KPO819" s="132"/>
      <c r="KPP819" s="132"/>
      <c r="KPQ819" s="133"/>
      <c r="KPR819" s="134"/>
      <c r="KPS819" s="134"/>
      <c r="KPT819" s="134"/>
      <c r="KPU819" s="135"/>
      <c r="KPV819" s="133"/>
      <c r="KPW819" s="134"/>
      <c r="KPX819" s="134"/>
      <c r="KPY819" s="134"/>
      <c r="KPZ819" s="135"/>
      <c r="KQA819" s="132"/>
      <c r="KQB819" s="132"/>
      <c r="KQC819" s="132"/>
      <c r="KQD819" s="133"/>
      <c r="KQE819" s="134"/>
      <c r="KQF819" s="134"/>
      <c r="KQG819" s="134"/>
      <c r="KQH819" s="135"/>
      <c r="KQI819" s="133"/>
      <c r="KQJ819" s="134"/>
      <c r="KQK819" s="134"/>
      <c r="KQL819" s="134"/>
      <c r="KQM819" s="135"/>
      <c r="KQN819" s="132"/>
      <c r="KQO819" s="132"/>
      <c r="KQP819" s="132"/>
      <c r="KQQ819" s="133"/>
      <c r="KQR819" s="134"/>
      <c r="KQS819" s="134"/>
      <c r="KQT819" s="134"/>
      <c r="KQU819" s="135"/>
      <c r="KQV819" s="133"/>
      <c r="KQW819" s="134"/>
      <c r="KQX819" s="134"/>
      <c r="KQY819" s="134"/>
      <c r="KQZ819" s="135"/>
      <c r="KRA819" s="132"/>
      <c r="KRB819" s="132"/>
      <c r="KRC819" s="132"/>
      <c r="KRD819" s="133"/>
      <c r="KRE819" s="134"/>
      <c r="KRF819" s="134"/>
      <c r="KRG819" s="134"/>
      <c r="KRH819" s="135"/>
      <c r="KRI819" s="133"/>
      <c r="KRJ819" s="134"/>
      <c r="KRK819" s="134"/>
      <c r="KRL819" s="134"/>
      <c r="KRM819" s="135"/>
      <c r="KRN819" s="132"/>
      <c r="KRO819" s="132"/>
      <c r="KRP819" s="132"/>
      <c r="KRQ819" s="133"/>
      <c r="KRR819" s="134"/>
      <c r="KRS819" s="134"/>
      <c r="KRT819" s="134"/>
      <c r="KRU819" s="135"/>
      <c r="KRV819" s="133"/>
      <c r="KRW819" s="134"/>
      <c r="KRX819" s="134"/>
      <c r="KRY819" s="134"/>
      <c r="KRZ819" s="135"/>
      <c r="KSA819" s="132"/>
      <c r="KSB819" s="132"/>
      <c r="KSC819" s="132"/>
      <c r="KSD819" s="133"/>
      <c r="KSE819" s="134"/>
      <c r="KSF819" s="134"/>
      <c r="KSG819" s="134"/>
      <c r="KSH819" s="135"/>
      <c r="KSI819" s="133"/>
      <c r="KSJ819" s="134"/>
      <c r="KSK819" s="134"/>
      <c r="KSL819" s="134"/>
      <c r="KSM819" s="135"/>
      <c r="KSN819" s="132"/>
      <c r="KSO819" s="132"/>
      <c r="KSP819" s="132"/>
      <c r="KSQ819" s="133"/>
      <c r="KSR819" s="134"/>
      <c r="KSS819" s="134"/>
      <c r="KST819" s="134"/>
      <c r="KSU819" s="135"/>
      <c r="KSV819" s="133"/>
      <c r="KSW819" s="134"/>
      <c r="KSX819" s="134"/>
      <c r="KSY819" s="134"/>
      <c r="KSZ819" s="135"/>
      <c r="KTA819" s="132"/>
      <c r="KTB819" s="132"/>
      <c r="KTC819" s="132"/>
      <c r="KTD819" s="133"/>
      <c r="KTE819" s="134"/>
      <c r="KTF819" s="134"/>
      <c r="KTG819" s="134"/>
      <c r="KTH819" s="135"/>
      <c r="KTI819" s="133"/>
      <c r="KTJ819" s="134"/>
      <c r="KTK819" s="134"/>
      <c r="KTL819" s="134"/>
      <c r="KTM819" s="135"/>
      <c r="KTN819" s="132"/>
      <c r="KTO819" s="132"/>
      <c r="KTP819" s="132"/>
      <c r="KTQ819" s="133"/>
      <c r="KTR819" s="134"/>
      <c r="KTS819" s="134"/>
      <c r="KTT819" s="134"/>
      <c r="KTU819" s="135"/>
      <c r="KTV819" s="133"/>
      <c r="KTW819" s="134"/>
      <c r="KTX819" s="134"/>
      <c r="KTY819" s="134"/>
      <c r="KTZ819" s="135"/>
      <c r="KUA819" s="132"/>
      <c r="KUB819" s="132"/>
      <c r="KUC819" s="132"/>
      <c r="KUD819" s="133"/>
      <c r="KUE819" s="134"/>
      <c r="KUF819" s="134"/>
      <c r="KUG819" s="134"/>
      <c r="KUH819" s="135"/>
      <c r="KUI819" s="133"/>
      <c r="KUJ819" s="134"/>
      <c r="KUK819" s="134"/>
      <c r="KUL819" s="134"/>
      <c r="KUM819" s="135"/>
      <c r="KUN819" s="132"/>
      <c r="KUO819" s="132"/>
      <c r="KUP819" s="132"/>
      <c r="KUQ819" s="133"/>
      <c r="KUR819" s="134"/>
      <c r="KUS819" s="134"/>
      <c r="KUT819" s="134"/>
      <c r="KUU819" s="135"/>
      <c r="KUV819" s="133"/>
      <c r="KUW819" s="134"/>
      <c r="KUX819" s="134"/>
      <c r="KUY819" s="134"/>
      <c r="KUZ819" s="135"/>
      <c r="KVA819" s="132"/>
      <c r="KVB819" s="132"/>
      <c r="KVC819" s="132"/>
      <c r="KVD819" s="133"/>
      <c r="KVE819" s="134"/>
      <c r="KVF819" s="134"/>
      <c r="KVG819" s="134"/>
      <c r="KVH819" s="135"/>
      <c r="KVI819" s="133"/>
      <c r="KVJ819" s="134"/>
      <c r="KVK819" s="134"/>
      <c r="KVL819" s="134"/>
      <c r="KVM819" s="135"/>
      <c r="KVN819" s="132"/>
      <c r="KVO819" s="132"/>
      <c r="KVP819" s="132"/>
      <c r="KVQ819" s="133"/>
      <c r="KVR819" s="134"/>
      <c r="KVS819" s="134"/>
      <c r="KVT819" s="134"/>
      <c r="KVU819" s="135"/>
      <c r="KVV819" s="133"/>
      <c r="KVW819" s="134"/>
      <c r="KVX819" s="134"/>
      <c r="KVY819" s="134"/>
      <c r="KVZ819" s="135"/>
      <c r="KWA819" s="132"/>
      <c r="KWB819" s="132"/>
      <c r="KWC819" s="132"/>
      <c r="KWD819" s="133"/>
      <c r="KWE819" s="134"/>
      <c r="KWF819" s="134"/>
      <c r="KWG819" s="134"/>
      <c r="KWH819" s="135"/>
      <c r="KWI819" s="133"/>
      <c r="KWJ819" s="134"/>
      <c r="KWK819" s="134"/>
      <c r="KWL819" s="134"/>
      <c r="KWM819" s="135"/>
      <c r="KWN819" s="132"/>
      <c r="KWO819" s="132"/>
      <c r="KWP819" s="132"/>
      <c r="KWQ819" s="133"/>
      <c r="KWR819" s="134"/>
      <c r="KWS819" s="134"/>
      <c r="KWT819" s="134"/>
      <c r="KWU819" s="135"/>
      <c r="KWV819" s="133"/>
      <c r="KWW819" s="134"/>
      <c r="KWX819" s="134"/>
      <c r="KWY819" s="134"/>
      <c r="KWZ819" s="135"/>
      <c r="KXA819" s="132"/>
      <c r="KXB819" s="132"/>
      <c r="KXC819" s="132"/>
      <c r="KXD819" s="133"/>
      <c r="KXE819" s="134"/>
      <c r="KXF819" s="134"/>
      <c r="KXG819" s="134"/>
      <c r="KXH819" s="135"/>
      <c r="KXI819" s="133"/>
      <c r="KXJ819" s="134"/>
      <c r="KXK819" s="134"/>
      <c r="KXL819" s="134"/>
      <c r="KXM819" s="135"/>
      <c r="KXN819" s="132"/>
      <c r="KXO819" s="132"/>
      <c r="KXP819" s="132"/>
      <c r="KXQ819" s="133"/>
      <c r="KXR819" s="134"/>
      <c r="KXS819" s="134"/>
      <c r="KXT819" s="134"/>
      <c r="KXU819" s="135"/>
      <c r="KXV819" s="133"/>
      <c r="KXW819" s="134"/>
      <c r="KXX819" s="134"/>
      <c r="KXY819" s="134"/>
      <c r="KXZ819" s="135"/>
      <c r="KYA819" s="132"/>
      <c r="KYB819" s="132"/>
      <c r="KYC819" s="132"/>
      <c r="KYD819" s="133"/>
      <c r="KYE819" s="134"/>
      <c r="KYF819" s="134"/>
      <c r="KYG819" s="134"/>
      <c r="KYH819" s="135"/>
      <c r="KYI819" s="133"/>
      <c r="KYJ819" s="134"/>
      <c r="KYK819" s="134"/>
      <c r="KYL819" s="134"/>
      <c r="KYM819" s="135"/>
      <c r="KYN819" s="132"/>
      <c r="KYO819" s="132"/>
      <c r="KYP819" s="132"/>
      <c r="KYQ819" s="133"/>
      <c r="KYR819" s="134"/>
      <c r="KYS819" s="134"/>
      <c r="KYT819" s="134"/>
      <c r="KYU819" s="135"/>
      <c r="KYV819" s="133"/>
      <c r="KYW819" s="134"/>
      <c r="KYX819" s="134"/>
      <c r="KYY819" s="134"/>
      <c r="KYZ819" s="135"/>
      <c r="KZA819" s="132"/>
      <c r="KZB819" s="132"/>
      <c r="KZC819" s="132"/>
      <c r="KZD819" s="133"/>
      <c r="KZE819" s="134"/>
      <c r="KZF819" s="134"/>
      <c r="KZG819" s="134"/>
      <c r="KZH819" s="135"/>
      <c r="KZI819" s="133"/>
      <c r="KZJ819" s="134"/>
      <c r="KZK819" s="134"/>
      <c r="KZL819" s="134"/>
      <c r="KZM819" s="135"/>
      <c r="KZN819" s="132"/>
      <c r="KZO819" s="132"/>
      <c r="KZP819" s="132"/>
      <c r="KZQ819" s="133"/>
      <c r="KZR819" s="134"/>
      <c r="KZS819" s="134"/>
      <c r="KZT819" s="134"/>
      <c r="KZU819" s="135"/>
      <c r="KZV819" s="133"/>
      <c r="KZW819" s="134"/>
      <c r="KZX819" s="134"/>
      <c r="KZY819" s="134"/>
      <c r="KZZ819" s="135"/>
      <c r="LAA819" s="132"/>
      <c r="LAB819" s="132"/>
      <c r="LAC819" s="132"/>
      <c r="LAD819" s="133"/>
      <c r="LAE819" s="134"/>
      <c r="LAF819" s="134"/>
      <c r="LAG819" s="134"/>
      <c r="LAH819" s="135"/>
      <c r="LAI819" s="133"/>
      <c r="LAJ819" s="134"/>
      <c r="LAK819" s="134"/>
      <c r="LAL819" s="134"/>
      <c r="LAM819" s="135"/>
      <c r="LAN819" s="132"/>
      <c r="LAO819" s="132"/>
      <c r="LAP819" s="132"/>
      <c r="LAQ819" s="133"/>
      <c r="LAR819" s="134"/>
      <c r="LAS819" s="134"/>
      <c r="LAT819" s="134"/>
      <c r="LAU819" s="135"/>
      <c r="LAV819" s="133"/>
      <c r="LAW819" s="134"/>
      <c r="LAX819" s="134"/>
      <c r="LAY819" s="134"/>
      <c r="LAZ819" s="135"/>
      <c r="LBA819" s="132"/>
      <c r="LBB819" s="132"/>
      <c r="LBC819" s="132"/>
      <c r="LBD819" s="133"/>
      <c r="LBE819" s="134"/>
      <c r="LBF819" s="134"/>
      <c r="LBG819" s="134"/>
      <c r="LBH819" s="135"/>
      <c r="LBI819" s="133"/>
      <c r="LBJ819" s="134"/>
      <c r="LBK819" s="134"/>
      <c r="LBL819" s="134"/>
      <c r="LBM819" s="135"/>
      <c r="LBN819" s="132"/>
      <c r="LBO819" s="132"/>
      <c r="LBP819" s="132"/>
      <c r="LBQ819" s="133"/>
      <c r="LBR819" s="134"/>
      <c r="LBS819" s="134"/>
      <c r="LBT819" s="134"/>
      <c r="LBU819" s="135"/>
      <c r="LBV819" s="133"/>
      <c r="LBW819" s="134"/>
      <c r="LBX819" s="134"/>
      <c r="LBY819" s="134"/>
      <c r="LBZ819" s="135"/>
      <c r="LCA819" s="132"/>
      <c r="LCB819" s="132"/>
      <c r="LCC819" s="132"/>
      <c r="LCD819" s="133"/>
      <c r="LCE819" s="134"/>
      <c r="LCF819" s="134"/>
      <c r="LCG819" s="134"/>
      <c r="LCH819" s="135"/>
      <c r="LCI819" s="133"/>
      <c r="LCJ819" s="134"/>
      <c r="LCK819" s="134"/>
      <c r="LCL819" s="134"/>
      <c r="LCM819" s="135"/>
      <c r="LCN819" s="132"/>
      <c r="LCO819" s="132"/>
      <c r="LCP819" s="132"/>
      <c r="LCQ819" s="133"/>
      <c r="LCR819" s="134"/>
      <c r="LCS819" s="134"/>
      <c r="LCT819" s="134"/>
      <c r="LCU819" s="135"/>
      <c r="LCV819" s="133"/>
      <c r="LCW819" s="134"/>
      <c r="LCX819" s="134"/>
      <c r="LCY819" s="134"/>
      <c r="LCZ819" s="135"/>
      <c r="LDA819" s="132"/>
      <c r="LDB819" s="132"/>
      <c r="LDC819" s="132"/>
      <c r="LDD819" s="133"/>
      <c r="LDE819" s="134"/>
      <c r="LDF819" s="134"/>
      <c r="LDG819" s="134"/>
      <c r="LDH819" s="135"/>
      <c r="LDI819" s="133"/>
      <c r="LDJ819" s="134"/>
      <c r="LDK819" s="134"/>
      <c r="LDL819" s="134"/>
      <c r="LDM819" s="135"/>
      <c r="LDN819" s="132"/>
      <c r="LDO819" s="132"/>
      <c r="LDP819" s="132"/>
      <c r="LDQ819" s="133"/>
      <c r="LDR819" s="134"/>
      <c r="LDS819" s="134"/>
      <c r="LDT819" s="134"/>
      <c r="LDU819" s="135"/>
      <c r="LDV819" s="133"/>
      <c r="LDW819" s="134"/>
      <c r="LDX819" s="134"/>
      <c r="LDY819" s="134"/>
      <c r="LDZ819" s="135"/>
      <c r="LEA819" s="132"/>
      <c r="LEB819" s="132"/>
      <c r="LEC819" s="132"/>
      <c r="LED819" s="133"/>
      <c r="LEE819" s="134"/>
      <c r="LEF819" s="134"/>
      <c r="LEG819" s="134"/>
      <c r="LEH819" s="135"/>
      <c r="LEI819" s="133"/>
      <c r="LEJ819" s="134"/>
      <c r="LEK819" s="134"/>
      <c r="LEL819" s="134"/>
      <c r="LEM819" s="135"/>
      <c r="LEN819" s="132"/>
      <c r="LEO819" s="132"/>
      <c r="LEP819" s="132"/>
      <c r="LEQ819" s="133"/>
      <c r="LER819" s="134"/>
      <c r="LES819" s="134"/>
      <c r="LET819" s="134"/>
      <c r="LEU819" s="135"/>
      <c r="LEV819" s="133"/>
      <c r="LEW819" s="134"/>
      <c r="LEX819" s="134"/>
      <c r="LEY819" s="134"/>
      <c r="LEZ819" s="135"/>
      <c r="LFA819" s="132"/>
      <c r="LFB819" s="132"/>
      <c r="LFC819" s="132"/>
      <c r="LFD819" s="133"/>
      <c r="LFE819" s="134"/>
      <c r="LFF819" s="134"/>
      <c r="LFG819" s="134"/>
      <c r="LFH819" s="135"/>
      <c r="LFI819" s="133"/>
      <c r="LFJ819" s="134"/>
      <c r="LFK819" s="134"/>
      <c r="LFL819" s="134"/>
      <c r="LFM819" s="135"/>
      <c r="LFN819" s="132"/>
      <c r="LFO819" s="132"/>
      <c r="LFP819" s="132"/>
      <c r="LFQ819" s="133"/>
      <c r="LFR819" s="134"/>
      <c r="LFS819" s="134"/>
      <c r="LFT819" s="134"/>
      <c r="LFU819" s="135"/>
      <c r="LFV819" s="133"/>
      <c r="LFW819" s="134"/>
      <c r="LFX819" s="134"/>
      <c r="LFY819" s="134"/>
      <c r="LFZ819" s="135"/>
      <c r="LGA819" s="132"/>
      <c r="LGB819" s="132"/>
      <c r="LGC819" s="132"/>
      <c r="LGD819" s="133"/>
      <c r="LGE819" s="134"/>
      <c r="LGF819" s="134"/>
      <c r="LGG819" s="134"/>
      <c r="LGH819" s="135"/>
      <c r="LGI819" s="133"/>
      <c r="LGJ819" s="134"/>
      <c r="LGK819" s="134"/>
      <c r="LGL819" s="134"/>
      <c r="LGM819" s="135"/>
      <c r="LGN819" s="132"/>
      <c r="LGO819" s="132"/>
      <c r="LGP819" s="132"/>
      <c r="LGQ819" s="133"/>
      <c r="LGR819" s="134"/>
      <c r="LGS819" s="134"/>
      <c r="LGT819" s="134"/>
      <c r="LGU819" s="135"/>
      <c r="LGV819" s="133"/>
      <c r="LGW819" s="134"/>
      <c r="LGX819" s="134"/>
      <c r="LGY819" s="134"/>
      <c r="LGZ819" s="135"/>
      <c r="LHA819" s="132"/>
      <c r="LHB819" s="132"/>
      <c r="LHC819" s="132"/>
      <c r="LHD819" s="133"/>
      <c r="LHE819" s="134"/>
      <c r="LHF819" s="134"/>
      <c r="LHG819" s="134"/>
      <c r="LHH819" s="135"/>
      <c r="LHI819" s="133"/>
      <c r="LHJ819" s="134"/>
      <c r="LHK819" s="134"/>
      <c r="LHL819" s="134"/>
      <c r="LHM819" s="135"/>
      <c r="LHN819" s="132"/>
      <c r="LHO819" s="132"/>
      <c r="LHP819" s="132"/>
      <c r="LHQ819" s="133"/>
      <c r="LHR819" s="134"/>
      <c r="LHS819" s="134"/>
      <c r="LHT819" s="134"/>
      <c r="LHU819" s="135"/>
      <c r="LHV819" s="133"/>
      <c r="LHW819" s="134"/>
      <c r="LHX819" s="134"/>
      <c r="LHY819" s="134"/>
      <c r="LHZ819" s="135"/>
      <c r="LIA819" s="132"/>
      <c r="LIB819" s="132"/>
      <c r="LIC819" s="132"/>
      <c r="LID819" s="133"/>
      <c r="LIE819" s="134"/>
      <c r="LIF819" s="134"/>
      <c r="LIG819" s="134"/>
      <c r="LIH819" s="135"/>
      <c r="LII819" s="133"/>
      <c r="LIJ819" s="134"/>
      <c r="LIK819" s="134"/>
      <c r="LIL819" s="134"/>
      <c r="LIM819" s="135"/>
      <c r="LIN819" s="132"/>
      <c r="LIO819" s="132"/>
      <c r="LIP819" s="132"/>
      <c r="LIQ819" s="133"/>
      <c r="LIR819" s="134"/>
      <c r="LIS819" s="134"/>
      <c r="LIT819" s="134"/>
      <c r="LIU819" s="135"/>
      <c r="LIV819" s="133"/>
      <c r="LIW819" s="134"/>
      <c r="LIX819" s="134"/>
      <c r="LIY819" s="134"/>
      <c r="LIZ819" s="135"/>
      <c r="LJA819" s="132"/>
      <c r="LJB819" s="132"/>
      <c r="LJC819" s="132"/>
      <c r="LJD819" s="133"/>
      <c r="LJE819" s="134"/>
      <c r="LJF819" s="134"/>
      <c r="LJG819" s="134"/>
      <c r="LJH819" s="135"/>
      <c r="LJI819" s="133"/>
      <c r="LJJ819" s="134"/>
      <c r="LJK819" s="134"/>
      <c r="LJL819" s="134"/>
      <c r="LJM819" s="135"/>
      <c r="LJN819" s="132"/>
      <c r="LJO819" s="132"/>
      <c r="LJP819" s="132"/>
      <c r="LJQ819" s="133"/>
      <c r="LJR819" s="134"/>
      <c r="LJS819" s="134"/>
      <c r="LJT819" s="134"/>
      <c r="LJU819" s="135"/>
      <c r="LJV819" s="133"/>
      <c r="LJW819" s="134"/>
      <c r="LJX819" s="134"/>
      <c r="LJY819" s="134"/>
      <c r="LJZ819" s="135"/>
      <c r="LKA819" s="132"/>
      <c r="LKB819" s="132"/>
      <c r="LKC819" s="132"/>
      <c r="LKD819" s="133"/>
      <c r="LKE819" s="134"/>
      <c r="LKF819" s="134"/>
      <c r="LKG819" s="134"/>
      <c r="LKH819" s="135"/>
      <c r="LKI819" s="133"/>
      <c r="LKJ819" s="134"/>
      <c r="LKK819" s="134"/>
      <c r="LKL819" s="134"/>
      <c r="LKM819" s="135"/>
      <c r="LKN819" s="132"/>
      <c r="LKO819" s="132"/>
      <c r="LKP819" s="132"/>
      <c r="LKQ819" s="133"/>
      <c r="LKR819" s="134"/>
      <c r="LKS819" s="134"/>
      <c r="LKT819" s="134"/>
      <c r="LKU819" s="135"/>
      <c r="LKV819" s="133"/>
      <c r="LKW819" s="134"/>
      <c r="LKX819" s="134"/>
      <c r="LKY819" s="134"/>
      <c r="LKZ819" s="135"/>
      <c r="LLA819" s="132"/>
      <c r="LLB819" s="132"/>
      <c r="LLC819" s="132"/>
      <c r="LLD819" s="133"/>
      <c r="LLE819" s="134"/>
      <c r="LLF819" s="134"/>
      <c r="LLG819" s="134"/>
      <c r="LLH819" s="135"/>
      <c r="LLI819" s="133"/>
      <c r="LLJ819" s="134"/>
      <c r="LLK819" s="134"/>
      <c r="LLL819" s="134"/>
      <c r="LLM819" s="135"/>
      <c r="LLN819" s="132"/>
      <c r="LLO819" s="132"/>
      <c r="LLP819" s="132"/>
      <c r="LLQ819" s="133"/>
      <c r="LLR819" s="134"/>
      <c r="LLS819" s="134"/>
      <c r="LLT819" s="134"/>
      <c r="LLU819" s="135"/>
      <c r="LLV819" s="133"/>
      <c r="LLW819" s="134"/>
      <c r="LLX819" s="134"/>
      <c r="LLY819" s="134"/>
      <c r="LLZ819" s="135"/>
      <c r="LMA819" s="132"/>
      <c r="LMB819" s="132"/>
      <c r="LMC819" s="132"/>
      <c r="LMD819" s="133"/>
      <c r="LME819" s="134"/>
      <c r="LMF819" s="134"/>
      <c r="LMG819" s="134"/>
      <c r="LMH819" s="135"/>
      <c r="LMI819" s="133"/>
      <c r="LMJ819" s="134"/>
      <c r="LMK819" s="134"/>
      <c r="LML819" s="134"/>
      <c r="LMM819" s="135"/>
      <c r="LMN819" s="132"/>
      <c r="LMO819" s="132"/>
      <c r="LMP819" s="132"/>
      <c r="LMQ819" s="133"/>
      <c r="LMR819" s="134"/>
      <c r="LMS819" s="134"/>
      <c r="LMT819" s="134"/>
      <c r="LMU819" s="135"/>
      <c r="LMV819" s="133"/>
      <c r="LMW819" s="134"/>
      <c r="LMX819" s="134"/>
      <c r="LMY819" s="134"/>
      <c r="LMZ819" s="135"/>
      <c r="LNA819" s="132"/>
      <c r="LNB819" s="132"/>
      <c r="LNC819" s="132"/>
      <c r="LND819" s="133"/>
      <c r="LNE819" s="134"/>
      <c r="LNF819" s="134"/>
      <c r="LNG819" s="134"/>
      <c r="LNH819" s="135"/>
      <c r="LNI819" s="133"/>
      <c r="LNJ819" s="134"/>
      <c r="LNK819" s="134"/>
      <c r="LNL819" s="134"/>
      <c r="LNM819" s="135"/>
      <c r="LNN819" s="132"/>
      <c r="LNO819" s="132"/>
      <c r="LNP819" s="132"/>
      <c r="LNQ819" s="133"/>
      <c r="LNR819" s="134"/>
      <c r="LNS819" s="134"/>
      <c r="LNT819" s="134"/>
      <c r="LNU819" s="135"/>
      <c r="LNV819" s="133"/>
      <c r="LNW819" s="134"/>
      <c r="LNX819" s="134"/>
      <c r="LNY819" s="134"/>
      <c r="LNZ819" s="135"/>
      <c r="LOA819" s="132"/>
      <c r="LOB819" s="132"/>
      <c r="LOC819" s="132"/>
      <c r="LOD819" s="133"/>
      <c r="LOE819" s="134"/>
      <c r="LOF819" s="134"/>
      <c r="LOG819" s="134"/>
      <c r="LOH819" s="135"/>
      <c r="LOI819" s="133"/>
      <c r="LOJ819" s="134"/>
      <c r="LOK819" s="134"/>
      <c r="LOL819" s="134"/>
      <c r="LOM819" s="135"/>
      <c r="LON819" s="132"/>
      <c r="LOO819" s="132"/>
      <c r="LOP819" s="132"/>
      <c r="LOQ819" s="133"/>
      <c r="LOR819" s="134"/>
      <c r="LOS819" s="134"/>
      <c r="LOT819" s="134"/>
      <c r="LOU819" s="135"/>
      <c r="LOV819" s="133"/>
      <c r="LOW819" s="134"/>
      <c r="LOX819" s="134"/>
      <c r="LOY819" s="134"/>
      <c r="LOZ819" s="135"/>
      <c r="LPA819" s="132"/>
      <c r="LPB819" s="132"/>
      <c r="LPC819" s="132"/>
      <c r="LPD819" s="133"/>
      <c r="LPE819" s="134"/>
      <c r="LPF819" s="134"/>
      <c r="LPG819" s="134"/>
      <c r="LPH819" s="135"/>
      <c r="LPI819" s="133"/>
      <c r="LPJ819" s="134"/>
      <c r="LPK819" s="134"/>
      <c r="LPL819" s="134"/>
      <c r="LPM819" s="135"/>
      <c r="LPN819" s="132"/>
      <c r="LPO819" s="132"/>
      <c r="LPP819" s="132"/>
      <c r="LPQ819" s="133"/>
      <c r="LPR819" s="134"/>
      <c r="LPS819" s="134"/>
      <c r="LPT819" s="134"/>
      <c r="LPU819" s="135"/>
      <c r="LPV819" s="133"/>
      <c r="LPW819" s="134"/>
      <c r="LPX819" s="134"/>
      <c r="LPY819" s="134"/>
      <c r="LPZ819" s="135"/>
      <c r="LQA819" s="132"/>
      <c r="LQB819" s="132"/>
      <c r="LQC819" s="132"/>
      <c r="LQD819" s="133"/>
      <c r="LQE819" s="134"/>
      <c r="LQF819" s="134"/>
      <c r="LQG819" s="134"/>
      <c r="LQH819" s="135"/>
      <c r="LQI819" s="133"/>
      <c r="LQJ819" s="134"/>
      <c r="LQK819" s="134"/>
      <c r="LQL819" s="134"/>
      <c r="LQM819" s="135"/>
      <c r="LQN819" s="132"/>
      <c r="LQO819" s="132"/>
      <c r="LQP819" s="132"/>
      <c r="LQQ819" s="133"/>
      <c r="LQR819" s="134"/>
      <c r="LQS819" s="134"/>
      <c r="LQT819" s="134"/>
      <c r="LQU819" s="135"/>
      <c r="LQV819" s="133"/>
      <c r="LQW819" s="134"/>
      <c r="LQX819" s="134"/>
      <c r="LQY819" s="134"/>
      <c r="LQZ819" s="135"/>
      <c r="LRA819" s="132"/>
      <c r="LRB819" s="132"/>
      <c r="LRC819" s="132"/>
      <c r="LRD819" s="133"/>
      <c r="LRE819" s="134"/>
      <c r="LRF819" s="134"/>
      <c r="LRG819" s="134"/>
      <c r="LRH819" s="135"/>
      <c r="LRI819" s="133"/>
      <c r="LRJ819" s="134"/>
      <c r="LRK819" s="134"/>
      <c r="LRL819" s="134"/>
      <c r="LRM819" s="135"/>
      <c r="LRN819" s="132"/>
      <c r="LRO819" s="132"/>
      <c r="LRP819" s="132"/>
      <c r="LRQ819" s="133"/>
      <c r="LRR819" s="134"/>
      <c r="LRS819" s="134"/>
      <c r="LRT819" s="134"/>
      <c r="LRU819" s="135"/>
      <c r="LRV819" s="133"/>
      <c r="LRW819" s="134"/>
      <c r="LRX819" s="134"/>
      <c r="LRY819" s="134"/>
      <c r="LRZ819" s="135"/>
      <c r="LSA819" s="132"/>
      <c r="LSB819" s="132"/>
      <c r="LSC819" s="132"/>
      <c r="LSD819" s="133"/>
      <c r="LSE819" s="134"/>
      <c r="LSF819" s="134"/>
      <c r="LSG819" s="134"/>
      <c r="LSH819" s="135"/>
      <c r="LSI819" s="133"/>
      <c r="LSJ819" s="134"/>
      <c r="LSK819" s="134"/>
      <c r="LSL819" s="134"/>
      <c r="LSM819" s="135"/>
      <c r="LSN819" s="132"/>
      <c r="LSO819" s="132"/>
      <c r="LSP819" s="132"/>
      <c r="LSQ819" s="133"/>
      <c r="LSR819" s="134"/>
      <c r="LSS819" s="134"/>
      <c r="LST819" s="134"/>
      <c r="LSU819" s="135"/>
      <c r="LSV819" s="133"/>
      <c r="LSW819" s="134"/>
      <c r="LSX819" s="134"/>
      <c r="LSY819" s="134"/>
      <c r="LSZ819" s="135"/>
      <c r="LTA819" s="132"/>
      <c r="LTB819" s="132"/>
      <c r="LTC819" s="132"/>
      <c r="LTD819" s="133"/>
      <c r="LTE819" s="134"/>
      <c r="LTF819" s="134"/>
      <c r="LTG819" s="134"/>
      <c r="LTH819" s="135"/>
      <c r="LTI819" s="133"/>
      <c r="LTJ819" s="134"/>
      <c r="LTK819" s="134"/>
      <c r="LTL819" s="134"/>
      <c r="LTM819" s="135"/>
      <c r="LTN819" s="132"/>
      <c r="LTO819" s="132"/>
      <c r="LTP819" s="132"/>
      <c r="LTQ819" s="133"/>
      <c r="LTR819" s="134"/>
      <c r="LTS819" s="134"/>
      <c r="LTT819" s="134"/>
      <c r="LTU819" s="135"/>
      <c r="LTV819" s="133"/>
      <c r="LTW819" s="134"/>
      <c r="LTX819" s="134"/>
      <c r="LTY819" s="134"/>
      <c r="LTZ819" s="135"/>
      <c r="LUA819" s="132"/>
      <c r="LUB819" s="132"/>
      <c r="LUC819" s="132"/>
      <c r="LUD819" s="133"/>
      <c r="LUE819" s="134"/>
      <c r="LUF819" s="134"/>
      <c r="LUG819" s="134"/>
      <c r="LUH819" s="135"/>
      <c r="LUI819" s="133"/>
      <c r="LUJ819" s="134"/>
      <c r="LUK819" s="134"/>
      <c r="LUL819" s="134"/>
      <c r="LUM819" s="135"/>
      <c r="LUN819" s="132"/>
      <c r="LUO819" s="132"/>
      <c r="LUP819" s="132"/>
      <c r="LUQ819" s="133"/>
      <c r="LUR819" s="134"/>
      <c r="LUS819" s="134"/>
      <c r="LUT819" s="134"/>
      <c r="LUU819" s="135"/>
      <c r="LUV819" s="133"/>
      <c r="LUW819" s="134"/>
      <c r="LUX819" s="134"/>
      <c r="LUY819" s="134"/>
      <c r="LUZ819" s="135"/>
      <c r="LVA819" s="132"/>
      <c r="LVB819" s="132"/>
      <c r="LVC819" s="132"/>
      <c r="LVD819" s="133"/>
      <c r="LVE819" s="134"/>
      <c r="LVF819" s="134"/>
      <c r="LVG819" s="134"/>
      <c r="LVH819" s="135"/>
      <c r="LVI819" s="133"/>
      <c r="LVJ819" s="134"/>
      <c r="LVK819" s="134"/>
      <c r="LVL819" s="134"/>
      <c r="LVM819" s="135"/>
      <c r="LVN819" s="132"/>
      <c r="LVO819" s="132"/>
      <c r="LVP819" s="132"/>
      <c r="LVQ819" s="133"/>
      <c r="LVR819" s="134"/>
      <c r="LVS819" s="134"/>
      <c r="LVT819" s="134"/>
      <c r="LVU819" s="135"/>
      <c r="LVV819" s="133"/>
      <c r="LVW819" s="134"/>
      <c r="LVX819" s="134"/>
      <c r="LVY819" s="134"/>
      <c r="LVZ819" s="135"/>
      <c r="LWA819" s="132"/>
      <c r="LWB819" s="132"/>
      <c r="LWC819" s="132"/>
      <c r="LWD819" s="133"/>
      <c r="LWE819" s="134"/>
      <c r="LWF819" s="134"/>
      <c r="LWG819" s="134"/>
      <c r="LWH819" s="135"/>
      <c r="LWI819" s="133"/>
      <c r="LWJ819" s="134"/>
      <c r="LWK819" s="134"/>
      <c r="LWL819" s="134"/>
      <c r="LWM819" s="135"/>
      <c r="LWN819" s="132"/>
      <c r="LWO819" s="132"/>
      <c r="LWP819" s="132"/>
      <c r="LWQ819" s="133"/>
      <c r="LWR819" s="134"/>
      <c r="LWS819" s="134"/>
      <c r="LWT819" s="134"/>
      <c r="LWU819" s="135"/>
      <c r="LWV819" s="133"/>
      <c r="LWW819" s="134"/>
      <c r="LWX819" s="134"/>
      <c r="LWY819" s="134"/>
      <c r="LWZ819" s="135"/>
      <c r="LXA819" s="132"/>
      <c r="LXB819" s="132"/>
      <c r="LXC819" s="132"/>
      <c r="LXD819" s="133"/>
      <c r="LXE819" s="134"/>
      <c r="LXF819" s="134"/>
      <c r="LXG819" s="134"/>
      <c r="LXH819" s="135"/>
      <c r="LXI819" s="133"/>
      <c r="LXJ819" s="134"/>
      <c r="LXK819" s="134"/>
      <c r="LXL819" s="134"/>
      <c r="LXM819" s="135"/>
      <c r="LXN819" s="132"/>
      <c r="LXO819" s="132"/>
      <c r="LXP819" s="132"/>
      <c r="LXQ819" s="133"/>
      <c r="LXR819" s="134"/>
      <c r="LXS819" s="134"/>
      <c r="LXT819" s="134"/>
      <c r="LXU819" s="135"/>
      <c r="LXV819" s="133"/>
      <c r="LXW819" s="134"/>
      <c r="LXX819" s="134"/>
      <c r="LXY819" s="134"/>
      <c r="LXZ819" s="135"/>
      <c r="LYA819" s="132"/>
      <c r="LYB819" s="132"/>
      <c r="LYC819" s="132"/>
      <c r="LYD819" s="133"/>
      <c r="LYE819" s="134"/>
      <c r="LYF819" s="134"/>
      <c r="LYG819" s="134"/>
      <c r="LYH819" s="135"/>
      <c r="LYI819" s="133"/>
      <c r="LYJ819" s="134"/>
      <c r="LYK819" s="134"/>
      <c r="LYL819" s="134"/>
      <c r="LYM819" s="135"/>
      <c r="LYN819" s="132"/>
      <c r="LYO819" s="132"/>
      <c r="LYP819" s="132"/>
      <c r="LYQ819" s="133"/>
      <c r="LYR819" s="134"/>
      <c r="LYS819" s="134"/>
      <c r="LYT819" s="134"/>
      <c r="LYU819" s="135"/>
      <c r="LYV819" s="133"/>
      <c r="LYW819" s="134"/>
      <c r="LYX819" s="134"/>
      <c r="LYY819" s="134"/>
      <c r="LYZ819" s="135"/>
      <c r="LZA819" s="132"/>
      <c r="LZB819" s="132"/>
      <c r="LZC819" s="132"/>
      <c r="LZD819" s="133"/>
      <c r="LZE819" s="134"/>
      <c r="LZF819" s="134"/>
      <c r="LZG819" s="134"/>
      <c r="LZH819" s="135"/>
      <c r="LZI819" s="133"/>
      <c r="LZJ819" s="134"/>
      <c r="LZK819" s="134"/>
      <c r="LZL819" s="134"/>
      <c r="LZM819" s="135"/>
      <c r="LZN819" s="132"/>
      <c r="LZO819" s="132"/>
      <c r="LZP819" s="132"/>
      <c r="LZQ819" s="133"/>
      <c r="LZR819" s="134"/>
      <c r="LZS819" s="134"/>
      <c r="LZT819" s="134"/>
      <c r="LZU819" s="135"/>
      <c r="LZV819" s="133"/>
      <c r="LZW819" s="134"/>
      <c r="LZX819" s="134"/>
      <c r="LZY819" s="134"/>
      <c r="LZZ819" s="135"/>
      <c r="MAA819" s="132"/>
      <c r="MAB819" s="132"/>
      <c r="MAC819" s="132"/>
      <c r="MAD819" s="133"/>
      <c r="MAE819" s="134"/>
      <c r="MAF819" s="134"/>
      <c r="MAG819" s="134"/>
      <c r="MAH819" s="135"/>
      <c r="MAI819" s="133"/>
      <c r="MAJ819" s="134"/>
      <c r="MAK819" s="134"/>
      <c r="MAL819" s="134"/>
      <c r="MAM819" s="135"/>
      <c r="MAN819" s="132"/>
      <c r="MAO819" s="132"/>
      <c r="MAP819" s="132"/>
      <c r="MAQ819" s="133"/>
      <c r="MAR819" s="134"/>
      <c r="MAS819" s="134"/>
      <c r="MAT819" s="134"/>
      <c r="MAU819" s="135"/>
      <c r="MAV819" s="133"/>
      <c r="MAW819" s="134"/>
      <c r="MAX819" s="134"/>
      <c r="MAY819" s="134"/>
      <c r="MAZ819" s="135"/>
      <c r="MBA819" s="132"/>
      <c r="MBB819" s="132"/>
      <c r="MBC819" s="132"/>
      <c r="MBD819" s="133"/>
      <c r="MBE819" s="134"/>
      <c r="MBF819" s="134"/>
      <c r="MBG819" s="134"/>
      <c r="MBH819" s="135"/>
      <c r="MBI819" s="133"/>
      <c r="MBJ819" s="134"/>
      <c r="MBK819" s="134"/>
      <c r="MBL819" s="134"/>
      <c r="MBM819" s="135"/>
      <c r="MBN819" s="132"/>
      <c r="MBO819" s="132"/>
      <c r="MBP819" s="132"/>
      <c r="MBQ819" s="133"/>
      <c r="MBR819" s="134"/>
      <c r="MBS819" s="134"/>
      <c r="MBT819" s="134"/>
      <c r="MBU819" s="135"/>
      <c r="MBV819" s="133"/>
      <c r="MBW819" s="134"/>
      <c r="MBX819" s="134"/>
      <c r="MBY819" s="134"/>
      <c r="MBZ819" s="135"/>
      <c r="MCA819" s="132"/>
      <c r="MCB819" s="132"/>
      <c r="MCC819" s="132"/>
      <c r="MCD819" s="133"/>
      <c r="MCE819" s="134"/>
      <c r="MCF819" s="134"/>
      <c r="MCG819" s="134"/>
      <c r="MCH819" s="135"/>
      <c r="MCI819" s="133"/>
      <c r="MCJ819" s="134"/>
      <c r="MCK819" s="134"/>
      <c r="MCL819" s="134"/>
      <c r="MCM819" s="135"/>
      <c r="MCN819" s="132"/>
      <c r="MCO819" s="132"/>
      <c r="MCP819" s="132"/>
      <c r="MCQ819" s="133"/>
      <c r="MCR819" s="134"/>
      <c r="MCS819" s="134"/>
      <c r="MCT819" s="134"/>
      <c r="MCU819" s="135"/>
      <c r="MCV819" s="133"/>
      <c r="MCW819" s="134"/>
      <c r="MCX819" s="134"/>
      <c r="MCY819" s="134"/>
      <c r="MCZ819" s="135"/>
      <c r="MDA819" s="132"/>
      <c r="MDB819" s="132"/>
      <c r="MDC819" s="132"/>
      <c r="MDD819" s="133"/>
      <c r="MDE819" s="134"/>
      <c r="MDF819" s="134"/>
      <c r="MDG819" s="134"/>
      <c r="MDH819" s="135"/>
      <c r="MDI819" s="133"/>
      <c r="MDJ819" s="134"/>
      <c r="MDK819" s="134"/>
      <c r="MDL819" s="134"/>
      <c r="MDM819" s="135"/>
      <c r="MDN819" s="132"/>
      <c r="MDO819" s="132"/>
      <c r="MDP819" s="132"/>
      <c r="MDQ819" s="133"/>
      <c r="MDR819" s="134"/>
      <c r="MDS819" s="134"/>
      <c r="MDT819" s="134"/>
      <c r="MDU819" s="135"/>
      <c r="MDV819" s="133"/>
      <c r="MDW819" s="134"/>
      <c r="MDX819" s="134"/>
      <c r="MDY819" s="134"/>
      <c r="MDZ819" s="135"/>
      <c r="MEA819" s="132"/>
      <c r="MEB819" s="132"/>
      <c r="MEC819" s="132"/>
      <c r="MED819" s="133"/>
      <c r="MEE819" s="134"/>
      <c r="MEF819" s="134"/>
      <c r="MEG819" s="134"/>
      <c r="MEH819" s="135"/>
      <c r="MEI819" s="133"/>
      <c r="MEJ819" s="134"/>
      <c r="MEK819" s="134"/>
      <c r="MEL819" s="134"/>
      <c r="MEM819" s="135"/>
      <c r="MEN819" s="132"/>
      <c r="MEO819" s="132"/>
      <c r="MEP819" s="132"/>
      <c r="MEQ819" s="133"/>
      <c r="MER819" s="134"/>
      <c r="MES819" s="134"/>
      <c r="MET819" s="134"/>
      <c r="MEU819" s="135"/>
      <c r="MEV819" s="133"/>
      <c r="MEW819" s="134"/>
      <c r="MEX819" s="134"/>
      <c r="MEY819" s="134"/>
      <c r="MEZ819" s="135"/>
      <c r="MFA819" s="132"/>
      <c r="MFB819" s="132"/>
      <c r="MFC819" s="132"/>
      <c r="MFD819" s="133"/>
      <c r="MFE819" s="134"/>
      <c r="MFF819" s="134"/>
      <c r="MFG819" s="134"/>
      <c r="MFH819" s="135"/>
      <c r="MFI819" s="133"/>
      <c r="MFJ819" s="134"/>
      <c r="MFK819" s="134"/>
      <c r="MFL819" s="134"/>
      <c r="MFM819" s="135"/>
      <c r="MFN819" s="132"/>
      <c r="MFO819" s="132"/>
      <c r="MFP819" s="132"/>
      <c r="MFQ819" s="133"/>
      <c r="MFR819" s="134"/>
      <c r="MFS819" s="134"/>
      <c r="MFT819" s="134"/>
      <c r="MFU819" s="135"/>
      <c r="MFV819" s="133"/>
      <c r="MFW819" s="134"/>
      <c r="MFX819" s="134"/>
      <c r="MFY819" s="134"/>
      <c r="MFZ819" s="135"/>
      <c r="MGA819" s="132"/>
      <c r="MGB819" s="132"/>
      <c r="MGC819" s="132"/>
      <c r="MGD819" s="133"/>
      <c r="MGE819" s="134"/>
      <c r="MGF819" s="134"/>
      <c r="MGG819" s="134"/>
      <c r="MGH819" s="135"/>
      <c r="MGI819" s="133"/>
      <c r="MGJ819" s="134"/>
      <c r="MGK819" s="134"/>
      <c r="MGL819" s="134"/>
      <c r="MGM819" s="135"/>
      <c r="MGN819" s="132"/>
      <c r="MGO819" s="132"/>
      <c r="MGP819" s="132"/>
      <c r="MGQ819" s="133"/>
      <c r="MGR819" s="134"/>
      <c r="MGS819" s="134"/>
      <c r="MGT819" s="134"/>
      <c r="MGU819" s="135"/>
      <c r="MGV819" s="133"/>
      <c r="MGW819" s="134"/>
      <c r="MGX819" s="134"/>
      <c r="MGY819" s="134"/>
      <c r="MGZ819" s="135"/>
      <c r="MHA819" s="132"/>
      <c r="MHB819" s="132"/>
      <c r="MHC819" s="132"/>
      <c r="MHD819" s="133"/>
      <c r="MHE819" s="134"/>
      <c r="MHF819" s="134"/>
      <c r="MHG819" s="134"/>
      <c r="MHH819" s="135"/>
      <c r="MHI819" s="133"/>
      <c r="MHJ819" s="134"/>
      <c r="MHK819" s="134"/>
      <c r="MHL819" s="134"/>
      <c r="MHM819" s="135"/>
      <c r="MHN819" s="132"/>
      <c r="MHO819" s="132"/>
      <c r="MHP819" s="132"/>
      <c r="MHQ819" s="133"/>
      <c r="MHR819" s="134"/>
      <c r="MHS819" s="134"/>
      <c r="MHT819" s="134"/>
      <c r="MHU819" s="135"/>
      <c r="MHV819" s="133"/>
      <c r="MHW819" s="134"/>
      <c r="MHX819" s="134"/>
      <c r="MHY819" s="134"/>
      <c r="MHZ819" s="135"/>
      <c r="MIA819" s="132"/>
      <c r="MIB819" s="132"/>
      <c r="MIC819" s="132"/>
      <c r="MID819" s="133"/>
      <c r="MIE819" s="134"/>
      <c r="MIF819" s="134"/>
      <c r="MIG819" s="134"/>
      <c r="MIH819" s="135"/>
      <c r="MII819" s="133"/>
      <c r="MIJ819" s="134"/>
      <c r="MIK819" s="134"/>
      <c r="MIL819" s="134"/>
      <c r="MIM819" s="135"/>
      <c r="MIN819" s="132"/>
      <c r="MIO819" s="132"/>
      <c r="MIP819" s="132"/>
      <c r="MIQ819" s="133"/>
      <c r="MIR819" s="134"/>
      <c r="MIS819" s="134"/>
      <c r="MIT819" s="134"/>
      <c r="MIU819" s="135"/>
      <c r="MIV819" s="133"/>
      <c r="MIW819" s="134"/>
      <c r="MIX819" s="134"/>
      <c r="MIY819" s="134"/>
      <c r="MIZ819" s="135"/>
      <c r="MJA819" s="132"/>
      <c r="MJB819" s="132"/>
      <c r="MJC819" s="132"/>
      <c r="MJD819" s="133"/>
      <c r="MJE819" s="134"/>
      <c r="MJF819" s="134"/>
      <c r="MJG819" s="134"/>
      <c r="MJH819" s="135"/>
      <c r="MJI819" s="133"/>
      <c r="MJJ819" s="134"/>
      <c r="MJK819" s="134"/>
      <c r="MJL819" s="134"/>
      <c r="MJM819" s="135"/>
      <c r="MJN819" s="132"/>
      <c r="MJO819" s="132"/>
      <c r="MJP819" s="132"/>
      <c r="MJQ819" s="133"/>
      <c r="MJR819" s="134"/>
      <c r="MJS819" s="134"/>
      <c r="MJT819" s="134"/>
      <c r="MJU819" s="135"/>
      <c r="MJV819" s="133"/>
      <c r="MJW819" s="134"/>
      <c r="MJX819" s="134"/>
      <c r="MJY819" s="134"/>
      <c r="MJZ819" s="135"/>
      <c r="MKA819" s="132"/>
      <c r="MKB819" s="132"/>
      <c r="MKC819" s="132"/>
      <c r="MKD819" s="133"/>
      <c r="MKE819" s="134"/>
      <c r="MKF819" s="134"/>
      <c r="MKG819" s="134"/>
      <c r="MKH819" s="135"/>
      <c r="MKI819" s="133"/>
      <c r="MKJ819" s="134"/>
      <c r="MKK819" s="134"/>
      <c r="MKL819" s="134"/>
      <c r="MKM819" s="135"/>
      <c r="MKN819" s="132"/>
      <c r="MKO819" s="132"/>
      <c r="MKP819" s="132"/>
      <c r="MKQ819" s="133"/>
      <c r="MKR819" s="134"/>
      <c r="MKS819" s="134"/>
      <c r="MKT819" s="134"/>
      <c r="MKU819" s="135"/>
      <c r="MKV819" s="133"/>
      <c r="MKW819" s="134"/>
      <c r="MKX819" s="134"/>
      <c r="MKY819" s="134"/>
      <c r="MKZ819" s="135"/>
      <c r="MLA819" s="132"/>
      <c r="MLB819" s="132"/>
      <c r="MLC819" s="132"/>
      <c r="MLD819" s="133"/>
      <c r="MLE819" s="134"/>
      <c r="MLF819" s="134"/>
      <c r="MLG819" s="134"/>
      <c r="MLH819" s="135"/>
      <c r="MLI819" s="133"/>
      <c r="MLJ819" s="134"/>
      <c r="MLK819" s="134"/>
      <c r="MLL819" s="134"/>
      <c r="MLM819" s="135"/>
      <c r="MLN819" s="132"/>
      <c r="MLO819" s="132"/>
      <c r="MLP819" s="132"/>
      <c r="MLQ819" s="133"/>
      <c r="MLR819" s="134"/>
      <c r="MLS819" s="134"/>
      <c r="MLT819" s="134"/>
      <c r="MLU819" s="135"/>
      <c r="MLV819" s="133"/>
      <c r="MLW819" s="134"/>
      <c r="MLX819" s="134"/>
      <c r="MLY819" s="134"/>
      <c r="MLZ819" s="135"/>
      <c r="MMA819" s="132"/>
      <c r="MMB819" s="132"/>
      <c r="MMC819" s="132"/>
      <c r="MMD819" s="133"/>
      <c r="MME819" s="134"/>
      <c r="MMF819" s="134"/>
      <c r="MMG819" s="134"/>
      <c r="MMH819" s="135"/>
      <c r="MMI819" s="133"/>
      <c r="MMJ819" s="134"/>
      <c r="MMK819" s="134"/>
      <c r="MML819" s="134"/>
      <c r="MMM819" s="135"/>
      <c r="MMN819" s="132"/>
      <c r="MMO819" s="132"/>
      <c r="MMP819" s="132"/>
      <c r="MMQ819" s="133"/>
      <c r="MMR819" s="134"/>
      <c r="MMS819" s="134"/>
      <c r="MMT819" s="134"/>
      <c r="MMU819" s="135"/>
      <c r="MMV819" s="133"/>
      <c r="MMW819" s="134"/>
      <c r="MMX819" s="134"/>
      <c r="MMY819" s="134"/>
      <c r="MMZ819" s="135"/>
      <c r="MNA819" s="132"/>
      <c r="MNB819" s="132"/>
      <c r="MNC819" s="132"/>
      <c r="MND819" s="133"/>
      <c r="MNE819" s="134"/>
      <c r="MNF819" s="134"/>
      <c r="MNG819" s="134"/>
      <c r="MNH819" s="135"/>
      <c r="MNI819" s="133"/>
      <c r="MNJ819" s="134"/>
      <c r="MNK819" s="134"/>
      <c r="MNL819" s="134"/>
      <c r="MNM819" s="135"/>
      <c r="MNN819" s="132"/>
      <c r="MNO819" s="132"/>
      <c r="MNP819" s="132"/>
      <c r="MNQ819" s="133"/>
      <c r="MNR819" s="134"/>
      <c r="MNS819" s="134"/>
      <c r="MNT819" s="134"/>
      <c r="MNU819" s="135"/>
      <c r="MNV819" s="133"/>
      <c r="MNW819" s="134"/>
      <c r="MNX819" s="134"/>
      <c r="MNY819" s="134"/>
      <c r="MNZ819" s="135"/>
      <c r="MOA819" s="132"/>
      <c r="MOB819" s="132"/>
      <c r="MOC819" s="132"/>
      <c r="MOD819" s="133"/>
      <c r="MOE819" s="134"/>
      <c r="MOF819" s="134"/>
      <c r="MOG819" s="134"/>
      <c r="MOH819" s="135"/>
      <c r="MOI819" s="133"/>
      <c r="MOJ819" s="134"/>
      <c r="MOK819" s="134"/>
      <c r="MOL819" s="134"/>
      <c r="MOM819" s="135"/>
      <c r="MON819" s="132"/>
      <c r="MOO819" s="132"/>
      <c r="MOP819" s="132"/>
      <c r="MOQ819" s="133"/>
      <c r="MOR819" s="134"/>
      <c r="MOS819" s="134"/>
      <c r="MOT819" s="134"/>
      <c r="MOU819" s="135"/>
      <c r="MOV819" s="133"/>
      <c r="MOW819" s="134"/>
      <c r="MOX819" s="134"/>
      <c r="MOY819" s="134"/>
      <c r="MOZ819" s="135"/>
      <c r="MPA819" s="132"/>
      <c r="MPB819" s="132"/>
      <c r="MPC819" s="132"/>
      <c r="MPD819" s="133"/>
      <c r="MPE819" s="134"/>
      <c r="MPF819" s="134"/>
      <c r="MPG819" s="134"/>
      <c r="MPH819" s="135"/>
      <c r="MPI819" s="133"/>
      <c r="MPJ819" s="134"/>
      <c r="MPK819" s="134"/>
      <c r="MPL819" s="134"/>
      <c r="MPM819" s="135"/>
      <c r="MPN819" s="132"/>
      <c r="MPO819" s="132"/>
      <c r="MPP819" s="132"/>
      <c r="MPQ819" s="133"/>
      <c r="MPR819" s="134"/>
      <c r="MPS819" s="134"/>
      <c r="MPT819" s="134"/>
      <c r="MPU819" s="135"/>
      <c r="MPV819" s="133"/>
      <c r="MPW819" s="134"/>
      <c r="MPX819" s="134"/>
      <c r="MPY819" s="134"/>
      <c r="MPZ819" s="135"/>
      <c r="MQA819" s="132"/>
      <c r="MQB819" s="132"/>
      <c r="MQC819" s="132"/>
      <c r="MQD819" s="133"/>
      <c r="MQE819" s="134"/>
      <c r="MQF819" s="134"/>
      <c r="MQG819" s="134"/>
      <c r="MQH819" s="135"/>
      <c r="MQI819" s="133"/>
      <c r="MQJ819" s="134"/>
      <c r="MQK819" s="134"/>
      <c r="MQL819" s="134"/>
      <c r="MQM819" s="135"/>
      <c r="MQN819" s="132"/>
      <c r="MQO819" s="132"/>
      <c r="MQP819" s="132"/>
      <c r="MQQ819" s="133"/>
      <c r="MQR819" s="134"/>
      <c r="MQS819" s="134"/>
      <c r="MQT819" s="134"/>
      <c r="MQU819" s="135"/>
      <c r="MQV819" s="133"/>
      <c r="MQW819" s="134"/>
      <c r="MQX819" s="134"/>
      <c r="MQY819" s="134"/>
      <c r="MQZ819" s="135"/>
      <c r="MRA819" s="132"/>
      <c r="MRB819" s="132"/>
      <c r="MRC819" s="132"/>
      <c r="MRD819" s="133"/>
      <c r="MRE819" s="134"/>
      <c r="MRF819" s="134"/>
      <c r="MRG819" s="134"/>
      <c r="MRH819" s="135"/>
      <c r="MRI819" s="133"/>
      <c r="MRJ819" s="134"/>
      <c r="MRK819" s="134"/>
      <c r="MRL819" s="134"/>
      <c r="MRM819" s="135"/>
      <c r="MRN819" s="132"/>
      <c r="MRO819" s="132"/>
      <c r="MRP819" s="132"/>
      <c r="MRQ819" s="133"/>
      <c r="MRR819" s="134"/>
      <c r="MRS819" s="134"/>
      <c r="MRT819" s="134"/>
      <c r="MRU819" s="135"/>
      <c r="MRV819" s="133"/>
      <c r="MRW819" s="134"/>
      <c r="MRX819" s="134"/>
      <c r="MRY819" s="134"/>
      <c r="MRZ819" s="135"/>
      <c r="MSA819" s="132"/>
      <c r="MSB819" s="132"/>
      <c r="MSC819" s="132"/>
      <c r="MSD819" s="133"/>
      <c r="MSE819" s="134"/>
      <c r="MSF819" s="134"/>
      <c r="MSG819" s="134"/>
      <c r="MSH819" s="135"/>
      <c r="MSI819" s="133"/>
      <c r="MSJ819" s="134"/>
      <c r="MSK819" s="134"/>
      <c r="MSL819" s="134"/>
      <c r="MSM819" s="135"/>
      <c r="MSN819" s="132"/>
      <c r="MSO819" s="132"/>
      <c r="MSP819" s="132"/>
      <c r="MSQ819" s="133"/>
      <c r="MSR819" s="134"/>
      <c r="MSS819" s="134"/>
      <c r="MST819" s="134"/>
      <c r="MSU819" s="135"/>
      <c r="MSV819" s="133"/>
      <c r="MSW819" s="134"/>
      <c r="MSX819" s="134"/>
      <c r="MSY819" s="134"/>
      <c r="MSZ819" s="135"/>
      <c r="MTA819" s="132"/>
      <c r="MTB819" s="132"/>
      <c r="MTC819" s="132"/>
      <c r="MTD819" s="133"/>
      <c r="MTE819" s="134"/>
      <c r="MTF819" s="134"/>
      <c r="MTG819" s="134"/>
      <c r="MTH819" s="135"/>
      <c r="MTI819" s="133"/>
      <c r="MTJ819" s="134"/>
      <c r="MTK819" s="134"/>
      <c r="MTL819" s="134"/>
      <c r="MTM819" s="135"/>
      <c r="MTN819" s="132"/>
      <c r="MTO819" s="132"/>
      <c r="MTP819" s="132"/>
      <c r="MTQ819" s="133"/>
      <c r="MTR819" s="134"/>
      <c r="MTS819" s="134"/>
      <c r="MTT819" s="134"/>
      <c r="MTU819" s="135"/>
      <c r="MTV819" s="133"/>
      <c r="MTW819" s="134"/>
      <c r="MTX819" s="134"/>
      <c r="MTY819" s="134"/>
      <c r="MTZ819" s="135"/>
      <c r="MUA819" s="132"/>
      <c r="MUB819" s="132"/>
      <c r="MUC819" s="132"/>
      <c r="MUD819" s="133"/>
      <c r="MUE819" s="134"/>
      <c r="MUF819" s="134"/>
      <c r="MUG819" s="134"/>
      <c r="MUH819" s="135"/>
      <c r="MUI819" s="133"/>
      <c r="MUJ819" s="134"/>
      <c r="MUK819" s="134"/>
      <c r="MUL819" s="134"/>
      <c r="MUM819" s="135"/>
      <c r="MUN819" s="132"/>
      <c r="MUO819" s="132"/>
      <c r="MUP819" s="132"/>
      <c r="MUQ819" s="133"/>
      <c r="MUR819" s="134"/>
      <c r="MUS819" s="134"/>
      <c r="MUT819" s="134"/>
      <c r="MUU819" s="135"/>
      <c r="MUV819" s="133"/>
      <c r="MUW819" s="134"/>
      <c r="MUX819" s="134"/>
      <c r="MUY819" s="134"/>
      <c r="MUZ819" s="135"/>
      <c r="MVA819" s="132"/>
      <c r="MVB819" s="132"/>
      <c r="MVC819" s="132"/>
      <c r="MVD819" s="133"/>
      <c r="MVE819" s="134"/>
      <c r="MVF819" s="134"/>
      <c r="MVG819" s="134"/>
      <c r="MVH819" s="135"/>
      <c r="MVI819" s="133"/>
      <c r="MVJ819" s="134"/>
      <c r="MVK819" s="134"/>
      <c r="MVL819" s="134"/>
      <c r="MVM819" s="135"/>
      <c r="MVN819" s="132"/>
      <c r="MVO819" s="132"/>
      <c r="MVP819" s="132"/>
      <c r="MVQ819" s="133"/>
      <c r="MVR819" s="134"/>
      <c r="MVS819" s="134"/>
      <c r="MVT819" s="134"/>
      <c r="MVU819" s="135"/>
      <c r="MVV819" s="133"/>
      <c r="MVW819" s="134"/>
      <c r="MVX819" s="134"/>
      <c r="MVY819" s="134"/>
      <c r="MVZ819" s="135"/>
      <c r="MWA819" s="132"/>
      <c r="MWB819" s="132"/>
      <c r="MWC819" s="132"/>
      <c r="MWD819" s="133"/>
      <c r="MWE819" s="134"/>
      <c r="MWF819" s="134"/>
      <c r="MWG819" s="134"/>
      <c r="MWH819" s="135"/>
      <c r="MWI819" s="133"/>
      <c r="MWJ819" s="134"/>
      <c r="MWK819" s="134"/>
      <c r="MWL819" s="134"/>
      <c r="MWM819" s="135"/>
      <c r="MWN819" s="132"/>
      <c r="MWO819" s="132"/>
      <c r="MWP819" s="132"/>
      <c r="MWQ819" s="133"/>
      <c r="MWR819" s="134"/>
      <c r="MWS819" s="134"/>
      <c r="MWT819" s="134"/>
      <c r="MWU819" s="135"/>
      <c r="MWV819" s="133"/>
      <c r="MWW819" s="134"/>
      <c r="MWX819" s="134"/>
      <c r="MWY819" s="134"/>
      <c r="MWZ819" s="135"/>
      <c r="MXA819" s="132"/>
      <c r="MXB819" s="132"/>
      <c r="MXC819" s="132"/>
      <c r="MXD819" s="133"/>
      <c r="MXE819" s="134"/>
      <c r="MXF819" s="134"/>
      <c r="MXG819" s="134"/>
      <c r="MXH819" s="135"/>
      <c r="MXI819" s="133"/>
      <c r="MXJ819" s="134"/>
      <c r="MXK819" s="134"/>
      <c r="MXL819" s="134"/>
      <c r="MXM819" s="135"/>
      <c r="MXN819" s="132"/>
      <c r="MXO819" s="132"/>
      <c r="MXP819" s="132"/>
      <c r="MXQ819" s="133"/>
      <c r="MXR819" s="134"/>
      <c r="MXS819" s="134"/>
      <c r="MXT819" s="134"/>
      <c r="MXU819" s="135"/>
      <c r="MXV819" s="133"/>
      <c r="MXW819" s="134"/>
      <c r="MXX819" s="134"/>
      <c r="MXY819" s="134"/>
      <c r="MXZ819" s="135"/>
      <c r="MYA819" s="132"/>
      <c r="MYB819" s="132"/>
      <c r="MYC819" s="132"/>
      <c r="MYD819" s="133"/>
      <c r="MYE819" s="134"/>
      <c r="MYF819" s="134"/>
      <c r="MYG819" s="134"/>
      <c r="MYH819" s="135"/>
      <c r="MYI819" s="133"/>
      <c r="MYJ819" s="134"/>
      <c r="MYK819" s="134"/>
      <c r="MYL819" s="134"/>
      <c r="MYM819" s="135"/>
      <c r="MYN819" s="132"/>
      <c r="MYO819" s="132"/>
      <c r="MYP819" s="132"/>
      <c r="MYQ819" s="133"/>
      <c r="MYR819" s="134"/>
      <c r="MYS819" s="134"/>
      <c r="MYT819" s="134"/>
      <c r="MYU819" s="135"/>
      <c r="MYV819" s="133"/>
      <c r="MYW819" s="134"/>
      <c r="MYX819" s="134"/>
      <c r="MYY819" s="134"/>
      <c r="MYZ819" s="135"/>
      <c r="MZA819" s="132"/>
      <c r="MZB819" s="132"/>
      <c r="MZC819" s="132"/>
      <c r="MZD819" s="133"/>
      <c r="MZE819" s="134"/>
      <c r="MZF819" s="134"/>
      <c r="MZG819" s="134"/>
      <c r="MZH819" s="135"/>
      <c r="MZI819" s="133"/>
      <c r="MZJ819" s="134"/>
      <c r="MZK819" s="134"/>
      <c r="MZL819" s="134"/>
      <c r="MZM819" s="135"/>
      <c r="MZN819" s="132"/>
      <c r="MZO819" s="132"/>
      <c r="MZP819" s="132"/>
      <c r="MZQ819" s="133"/>
      <c r="MZR819" s="134"/>
      <c r="MZS819" s="134"/>
      <c r="MZT819" s="134"/>
      <c r="MZU819" s="135"/>
      <c r="MZV819" s="133"/>
      <c r="MZW819" s="134"/>
      <c r="MZX819" s="134"/>
      <c r="MZY819" s="134"/>
      <c r="MZZ819" s="135"/>
      <c r="NAA819" s="132"/>
      <c r="NAB819" s="132"/>
      <c r="NAC819" s="132"/>
      <c r="NAD819" s="133"/>
      <c r="NAE819" s="134"/>
      <c r="NAF819" s="134"/>
      <c r="NAG819" s="134"/>
      <c r="NAH819" s="135"/>
      <c r="NAI819" s="133"/>
      <c r="NAJ819" s="134"/>
      <c r="NAK819" s="134"/>
      <c r="NAL819" s="134"/>
      <c r="NAM819" s="135"/>
      <c r="NAN819" s="132"/>
      <c r="NAO819" s="132"/>
      <c r="NAP819" s="132"/>
      <c r="NAQ819" s="133"/>
      <c r="NAR819" s="134"/>
      <c r="NAS819" s="134"/>
      <c r="NAT819" s="134"/>
      <c r="NAU819" s="135"/>
      <c r="NAV819" s="133"/>
      <c r="NAW819" s="134"/>
      <c r="NAX819" s="134"/>
      <c r="NAY819" s="134"/>
      <c r="NAZ819" s="135"/>
      <c r="NBA819" s="132"/>
      <c r="NBB819" s="132"/>
      <c r="NBC819" s="132"/>
      <c r="NBD819" s="133"/>
      <c r="NBE819" s="134"/>
      <c r="NBF819" s="134"/>
      <c r="NBG819" s="134"/>
      <c r="NBH819" s="135"/>
      <c r="NBI819" s="133"/>
      <c r="NBJ819" s="134"/>
      <c r="NBK819" s="134"/>
      <c r="NBL819" s="134"/>
      <c r="NBM819" s="135"/>
      <c r="NBN819" s="132"/>
      <c r="NBO819" s="132"/>
      <c r="NBP819" s="132"/>
      <c r="NBQ819" s="133"/>
      <c r="NBR819" s="134"/>
      <c r="NBS819" s="134"/>
      <c r="NBT819" s="134"/>
      <c r="NBU819" s="135"/>
      <c r="NBV819" s="133"/>
      <c r="NBW819" s="134"/>
      <c r="NBX819" s="134"/>
      <c r="NBY819" s="134"/>
      <c r="NBZ819" s="135"/>
      <c r="NCA819" s="132"/>
      <c r="NCB819" s="132"/>
      <c r="NCC819" s="132"/>
      <c r="NCD819" s="133"/>
      <c r="NCE819" s="134"/>
      <c r="NCF819" s="134"/>
      <c r="NCG819" s="134"/>
      <c r="NCH819" s="135"/>
      <c r="NCI819" s="133"/>
      <c r="NCJ819" s="134"/>
      <c r="NCK819" s="134"/>
      <c r="NCL819" s="134"/>
      <c r="NCM819" s="135"/>
      <c r="NCN819" s="132"/>
      <c r="NCO819" s="132"/>
      <c r="NCP819" s="132"/>
      <c r="NCQ819" s="133"/>
      <c r="NCR819" s="134"/>
      <c r="NCS819" s="134"/>
      <c r="NCT819" s="134"/>
      <c r="NCU819" s="135"/>
      <c r="NCV819" s="133"/>
      <c r="NCW819" s="134"/>
      <c r="NCX819" s="134"/>
      <c r="NCY819" s="134"/>
      <c r="NCZ819" s="135"/>
      <c r="NDA819" s="132"/>
      <c r="NDB819" s="132"/>
      <c r="NDC819" s="132"/>
      <c r="NDD819" s="133"/>
      <c r="NDE819" s="134"/>
      <c r="NDF819" s="134"/>
      <c r="NDG819" s="134"/>
      <c r="NDH819" s="135"/>
      <c r="NDI819" s="133"/>
      <c r="NDJ819" s="134"/>
      <c r="NDK819" s="134"/>
      <c r="NDL819" s="134"/>
      <c r="NDM819" s="135"/>
      <c r="NDN819" s="132"/>
      <c r="NDO819" s="132"/>
      <c r="NDP819" s="132"/>
      <c r="NDQ819" s="133"/>
      <c r="NDR819" s="134"/>
      <c r="NDS819" s="134"/>
      <c r="NDT819" s="134"/>
      <c r="NDU819" s="135"/>
      <c r="NDV819" s="133"/>
      <c r="NDW819" s="134"/>
      <c r="NDX819" s="134"/>
      <c r="NDY819" s="134"/>
      <c r="NDZ819" s="135"/>
      <c r="NEA819" s="132"/>
      <c r="NEB819" s="132"/>
      <c r="NEC819" s="132"/>
      <c r="NED819" s="133"/>
      <c r="NEE819" s="134"/>
      <c r="NEF819" s="134"/>
      <c r="NEG819" s="134"/>
      <c r="NEH819" s="135"/>
      <c r="NEI819" s="133"/>
      <c r="NEJ819" s="134"/>
      <c r="NEK819" s="134"/>
      <c r="NEL819" s="134"/>
      <c r="NEM819" s="135"/>
      <c r="NEN819" s="132"/>
      <c r="NEO819" s="132"/>
      <c r="NEP819" s="132"/>
      <c r="NEQ819" s="133"/>
      <c r="NER819" s="134"/>
      <c r="NES819" s="134"/>
      <c r="NET819" s="134"/>
      <c r="NEU819" s="135"/>
      <c r="NEV819" s="133"/>
      <c r="NEW819" s="134"/>
      <c r="NEX819" s="134"/>
      <c r="NEY819" s="134"/>
      <c r="NEZ819" s="135"/>
      <c r="NFA819" s="132"/>
      <c r="NFB819" s="132"/>
      <c r="NFC819" s="132"/>
      <c r="NFD819" s="133"/>
      <c r="NFE819" s="134"/>
      <c r="NFF819" s="134"/>
      <c r="NFG819" s="134"/>
      <c r="NFH819" s="135"/>
      <c r="NFI819" s="133"/>
      <c r="NFJ819" s="134"/>
      <c r="NFK819" s="134"/>
      <c r="NFL819" s="134"/>
      <c r="NFM819" s="135"/>
      <c r="NFN819" s="132"/>
      <c r="NFO819" s="132"/>
      <c r="NFP819" s="132"/>
      <c r="NFQ819" s="133"/>
      <c r="NFR819" s="134"/>
      <c r="NFS819" s="134"/>
      <c r="NFT819" s="134"/>
      <c r="NFU819" s="135"/>
      <c r="NFV819" s="133"/>
      <c r="NFW819" s="134"/>
      <c r="NFX819" s="134"/>
      <c r="NFY819" s="134"/>
      <c r="NFZ819" s="135"/>
      <c r="NGA819" s="132"/>
      <c r="NGB819" s="132"/>
      <c r="NGC819" s="132"/>
      <c r="NGD819" s="133"/>
      <c r="NGE819" s="134"/>
      <c r="NGF819" s="134"/>
      <c r="NGG819" s="134"/>
      <c r="NGH819" s="135"/>
      <c r="NGI819" s="133"/>
      <c r="NGJ819" s="134"/>
      <c r="NGK819" s="134"/>
      <c r="NGL819" s="134"/>
      <c r="NGM819" s="135"/>
      <c r="NGN819" s="132"/>
      <c r="NGO819" s="132"/>
      <c r="NGP819" s="132"/>
      <c r="NGQ819" s="133"/>
      <c r="NGR819" s="134"/>
      <c r="NGS819" s="134"/>
      <c r="NGT819" s="134"/>
      <c r="NGU819" s="135"/>
      <c r="NGV819" s="133"/>
      <c r="NGW819" s="134"/>
      <c r="NGX819" s="134"/>
      <c r="NGY819" s="134"/>
      <c r="NGZ819" s="135"/>
      <c r="NHA819" s="132"/>
      <c r="NHB819" s="132"/>
      <c r="NHC819" s="132"/>
      <c r="NHD819" s="133"/>
      <c r="NHE819" s="134"/>
      <c r="NHF819" s="134"/>
      <c r="NHG819" s="134"/>
      <c r="NHH819" s="135"/>
      <c r="NHI819" s="133"/>
      <c r="NHJ819" s="134"/>
      <c r="NHK819" s="134"/>
      <c r="NHL819" s="134"/>
      <c r="NHM819" s="135"/>
      <c r="NHN819" s="132"/>
      <c r="NHO819" s="132"/>
      <c r="NHP819" s="132"/>
      <c r="NHQ819" s="133"/>
      <c r="NHR819" s="134"/>
      <c r="NHS819" s="134"/>
      <c r="NHT819" s="134"/>
      <c r="NHU819" s="135"/>
      <c r="NHV819" s="133"/>
      <c r="NHW819" s="134"/>
      <c r="NHX819" s="134"/>
      <c r="NHY819" s="134"/>
      <c r="NHZ819" s="135"/>
      <c r="NIA819" s="132"/>
      <c r="NIB819" s="132"/>
      <c r="NIC819" s="132"/>
      <c r="NID819" s="133"/>
      <c r="NIE819" s="134"/>
      <c r="NIF819" s="134"/>
      <c r="NIG819" s="134"/>
      <c r="NIH819" s="135"/>
      <c r="NII819" s="133"/>
      <c r="NIJ819" s="134"/>
      <c r="NIK819" s="134"/>
      <c r="NIL819" s="134"/>
      <c r="NIM819" s="135"/>
      <c r="NIN819" s="132"/>
      <c r="NIO819" s="132"/>
      <c r="NIP819" s="132"/>
      <c r="NIQ819" s="133"/>
      <c r="NIR819" s="134"/>
      <c r="NIS819" s="134"/>
      <c r="NIT819" s="134"/>
      <c r="NIU819" s="135"/>
      <c r="NIV819" s="133"/>
      <c r="NIW819" s="134"/>
      <c r="NIX819" s="134"/>
      <c r="NIY819" s="134"/>
      <c r="NIZ819" s="135"/>
      <c r="NJA819" s="132"/>
      <c r="NJB819" s="132"/>
      <c r="NJC819" s="132"/>
      <c r="NJD819" s="133"/>
      <c r="NJE819" s="134"/>
      <c r="NJF819" s="134"/>
      <c r="NJG819" s="134"/>
      <c r="NJH819" s="135"/>
      <c r="NJI819" s="133"/>
      <c r="NJJ819" s="134"/>
      <c r="NJK819" s="134"/>
      <c r="NJL819" s="134"/>
      <c r="NJM819" s="135"/>
      <c r="NJN819" s="132"/>
      <c r="NJO819" s="132"/>
      <c r="NJP819" s="132"/>
      <c r="NJQ819" s="133"/>
      <c r="NJR819" s="134"/>
      <c r="NJS819" s="134"/>
      <c r="NJT819" s="134"/>
      <c r="NJU819" s="135"/>
      <c r="NJV819" s="133"/>
      <c r="NJW819" s="134"/>
      <c r="NJX819" s="134"/>
      <c r="NJY819" s="134"/>
      <c r="NJZ819" s="135"/>
      <c r="NKA819" s="132"/>
      <c r="NKB819" s="132"/>
      <c r="NKC819" s="132"/>
      <c r="NKD819" s="133"/>
      <c r="NKE819" s="134"/>
      <c r="NKF819" s="134"/>
      <c r="NKG819" s="134"/>
      <c r="NKH819" s="135"/>
      <c r="NKI819" s="133"/>
      <c r="NKJ819" s="134"/>
      <c r="NKK819" s="134"/>
      <c r="NKL819" s="134"/>
      <c r="NKM819" s="135"/>
      <c r="NKN819" s="132"/>
      <c r="NKO819" s="132"/>
      <c r="NKP819" s="132"/>
      <c r="NKQ819" s="133"/>
      <c r="NKR819" s="134"/>
      <c r="NKS819" s="134"/>
      <c r="NKT819" s="134"/>
      <c r="NKU819" s="135"/>
      <c r="NKV819" s="133"/>
      <c r="NKW819" s="134"/>
      <c r="NKX819" s="134"/>
      <c r="NKY819" s="134"/>
      <c r="NKZ819" s="135"/>
      <c r="NLA819" s="132"/>
      <c r="NLB819" s="132"/>
      <c r="NLC819" s="132"/>
      <c r="NLD819" s="133"/>
      <c r="NLE819" s="134"/>
      <c r="NLF819" s="134"/>
      <c r="NLG819" s="134"/>
      <c r="NLH819" s="135"/>
      <c r="NLI819" s="133"/>
      <c r="NLJ819" s="134"/>
      <c r="NLK819" s="134"/>
      <c r="NLL819" s="134"/>
      <c r="NLM819" s="135"/>
      <c r="NLN819" s="132"/>
      <c r="NLO819" s="132"/>
      <c r="NLP819" s="132"/>
      <c r="NLQ819" s="133"/>
      <c r="NLR819" s="134"/>
      <c r="NLS819" s="134"/>
      <c r="NLT819" s="134"/>
      <c r="NLU819" s="135"/>
      <c r="NLV819" s="133"/>
      <c r="NLW819" s="134"/>
      <c r="NLX819" s="134"/>
      <c r="NLY819" s="134"/>
      <c r="NLZ819" s="135"/>
      <c r="NMA819" s="132"/>
      <c r="NMB819" s="132"/>
      <c r="NMC819" s="132"/>
      <c r="NMD819" s="133"/>
      <c r="NME819" s="134"/>
      <c r="NMF819" s="134"/>
      <c r="NMG819" s="134"/>
      <c r="NMH819" s="135"/>
      <c r="NMI819" s="133"/>
      <c r="NMJ819" s="134"/>
      <c r="NMK819" s="134"/>
      <c r="NML819" s="134"/>
      <c r="NMM819" s="135"/>
      <c r="NMN819" s="132"/>
      <c r="NMO819" s="132"/>
      <c r="NMP819" s="132"/>
      <c r="NMQ819" s="133"/>
      <c r="NMR819" s="134"/>
      <c r="NMS819" s="134"/>
      <c r="NMT819" s="134"/>
      <c r="NMU819" s="135"/>
      <c r="NMV819" s="133"/>
      <c r="NMW819" s="134"/>
      <c r="NMX819" s="134"/>
      <c r="NMY819" s="134"/>
      <c r="NMZ819" s="135"/>
      <c r="NNA819" s="132"/>
      <c r="NNB819" s="132"/>
      <c r="NNC819" s="132"/>
      <c r="NND819" s="133"/>
      <c r="NNE819" s="134"/>
      <c r="NNF819" s="134"/>
      <c r="NNG819" s="134"/>
      <c r="NNH819" s="135"/>
      <c r="NNI819" s="133"/>
      <c r="NNJ819" s="134"/>
      <c r="NNK819" s="134"/>
      <c r="NNL819" s="134"/>
      <c r="NNM819" s="135"/>
      <c r="NNN819" s="132"/>
      <c r="NNO819" s="132"/>
      <c r="NNP819" s="132"/>
      <c r="NNQ819" s="133"/>
      <c r="NNR819" s="134"/>
      <c r="NNS819" s="134"/>
      <c r="NNT819" s="134"/>
      <c r="NNU819" s="135"/>
      <c r="NNV819" s="133"/>
      <c r="NNW819" s="134"/>
      <c r="NNX819" s="134"/>
      <c r="NNY819" s="134"/>
      <c r="NNZ819" s="135"/>
      <c r="NOA819" s="132"/>
      <c r="NOB819" s="132"/>
      <c r="NOC819" s="132"/>
      <c r="NOD819" s="133"/>
      <c r="NOE819" s="134"/>
      <c r="NOF819" s="134"/>
      <c r="NOG819" s="134"/>
      <c r="NOH819" s="135"/>
      <c r="NOI819" s="133"/>
      <c r="NOJ819" s="134"/>
      <c r="NOK819" s="134"/>
      <c r="NOL819" s="134"/>
      <c r="NOM819" s="135"/>
      <c r="NON819" s="132"/>
      <c r="NOO819" s="132"/>
      <c r="NOP819" s="132"/>
      <c r="NOQ819" s="133"/>
      <c r="NOR819" s="134"/>
      <c r="NOS819" s="134"/>
      <c r="NOT819" s="134"/>
      <c r="NOU819" s="135"/>
      <c r="NOV819" s="133"/>
      <c r="NOW819" s="134"/>
      <c r="NOX819" s="134"/>
      <c r="NOY819" s="134"/>
      <c r="NOZ819" s="135"/>
      <c r="NPA819" s="132"/>
      <c r="NPB819" s="132"/>
      <c r="NPC819" s="132"/>
      <c r="NPD819" s="133"/>
      <c r="NPE819" s="134"/>
      <c r="NPF819" s="134"/>
      <c r="NPG819" s="134"/>
      <c r="NPH819" s="135"/>
      <c r="NPI819" s="133"/>
      <c r="NPJ819" s="134"/>
      <c r="NPK819" s="134"/>
      <c r="NPL819" s="134"/>
      <c r="NPM819" s="135"/>
      <c r="NPN819" s="132"/>
      <c r="NPO819" s="132"/>
      <c r="NPP819" s="132"/>
      <c r="NPQ819" s="133"/>
      <c r="NPR819" s="134"/>
      <c r="NPS819" s="134"/>
      <c r="NPT819" s="134"/>
      <c r="NPU819" s="135"/>
      <c r="NPV819" s="133"/>
      <c r="NPW819" s="134"/>
      <c r="NPX819" s="134"/>
      <c r="NPY819" s="134"/>
      <c r="NPZ819" s="135"/>
      <c r="NQA819" s="132"/>
      <c r="NQB819" s="132"/>
      <c r="NQC819" s="132"/>
      <c r="NQD819" s="133"/>
      <c r="NQE819" s="134"/>
      <c r="NQF819" s="134"/>
      <c r="NQG819" s="134"/>
      <c r="NQH819" s="135"/>
      <c r="NQI819" s="133"/>
      <c r="NQJ819" s="134"/>
      <c r="NQK819" s="134"/>
      <c r="NQL819" s="134"/>
      <c r="NQM819" s="135"/>
      <c r="NQN819" s="132"/>
      <c r="NQO819" s="132"/>
      <c r="NQP819" s="132"/>
      <c r="NQQ819" s="133"/>
      <c r="NQR819" s="134"/>
      <c r="NQS819" s="134"/>
      <c r="NQT819" s="134"/>
      <c r="NQU819" s="135"/>
      <c r="NQV819" s="133"/>
      <c r="NQW819" s="134"/>
      <c r="NQX819" s="134"/>
      <c r="NQY819" s="134"/>
      <c r="NQZ819" s="135"/>
      <c r="NRA819" s="132"/>
      <c r="NRB819" s="132"/>
      <c r="NRC819" s="132"/>
      <c r="NRD819" s="133"/>
      <c r="NRE819" s="134"/>
      <c r="NRF819" s="134"/>
      <c r="NRG819" s="134"/>
      <c r="NRH819" s="135"/>
      <c r="NRI819" s="133"/>
      <c r="NRJ819" s="134"/>
      <c r="NRK819" s="134"/>
      <c r="NRL819" s="134"/>
      <c r="NRM819" s="135"/>
      <c r="NRN819" s="132"/>
      <c r="NRO819" s="132"/>
      <c r="NRP819" s="132"/>
      <c r="NRQ819" s="133"/>
      <c r="NRR819" s="134"/>
      <c r="NRS819" s="134"/>
      <c r="NRT819" s="134"/>
      <c r="NRU819" s="135"/>
      <c r="NRV819" s="133"/>
      <c r="NRW819" s="134"/>
      <c r="NRX819" s="134"/>
      <c r="NRY819" s="134"/>
      <c r="NRZ819" s="135"/>
      <c r="NSA819" s="132"/>
      <c r="NSB819" s="132"/>
      <c r="NSC819" s="132"/>
      <c r="NSD819" s="133"/>
      <c r="NSE819" s="134"/>
      <c r="NSF819" s="134"/>
      <c r="NSG819" s="134"/>
      <c r="NSH819" s="135"/>
      <c r="NSI819" s="133"/>
      <c r="NSJ819" s="134"/>
      <c r="NSK819" s="134"/>
      <c r="NSL819" s="134"/>
      <c r="NSM819" s="135"/>
      <c r="NSN819" s="132"/>
      <c r="NSO819" s="132"/>
      <c r="NSP819" s="132"/>
      <c r="NSQ819" s="133"/>
      <c r="NSR819" s="134"/>
      <c r="NSS819" s="134"/>
      <c r="NST819" s="134"/>
      <c r="NSU819" s="135"/>
      <c r="NSV819" s="133"/>
      <c r="NSW819" s="134"/>
      <c r="NSX819" s="134"/>
      <c r="NSY819" s="134"/>
      <c r="NSZ819" s="135"/>
      <c r="NTA819" s="132"/>
      <c r="NTB819" s="132"/>
      <c r="NTC819" s="132"/>
      <c r="NTD819" s="133"/>
      <c r="NTE819" s="134"/>
      <c r="NTF819" s="134"/>
      <c r="NTG819" s="134"/>
      <c r="NTH819" s="135"/>
      <c r="NTI819" s="133"/>
      <c r="NTJ819" s="134"/>
      <c r="NTK819" s="134"/>
      <c r="NTL819" s="134"/>
      <c r="NTM819" s="135"/>
      <c r="NTN819" s="132"/>
      <c r="NTO819" s="132"/>
      <c r="NTP819" s="132"/>
      <c r="NTQ819" s="133"/>
      <c r="NTR819" s="134"/>
      <c r="NTS819" s="134"/>
      <c r="NTT819" s="134"/>
      <c r="NTU819" s="135"/>
      <c r="NTV819" s="133"/>
      <c r="NTW819" s="134"/>
      <c r="NTX819" s="134"/>
      <c r="NTY819" s="134"/>
      <c r="NTZ819" s="135"/>
      <c r="NUA819" s="132"/>
      <c r="NUB819" s="132"/>
      <c r="NUC819" s="132"/>
      <c r="NUD819" s="133"/>
      <c r="NUE819" s="134"/>
      <c r="NUF819" s="134"/>
      <c r="NUG819" s="134"/>
      <c r="NUH819" s="135"/>
      <c r="NUI819" s="133"/>
      <c r="NUJ819" s="134"/>
      <c r="NUK819" s="134"/>
      <c r="NUL819" s="134"/>
      <c r="NUM819" s="135"/>
      <c r="NUN819" s="132"/>
      <c r="NUO819" s="132"/>
      <c r="NUP819" s="132"/>
      <c r="NUQ819" s="133"/>
      <c r="NUR819" s="134"/>
      <c r="NUS819" s="134"/>
      <c r="NUT819" s="134"/>
      <c r="NUU819" s="135"/>
      <c r="NUV819" s="133"/>
      <c r="NUW819" s="134"/>
      <c r="NUX819" s="134"/>
      <c r="NUY819" s="134"/>
      <c r="NUZ819" s="135"/>
      <c r="NVA819" s="132"/>
      <c r="NVB819" s="132"/>
      <c r="NVC819" s="132"/>
      <c r="NVD819" s="133"/>
      <c r="NVE819" s="134"/>
      <c r="NVF819" s="134"/>
      <c r="NVG819" s="134"/>
      <c r="NVH819" s="135"/>
      <c r="NVI819" s="133"/>
      <c r="NVJ819" s="134"/>
      <c r="NVK819" s="134"/>
      <c r="NVL819" s="134"/>
      <c r="NVM819" s="135"/>
      <c r="NVN819" s="132"/>
      <c r="NVO819" s="132"/>
      <c r="NVP819" s="132"/>
      <c r="NVQ819" s="133"/>
      <c r="NVR819" s="134"/>
      <c r="NVS819" s="134"/>
      <c r="NVT819" s="134"/>
      <c r="NVU819" s="135"/>
      <c r="NVV819" s="133"/>
      <c r="NVW819" s="134"/>
      <c r="NVX819" s="134"/>
      <c r="NVY819" s="134"/>
      <c r="NVZ819" s="135"/>
      <c r="NWA819" s="132"/>
      <c r="NWB819" s="132"/>
      <c r="NWC819" s="132"/>
      <c r="NWD819" s="133"/>
      <c r="NWE819" s="134"/>
      <c r="NWF819" s="134"/>
      <c r="NWG819" s="134"/>
      <c r="NWH819" s="135"/>
      <c r="NWI819" s="133"/>
      <c r="NWJ819" s="134"/>
      <c r="NWK819" s="134"/>
      <c r="NWL819" s="134"/>
      <c r="NWM819" s="135"/>
      <c r="NWN819" s="132"/>
      <c r="NWO819" s="132"/>
      <c r="NWP819" s="132"/>
      <c r="NWQ819" s="133"/>
      <c r="NWR819" s="134"/>
      <c r="NWS819" s="134"/>
      <c r="NWT819" s="134"/>
      <c r="NWU819" s="135"/>
      <c r="NWV819" s="133"/>
      <c r="NWW819" s="134"/>
      <c r="NWX819" s="134"/>
      <c r="NWY819" s="134"/>
      <c r="NWZ819" s="135"/>
      <c r="NXA819" s="132"/>
      <c r="NXB819" s="132"/>
      <c r="NXC819" s="132"/>
      <c r="NXD819" s="133"/>
      <c r="NXE819" s="134"/>
      <c r="NXF819" s="134"/>
      <c r="NXG819" s="134"/>
      <c r="NXH819" s="135"/>
      <c r="NXI819" s="133"/>
      <c r="NXJ819" s="134"/>
      <c r="NXK819" s="134"/>
      <c r="NXL819" s="134"/>
      <c r="NXM819" s="135"/>
      <c r="NXN819" s="132"/>
      <c r="NXO819" s="132"/>
      <c r="NXP819" s="132"/>
      <c r="NXQ819" s="133"/>
      <c r="NXR819" s="134"/>
      <c r="NXS819" s="134"/>
      <c r="NXT819" s="134"/>
      <c r="NXU819" s="135"/>
      <c r="NXV819" s="133"/>
      <c r="NXW819" s="134"/>
      <c r="NXX819" s="134"/>
      <c r="NXY819" s="134"/>
      <c r="NXZ819" s="135"/>
      <c r="NYA819" s="132"/>
      <c r="NYB819" s="132"/>
      <c r="NYC819" s="132"/>
      <c r="NYD819" s="133"/>
      <c r="NYE819" s="134"/>
      <c r="NYF819" s="134"/>
      <c r="NYG819" s="134"/>
      <c r="NYH819" s="135"/>
      <c r="NYI819" s="133"/>
      <c r="NYJ819" s="134"/>
      <c r="NYK819" s="134"/>
      <c r="NYL819" s="134"/>
      <c r="NYM819" s="135"/>
      <c r="NYN819" s="132"/>
      <c r="NYO819" s="132"/>
      <c r="NYP819" s="132"/>
      <c r="NYQ819" s="133"/>
      <c r="NYR819" s="134"/>
      <c r="NYS819" s="134"/>
      <c r="NYT819" s="134"/>
      <c r="NYU819" s="135"/>
      <c r="NYV819" s="133"/>
      <c r="NYW819" s="134"/>
      <c r="NYX819" s="134"/>
      <c r="NYY819" s="134"/>
      <c r="NYZ819" s="135"/>
      <c r="NZA819" s="132"/>
      <c r="NZB819" s="132"/>
      <c r="NZC819" s="132"/>
      <c r="NZD819" s="133"/>
      <c r="NZE819" s="134"/>
      <c r="NZF819" s="134"/>
      <c r="NZG819" s="134"/>
      <c r="NZH819" s="135"/>
      <c r="NZI819" s="133"/>
      <c r="NZJ819" s="134"/>
      <c r="NZK819" s="134"/>
      <c r="NZL819" s="134"/>
      <c r="NZM819" s="135"/>
      <c r="NZN819" s="132"/>
      <c r="NZO819" s="132"/>
      <c r="NZP819" s="132"/>
      <c r="NZQ819" s="133"/>
      <c r="NZR819" s="134"/>
      <c r="NZS819" s="134"/>
      <c r="NZT819" s="134"/>
      <c r="NZU819" s="135"/>
      <c r="NZV819" s="133"/>
      <c r="NZW819" s="134"/>
      <c r="NZX819" s="134"/>
      <c r="NZY819" s="134"/>
      <c r="NZZ819" s="135"/>
      <c r="OAA819" s="132"/>
      <c r="OAB819" s="132"/>
      <c r="OAC819" s="132"/>
      <c r="OAD819" s="133"/>
      <c r="OAE819" s="134"/>
      <c r="OAF819" s="134"/>
      <c r="OAG819" s="134"/>
      <c r="OAH819" s="135"/>
      <c r="OAI819" s="133"/>
      <c r="OAJ819" s="134"/>
      <c r="OAK819" s="134"/>
      <c r="OAL819" s="134"/>
      <c r="OAM819" s="135"/>
      <c r="OAN819" s="132"/>
      <c r="OAO819" s="132"/>
      <c r="OAP819" s="132"/>
      <c r="OAQ819" s="133"/>
      <c r="OAR819" s="134"/>
      <c r="OAS819" s="134"/>
      <c r="OAT819" s="134"/>
      <c r="OAU819" s="135"/>
      <c r="OAV819" s="133"/>
      <c r="OAW819" s="134"/>
      <c r="OAX819" s="134"/>
      <c r="OAY819" s="134"/>
      <c r="OAZ819" s="135"/>
      <c r="OBA819" s="132"/>
      <c r="OBB819" s="132"/>
      <c r="OBC819" s="132"/>
      <c r="OBD819" s="133"/>
      <c r="OBE819" s="134"/>
      <c r="OBF819" s="134"/>
      <c r="OBG819" s="134"/>
      <c r="OBH819" s="135"/>
      <c r="OBI819" s="133"/>
      <c r="OBJ819" s="134"/>
      <c r="OBK819" s="134"/>
      <c r="OBL819" s="134"/>
      <c r="OBM819" s="135"/>
      <c r="OBN819" s="132"/>
      <c r="OBO819" s="132"/>
      <c r="OBP819" s="132"/>
      <c r="OBQ819" s="133"/>
      <c r="OBR819" s="134"/>
      <c r="OBS819" s="134"/>
      <c r="OBT819" s="134"/>
      <c r="OBU819" s="135"/>
      <c r="OBV819" s="133"/>
      <c r="OBW819" s="134"/>
      <c r="OBX819" s="134"/>
      <c r="OBY819" s="134"/>
      <c r="OBZ819" s="135"/>
      <c r="OCA819" s="132"/>
      <c r="OCB819" s="132"/>
      <c r="OCC819" s="132"/>
      <c r="OCD819" s="133"/>
      <c r="OCE819" s="134"/>
      <c r="OCF819" s="134"/>
      <c r="OCG819" s="134"/>
      <c r="OCH819" s="135"/>
      <c r="OCI819" s="133"/>
      <c r="OCJ819" s="134"/>
      <c r="OCK819" s="134"/>
      <c r="OCL819" s="134"/>
      <c r="OCM819" s="135"/>
      <c r="OCN819" s="132"/>
      <c r="OCO819" s="132"/>
      <c r="OCP819" s="132"/>
      <c r="OCQ819" s="133"/>
      <c r="OCR819" s="134"/>
      <c r="OCS819" s="134"/>
      <c r="OCT819" s="134"/>
      <c r="OCU819" s="135"/>
      <c r="OCV819" s="133"/>
      <c r="OCW819" s="134"/>
      <c r="OCX819" s="134"/>
      <c r="OCY819" s="134"/>
      <c r="OCZ819" s="135"/>
      <c r="ODA819" s="132"/>
      <c r="ODB819" s="132"/>
      <c r="ODC819" s="132"/>
      <c r="ODD819" s="133"/>
      <c r="ODE819" s="134"/>
      <c r="ODF819" s="134"/>
      <c r="ODG819" s="134"/>
      <c r="ODH819" s="135"/>
      <c r="ODI819" s="133"/>
      <c r="ODJ819" s="134"/>
      <c r="ODK819" s="134"/>
      <c r="ODL819" s="134"/>
      <c r="ODM819" s="135"/>
      <c r="ODN819" s="132"/>
      <c r="ODO819" s="132"/>
      <c r="ODP819" s="132"/>
      <c r="ODQ819" s="133"/>
      <c r="ODR819" s="134"/>
      <c r="ODS819" s="134"/>
      <c r="ODT819" s="134"/>
      <c r="ODU819" s="135"/>
      <c r="ODV819" s="133"/>
      <c r="ODW819" s="134"/>
      <c r="ODX819" s="134"/>
      <c r="ODY819" s="134"/>
      <c r="ODZ819" s="135"/>
      <c r="OEA819" s="132"/>
      <c r="OEB819" s="132"/>
      <c r="OEC819" s="132"/>
      <c r="OED819" s="133"/>
      <c r="OEE819" s="134"/>
      <c r="OEF819" s="134"/>
      <c r="OEG819" s="134"/>
      <c r="OEH819" s="135"/>
      <c r="OEI819" s="133"/>
      <c r="OEJ819" s="134"/>
      <c r="OEK819" s="134"/>
      <c r="OEL819" s="134"/>
      <c r="OEM819" s="135"/>
      <c r="OEN819" s="132"/>
      <c r="OEO819" s="132"/>
      <c r="OEP819" s="132"/>
      <c r="OEQ819" s="133"/>
      <c r="OER819" s="134"/>
      <c r="OES819" s="134"/>
      <c r="OET819" s="134"/>
      <c r="OEU819" s="135"/>
      <c r="OEV819" s="133"/>
      <c r="OEW819" s="134"/>
      <c r="OEX819" s="134"/>
      <c r="OEY819" s="134"/>
      <c r="OEZ819" s="135"/>
      <c r="OFA819" s="132"/>
      <c r="OFB819" s="132"/>
      <c r="OFC819" s="132"/>
      <c r="OFD819" s="133"/>
      <c r="OFE819" s="134"/>
      <c r="OFF819" s="134"/>
      <c r="OFG819" s="134"/>
      <c r="OFH819" s="135"/>
      <c r="OFI819" s="133"/>
      <c r="OFJ819" s="134"/>
      <c r="OFK819" s="134"/>
      <c r="OFL819" s="134"/>
      <c r="OFM819" s="135"/>
      <c r="OFN819" s="132"/>
      <c r="OFO819" s="132"/>
      <c r="OFP819" s="132"/>
      <c r="OFQ819" s="133"/>
      <c r="OFR819" s="134"/>
      <c r="OFS819" s="134"/>
      <c r="OFT819" s="134"/>
      <c r="OFU819" s="135"/>
      <c r="OFV819" s="133"/>
      <c r="OFW819" s="134"/>
      <c r="OFX819" s="134"/>
      <c r="OFY819" s="134"/>
      <c r="OFZ819" s="135"/>
      <c r="OGA819" s="132"/>
      <c r="OGB819" s="132"/>
      <c r="OGC819" s="132"/>
      <c r="OGD819" s="133"/>
      <c r="OGE819" s="134"/>
      <c r="OGF819" s="134"/>
      <c r="OGG819" s="134"/>
      <c r="OGH819" s="135"/>
      <c r="OGI819" s="133"/>
      <c r="OGJ819" s="134"/>
      <c r="OGK819" s="134"/>
      <c r="OGL819" s="134"/>
      <c r="OGM819" s="135"/>
      <c r="OGN819" s="132"/>
      <c r="OGO819" s="132"/>
      <c r="OGP819" s="132"/>
      <c r="OGQ819" s="133"/>
      <c r="OGR819" s="134"/>
      <c r="OGS819" s="134"/>
      <c r="OGT819" s="134"/>
      <c r="OGU819" s="135"/>
      <c r="OGV819" s="133"/>
      <c r="OGW819" s="134"/>
      <c r="OGX819" s="134"/>
      <c r="OGY819" s="134"/>
      <c r="OGZ819" s="135"/>
      <c r="OHA819" s="132"/>
      <c r="OHB819" s="132"/>
      <c r="OHC819" s="132"/>
      <c r="OHD819" s="133"/>
      <c r="OHE819" s="134"/>
      <c r="OHF819" s="134"/>
      <c r="OHG819" s="134"/>
      <c r="OHH819" s="135"/>
      <c r="OHI819" s="133"/>
      <c r="OHJ819" s="134"/>
      <c r="OHK819" s="134"/>
      <c r="OHL819" s="134"/>
      <c r="OHM819" s="135"/>
      <c r="OHN819" s="132"/>
      <c r="OHO819" s="132"/>
      <c r="OHP819" s="132"/>
      <c r="OHQ819" s="133"/>
      <c r="OHR819" s="134"/>
      <c r="OHS819" s="134"/>
      <c r="OHT819" s="134"/>
      <c r="OHU819" s="135"/>
      <c r="OHV819" s="133"/>
      <c r="OHW819" s="134"/>
      <c r="OHX819" s="134"/>
      <c r="OHY819" s="134"/>
      <c r="OHZ819" s="135"/>
      <c r="OIA819" s="132"/>
      <c r="OIB819" s="132"/>
      <c r="OIC819" s="132"/>
      <c r="OID819" s="133"/>
      <c r="OIE819" s="134"/>
      <c r="OIF819" s="134"/>
      <c r="OIG819" s="134"/>
      <c r="OIH819" s="135"/>
      <c r="OII819" s="133"/>
      <c r="OIJ819" s="134"/>
      <c r="OIK819" s="134"/>
      <c r="OIL819" s="134"/>
      <c r="OIM819" s="135"/>
      <c r="OIN819" s="132"/>
      <c r="OIO819" s="132"/>
      <c r="OIP819" s="132"/>
      <c r="OIQ819" s="133"/>
      <c r="OIR819" s="134"/>
      <c r="OIS819" s="134"/>
      <c r="OIT819" s="134"/>
      <c r="OIU819" s="135"/>
      <c r="OIV819" s="133"/>
      <c r="OIW819" s="134"/>
      <c r="OIX819" s="134"/>
      <c r="OIY819" s="134"/>
      <c r="OIZ819" s="135"/>
      <c r="OJA819" s="132"/>
      <c r="OJB819" s="132"/>
      <c r="OJC819" s="132"/>
      <c r="OJD819" s="133"/>
      <c r="OJE819" s="134"/>
      <c r="OJF819" s="134"/>
      <c r="OJG819" s="134"/>
      <c r="OJH819" s="135"/>
      <c r="OJI819" s="133"/>
      <c r="OJJ819" s="134"/>
      <c r="OJK819" s="134"/>
      <c r="OJL819" s="134"/>
      <c r="OJM819" s="135"/>
      <c r="OJN819" s="132"/>
      <c r="OJO819" s="132"/>
      <c r="OJP819" s="132"/>
      <c r="OJQ819" s="133"/>
      <c r="OJR819" s="134"/>
      <c r="OJS819" s="134"/>
      <c r="OJT819" s="134"/>
      <c r="OJU819" s="135"/>
      <c r="OJV819" s="133"/>
      <c r="OJW819" s="134"/>
      <c r="OJX819" s="134"/>
      <c r="OJY819" s="134"/>
      <c r="OJZ819" s="135"/>
      <c r="OKA819" s="132"/>
      <c r="OKB819" s="132"/>
      <c r="OKC819" s="132"/>
      <c r="OKD819" s="133"/>
      <c r="OKE819" s="134"/>
      <c r="OKF819" s="134"/>
      <c r="OKG819" s="134"/>
      <c r="OKH819" s="135"/>
      <c r="OKI819" s="133"/>
      <c r="OKJ819" s="134"/>
      <c r="OKK819" s="134"/>
      <c r="OKL819" s="134"/>
      <c r="OKM819" s="135"/>
      <c r="OKN819" s="132"/>
      <c r="OKO819" s="132"/>
      <c r="OKP819" s="132"/>
      <c r="OKQ819" s="133"/>
      <c r="OKR819" s="134"/>
      <c r="OKS819" s="134"/>
      <c r="OKT819" s="134"/>
      <c r="OKU819" s="135"/>
      <c r="OKV819" s="133"/>
      <c r="OKW819" s="134"/>
      <c r="OKX819" s="134"/>
      <c r="OKY819" s="134"/>
      <c r="OKZ819" s="135"/>
      <c r="OLA819" s="132"/>
      <c r="OLB819" s="132"/>
      <c r="OLC819" s="132"/>
      <c r="OLD819" s="133"/>
      <c r="OLE819" s="134"/>
      <c r="OLF819" s="134"/>
      <c r="OLG819" s="134"/>
      <c r="OLH819" s="135"/>
      <c r="OLI819" s="133"/>
      <c r="OLJ819" s="134"/>
      <c r="OLK819" s="134"/>
      <c r="OLL819" s="134"/>
      <c r="OLM819" s="135"/>
      <c r="OLN819" s="132"/>
      <c r="OLO819" s="132"/>
      <c r="OLP819" s="132"/>
      <c r="OLQ819" s="133"/>
      <c r="OLR819" s="134"/>
      <c r="OLS819" s="134"/>
      <c r="OLT819" s="134"/>
      <c r="OLU819" s="135"/>
      <c r="OLV819" s="133"/>
      <c r="OLW819" s="134"/>
      <c r="OLX819" s="134"/>
      <c r="OLY819" s="134"/>
      <c r="OLZ819" s="135"/>
      <c r="OMA819" s="132"/>
      <c r="OMB819" s="132"/>
      <c r="OMC819" s="132"/>
      <c r="OMD819" s="133"/>
      <c r="OME819" s="134"/>
      <c r="OMF819" s="134"/>
      <c r="OMG819" s="134"/>
      <c r="OMH819" s="135"/>
      <c r="OMI819" s="133"/>
      <c r="OMJ819" s="134"/>
      <c r="OMK819" s="134"/>
      <c r="OML819" s="134"/>
      <c r="OMM819" s="135"/>
      <c r="OMN819" s="132"/>
      <c r="OMO819" s="132"/>
      <c r="OMP819" s="132"/>
      <c r="OMQ819" s="133"/>
      <c r="OMR819" s="134"/>
      <c r="OMS819" s="134"/>
      <c r="OMT819" s="134"/>
      <c r="OMU819" s="135"/>
      <c r="OMV819" s="133"/>
      <c r="OMW819" s="134"/>
      <c r="OMX819" s="134"/>
      <c r="OMY819" s="134"/>
      <c r="OMZ819" s="135"/>
      <c r="ONA819" s="132"/>
      <c r="ONB819" s="132"/>
      <c r="ONC819" s="132"/>
      <c r="OND819" s="133"/>
      <c r="ONE819" s="134"/>
      <c r="ONF819" s="134"/>
      <c r="ONG819" s="134"/>
      <c r="ONH819" s="135"/>
      <c r="ONI819" s="133"/>
      <c r="ONJ819" s="134"/>
      <c r="ONK819" s="134"/>
      <c r="ONL819" s="134"/>
      <c r="ONM819" s="135"/>
      <c r="ONN819" s="132"/>
      <c r="ONO819" s="132"/>
      <c r="ONP819" s="132"/>
      <c r="ONQ819" s="133"/>
      <c r="ONR819" s="134"/>
      <c r="ONS819" s="134"/>
      <c r="ONT819" s="134"/>
      <c r="ONU819" s="135"/>
      <c r="ONV819" s="133"/>
      <c r="ONW819" s="134"/>
      <c r="ONX819" s="134"/>
      <c r="ONY819" s="134"/>
      <c r="ONZ819" s="135"/>
      <c r="OOA819" s="132"/>
      <c r="OOB819" s="132"/>
      <c r="OOC819" s="132"/>
      <c r="OOD819" s="133"/>
      <c r="OOE819" s="134"/>
      <c r="OOF819" s="134"/>
      <c r="OOG819" s="134"/>
      <c r="OOH819" s="135"/>
      <c r="OOI819" s="133"/>
      <c r="OOJ819" s="134"/>
      <c r="OOK819" s="134"/>
      <c r="OOL819" s="134"/>
      <c r="OOM819" s="135"/>
      <c r="OON819" s="132"/>
      <c r="OOO819" s="132"/>
      <c r="OOP819" s="132"/>
      <c r="OOQ819" s="133"/>
      <c r="OOR819" s="134"/>
      <c r="OOS819" s="134"/>
      <c r="OOT819" s="134"/>
      <c r="OOU819" s="135"/>
      <c r="OOV819" s="133"/>
      <c r="OOW819" s="134"/>
      <c r="OOX819" s="134"/>
      <c r="OOY819" s="134"/>
      <c r="OOZ819" s="135"/>
      <c r="OPA819" s="132"/>
      <c r="OPB819" s="132"/>
      <c r="OPC819" s="132"/>
      <c r="OPD819" s="133"/>
      <c r="OPE819" s="134"/>
      <c r="OPF819" s="134"/>
      <c r="OPG819" s="134"/>
      <c r="OPH819" s="135"/>
      <c r="OPI819" s="133"/>
      <c r="OPJ819" s="134"/>
      <c r="OPK819" s="134"/>
      <c r="OPL819" s="134"/>
      <c r="OPM819" s="135"/>
      <c r="OPN819" s="132"/>
      <c r="OPO819" s="132"/>
      <c r="OPP819" s="132"/>
      <c r="OPQ819" s="133"/>
      <c r="OPR819" s="134"/>
      <c r="OPS819" s="134"/>
      <c r="OPT819" s="134"/>
      <c r="OPU819" s="135"/>
      <c r="OPV819" s="133"/>
      <c r="OPW819" s="134"/>
      <c r="OPX819" s="134"/>
      <c r="OPY819" s="134"/>
      <c r="OPZ819" s="135"/>
      <c r="OQA819" s="132"/>
      <c r="OQB819" s="132"/>
      <c r="OQC819" s="132"/>
      <c r="OQD819" s="133"/>
      <c r="OQE819" s="134"/>
      <c r="OQF819" s="134"/>
      <c r="OQG819" s="134"/>
      <c r="OQH819" s="135"/>
      <c r="OQI819" s="133"/>
      <c r="OQJ819" s="134"/>
      <c r="OQK819" s="134"/>
      <c r="OQL819" s="134"/>
      <c r="OQM819" s="135"/>
      <c r="OQN819" s="132"/>
      <c r="OQO819" s="132"/>
      <c r="OQP819" s="132"/>
      <c r="OQQ819" s="133"/>
      <c r="OQR819" s="134"/>
      <c r="OQS819" s="134"/>
      <c r="OQT819" s="134"/>
      <c r="OQU819" s="135"/>
      <c r="OQV819" s="133"/>
      <c r="OQW819" s="134"/>
      <c r="OQX819" s="134"/>
      <c r="OQY819" s="134"/>
      <c r="OQZ819" s="135"/>
      <c r="ORA819" s="132"/>
      <c r="ORB819" s="132"/>
      <c r="ORC819" s="132"/>
      <c r="ORD819" s="133"/>
      <c r="ORE819" s="134"/>
      <c r="ORF819" s="134"/>
      <c r="ORG819" s="134"/>
      <c r="ORH819" s="135"/>
      <c r="ORI819" s="133"/>
      <c r="ORJ819" s="134"/>
      <c r="ORK819" s="134"/>
      <c r="ORL819" s="134"/>
      <c r="ORM819" s="135"/>
      <c r="ORN819" s="132"/>
      <c r="ORO819" s="132"/>
      <c r="ORP819" s="132"/>
      <c r="ORQ819" s="133"/>
      <c r="ORR819" s="134"/>
      <c r="ORS819" s="134"/>
      <c r="ORT819" s="134"/>
      <c r="ORU819" s="135"/>
      <c r="ORV819" s="133"/>
      <c r="ORW819" s="134"/>
      <c r="ORX819" s="134"/>
      <c r="ORY819" s="134"/>
      <c r="ORZ819" s="135"/>
      <c r="OSA819" s="132"/>
      <c r="OSB819" s="132"/>
      <c r="OSC819" s="132"/>
      <c r="OSD819" s="133"/>
      <c r="OSE819" s="134"/>
      <c r="OSF819" s="134"/>
      <c r="OSG819" s="134"/>
      <c r="OSH819" s="135"/>
      <c r="OSI819" s="133"/>
      <c r="OSJ819" s="134"/>
      <c r="OSK819" s="134"/>
      <c r="OSL819" s="134"/>
      <c r="OSM819" s="135"/>
      <c r="OSN819" s="132"/>
      <c r="OSO819" s="132"/>
      <c r="OSP819" s="132"/>
      <c r="OSQ819" s="133"/>
      <c r="OSR819" s="134"/>
      <c r="OSS819" s="134"/>
      <c r="OST819" s="134"/>
      <c r="OSU819" s="135"/>
      <c r="OSV819" s="133"/>
      <c r="OSW819" s="134"/>
      <c r="OSX819" s="134"/>
      <c r="OSY819" s="134"/>
      <c r="OSZ819" s="135"/>
      <c r="OTA819" s="132"/>
      <c r="OTB819" s="132"/>
      <c r="OTC819" s="132"/>
      <c r="OTD819" s="133"/>
      <c r="OTE819" s="134"/>
      <c r="OTF819" s="134"/>
      <c r="OTG819" s="134"/>
      <c r="OTH819" s="135"/>
      <c r="OTI819" s="133"/>
      <c r="OTJ819" s="134"/>
      <c r="OTK819" s="134"/>
      <c r="OTL819" s="134"/>
      <c r="OTM819" s="135"/>
      <c r="OTN819" s="132"/>
      <c r="OTO819" s="132"/>
      <c r="OTP819" s="132"/>
      <c r="OTQ819" s="133"/>
      <c r="OTR819" s="134"/>
      <c r="OTS819" s="134"/>
      <c r="OTT819" s="134"/>
      <c r="OTU819" s="135"/>
      <c r="OTV819" s="133"/>
      <c r="OTW819" s="134"/>
      <c r="OTX819" s="134"/>
      <c r="OTY819" s="134"/>
      <c r="OTZ819" s="135"/>
      <c r="OUA819" s="132"/>
      <c r="OUB819" s="132"/>
      <c r="OUC819" s="132"/>
      <c r="OUD819" s="133"/>
      <c r="OUE819" s="134"/>
      <c r="OUF819" s="134"/>
      <c r="OUG819" s="134"/>
      <c r="OUH819" s="135"/>
      <c r="OUI819" s="133"/>
      <c r="OUJ819" s="134"/>
      <c r="OUK819" s="134"/>
      <c r="OUL819" s="134"/>
      <c r="OUM819" s="135"/>
      <c r="OUN819" s="132"/>
      <c r="OUO819" s="132"/>
      <c r="OUP819" s="132"/>
      <c r="OUQ819" s="133"/>
      <c r="OUR819" s="134"/>
      <c r="OUS819" s="134"/>
      <c r="OUT819" s="134"/>
      <c r="OUU819" s="135"/>
      <c r="OUV819" s="133"/>
      <c r="OUW819" s="134"/>
      <c r="OUX819" s="134"/>
      <c r="OUY819" s="134"/>
      <c r="OUZ819" s="135"/>
      <c r="OVA819" s="132"/>
      <c r="OVB819" s="132"/>
      <c r="OVC819" s="132"/>
      <c r="OVD819" s="133"/>
      <c r="OVE819" s="134"/>
      <c r="OVF819" s="134"/>
      <c r="OVG819" s="134"/>
      <c r="OVH819" s="135"/>
      <c r="OVI819" s="133"/>
      <c r="OVJ819" s="134"/>
      <c r="OVK819" s="134"/>
      <c r="OVL819" s="134"/>
      <c r="OVM819" s="135"/>
      <c r="OVN819" s="132"/>
      <c r="OVO819" s="132"/>
      <c r="OVP819" s="132"/>
      <c r="OVQ819" s="133"/>
      <c r="OVR819" s="134"/>
      <c r="OVS819" s="134"/>
      <c r="OVT819" s="134"/>
      <c r="OVU819" s="135"/>
      <c r="OVV819" s="133"/>
      <c r="OVW819" s="134"/>
      <c r="OVX819" s="134"/>
      <c r="OVY819" s="134"/>
      <c r="OVZ819" s="135"/>
      <c r="OWA819" s="132"/>
      <c r="OWB819" s="132"/>
      <c r="OWC819" s="132"/>
      <c r="OWD819" s="133"/>
      <c r="OWE819" s="134"/>
      <c r="OWF819" s="134"/>
      <c r="OWG819" s="134"/>
      <c r="OWH819" s="135"/>
      <c r="OWI819" s="133"/>
      <c r="OWJ819" s="134"/>
      <c r="OWK819" s="134"/>
      <c r="OWL819" s="134"/>
      <c r="OWM819" s="135"/>
      <c r="OWN819" s="132"/>
      <c r="OWO819" s="132"/>
      <c r="OWP819" s="132"/>
      <c r="OWQ819" s="133"/>
      <c r="OWR819" s="134"/>
      <c r="OWS819" s="134"/>
      <c r="OWT819" s="134"/>
      <c r="OWU819" s="135"/>
      <c r="OWV819" s="133"/>
      <c r="OWW819" s="134"/>
      <c r="OWX819" s="134"/>
      <c r="OWY819" s="134"/>
      <c r="OWZ819" s="135"/>
      <c r="OXA819" s="132"/>
      <c r="OXB819" s="132"/>
      <c r="OXC819" s="132"/>
      <c r="OXD819" s="133"/>
      <c r="OXE819" s="134"/>
      <c r="OXF819" s="134"/>
      <c r="OXG819" s="134"/>
      <c r="OXH819" s="135"/>
      <c r="OXI819" s="133"/>
      <c r="OXJ819" s="134"/>
      <c r="OXK819" s="134"/>
      <c r="OXL819" s="134"/>
      <c r="OXM819" s="135"/>
      <c r="OXN819" s="132"/>
      <c r="OXO819" s="132"/>
      <c r="OXP819" s="132"/>
      <c r="OXQ819" s="133"/>
      <c r="OXR819" s="134"/>
      <c r="OXS819" s="134"/>
      <c r="OXT819" s="134"/>
      <c r="OXU819" s="135"/>
      <c r="OXV819" s="133"/>
      <c r="OXW819" s="134"/>
      <c r="OXX819" s="134"/>
      <c r="OXY819" s="134"/>
      <c r="OXZ819" s="135"/>
      <c r="OYA819" s="132"/>
      <c r="OYB819" s="132"/>
      <c r="OYC819" s="132"/>
      <c r="OYD819" s="133"/>
      <c r="OYE819" s="134"/>
      <c r="OYF819" s="134"/>
      <c r="OYG819" s="134"/>
      <c r="OYH819" s="135"/>
      <c r="OYI819" s="133"/>
      <c r="OYJ819" s="134"/>
      <c r="OYK819" s="134"/>
      <c r="OYL819" s="134"/>
      <c r="OYM819" s="135"/>
      <c r="OYN819" s="132"/>
      <c r="OYO819" s="132"/>
      <c r="OYP819" s="132"/>
      <c r="OYQ819" s="133"/>
      <c r="OYR819" s="134"/>
      <c r="OYS819" s="134"/>
      <c r="OYT819" s="134"/>
      <c r="OYU819" s="135"/>
      <c r="OYV819" s="133"/>
      <c r="OYW819" s="134"/>
      <c r="OYX819" s="134"/>
      <c r="OYY819" s="134"/>
      <c r="OYZ819" s="135"/>
      <c r="OZA819" s="132"/>
      <c r="OZB819" s="132"/>
      <c r="OZC819" s="132"/>
      <c r="OZD819" s="133"/>
      <c r="OZE819" s="134"/>
      <c r="OZF819" s="134"/>
      <c r="OZG819" s="134"/>
      <c r="OZH819" s="135"/>
      <c r="OZI819" s="133"/>
      <c r="OZJ819" s="134"/>
      <c r="OZK819" s="134"/>
      <c r="OZL819" s="134"/>
      <c r="OZM819" s="135"/>
      <c r="OZN819" s="132"/>
      <c r="OZO819" s="132"/>
      <c r="OZP819" s="132"/>
      <c r="OZQ819" s="133"/>
      <c r="OZR819" s="134"/>
      <c r="OZS819" s="134"/>
      <c r="OZT819" s="134"/>
      <c r="OZU819" s="135"/>
      <c r="OZV819" s="133"/>
      <c r="OZW819" s="134"/>
      <c r="OZX819" s="134"/>
      <c r="OZY819" s="134"/>
      <c r="OZZ819" s="135"/>
      <c r="PAA819" s="132"/>
      <c r="PAB819" s="132"/>
      <c r="PAC819" s="132"/>
      <c r="PAD819" s="133"/>
      <c r="PAE819" s="134"/>
      <c r="PAF819" s="134"/>
      <c r="PAG819" s="134"/>
      <c r="PAH819" s="135"/>
      <c r="PAI819" s="133"/>
      <c r="PAJ819" s="134"/>
      <c r="PAK819" s="134"/>
      <c r="PAL819" s="134"/>
      <c r="PAM819" s="135"/>
      <c r="PAN819" s="132"/>
      <c r="PAO819" s="132"/>
      <c r="PAP819" s="132"/>
      <c r="PAQ819" s="133"/>
      <c r="PAR819" s="134"/>
      <c r="PAS819" s="134"/>
      <c r="PAT819" s="134"/>
      <c r="PAU819" s="135"/>
      <c r="PAV819" s="133"/>
      <c r="PAW819" s="134"/>
      <c r="PAX819" s="134"/>
      <c r="PAY819" s="134"/>
      <c r="PAZ819" s="135"/>
      <c r="PBA819" s="132"/>
      <c r="PBB819" s="132"/>
      <c r="PBC819" s="132"/>
      <c r="PBD819" s="133"/>
      <c r="PBE819" s="134"/>
      <c r="PBF819" s="134"/>
      <c r="PBG819" s="134"/>
      <c r="PBH819" s="135"/>
      <c r="PBI819" s="133"/>
      <c r="PBJ819" s="134"/>
      <c r="PBK819" s="134"/>
      <c r="PBL819" s="134"/>
      <c r="PBM819" s="135"/>
      <c r="PBN819" s="132"/>
      <c r="PBO819" s="132"/>
      <c r="PBP819" s="132"/>
      <c r="PBQ819" s="133"/>
      <c r="PBR819" s="134"/>
      <c r="PBS819" s="134"/>
      <c r="PBT819" s="134"/>
      <c r="PBU819" s="135"/>
      <c r="PBV819" s="133"/>
      <c r="PBW819" s="134"/>
      <c r="PBX819" s="134"/>
      <c r="PBY819" s="134"/>
      <c r="PBZ819" s="135"/>
      <c r="PCA819" s="132"/>
      <c r="PCB819" s="132"/>
      <c r="PCC819" s="132"/>
      <c r="PCD819" s="133"/>
      <c r="PCE819" s="134"/>
      <c r="PCF819" s="134"/>
      <c r="PCG819" s="134"/>
      <c r="PCH819" s="135"/>
      <c r="PCI819" s="133"/>
      <c r="PCJ819" s="134"/>
      <c r="PCK819" s="134"/>
      <c r="PCL819" s="134"/>
      <c r="PCM819" s="135"/>
      <c r="PCN819" s="132"/>
      <c r="PCO819" s="132"/>
      <c r="PCP819" s="132"/>
      <c r="PCQ819" s="133"/>
      <c r="PCR819" s="134"/>
      <c r="PCS819" s="134"/>
      <c r="PCT819" s="134"/>
      <c r="PCU819" s="135"/>
      <c r="PCV819" s="133"/>
      <c r="PCW819" s="134"/>
      <c r="PCX819" s="134"/>
      <c r="PCY819" s="134"/>
      <c r="PCZ819" s="135"/>
      <c r="PDA819" s="132"/>
      <c r="PDB819" s="132"/>
      <c r="PDC819" s="132"/>
      <c r="PDD819" s="133"/>
      <c r="PDE819" s="134"/>
      <c r="PDF819" s="134"/>
      <c r="PDG819" s="134"/>
      <c r="PDH819" s="135"/>
      <c r="PDI819" s="133"/>
      <c r="PDJ819" s="134"/>
      <c r="PDK819" s="134"/>
      <c r="PDL819" s="134"/>
      <c r="PDM819" s="135"/>
      <c r="PDN819" s="132"/>
      <c r="PDO819" s="132"/>
      <c r="PDP819" s="132"/>
      <c r="PDQ819" s="133"/>
      <c r="PDR819" s="134"/>
      <c r="PDS819" s="134"/>
      <c r="PDT819" s="134"/>
      <c r="PDU819" s="135"/>
      <c r="PDV819" s="133"/>
      <c r="PDW819" s="134"/>
      <c r="PDX819" s="134"/>
      <c r="PDY819" s="134"/>
      <c r="PDZ819" s="135"/>
      <c r="PEA819" s="132"/>
      <c r="PEB819" s="132"/>
      <c r="PEC819" s="132"/>
      <c r="PED819" s="133"/>
      <c r="PEE819" s="134"/>
      <c r="PEF819" s="134"/>
      <c r="PEG819" s="134"/>
      <c r="PEH819" s="135"/>
      <c r="PEI819" s="133"/>
      <c r="PEJ819" s="134"/>
      <c r="PEK819" s="134"/>
      <c r="PEL819" s="134"/>
      <c r="PEM819" s="135"/>
      <c r="PEN819" s="132"/>
      <c r="PEO819" s="132"/>
      <c r="PEP819" s="132"/>
      <c r="PEQ819" s="133"/>
      <c r="PER819" s="134"/>
      <c r="PES819" s="134"/>
      <c r="PET819" s="134"/>
      <c r="PEU819" s="135"/>
      <c r="PEV819" s="133"/>
      <c r="PEW819" s="134"/>
      <c r="PEX819" s="134"/>
      <c r="PEY819" s="134"/>
      <c r="PEZ819" s="135"/>
      <c r="PFA819" s="132"/>
      <c r="PFB819" s="132"/>
      <c r="PFC819" s="132"/>
      <c r="PFD819" s="133"/>
      <c r="PFE819" s="134"/>
      <c r="PFF819" s="134"/>
      <c r="PFG819" s="134"/>
      <c r="PFH819" s="135"/>
      <c r="PFI819" s="133"/>
      <c r="PFJ819" s="134"/>
      <c r="PFK819" s="134"/>
      <c r="PFL819" s="134"/>
      <c r="PFM819" s="135"/>
      <c r="PFN819" s="132"/>
      <c r="PFO819" s="132"/>
      <c r="PFP819" s="132"/>
      <c r="PFQ819" s="133"/>
      <c r="PFR819" s="134"/>
      <c r="PFS819" s="134"/>
      <c r="PFT819" s="134"/>
      <c r="PFU819" s="135"/>
      <c r="PFV819" s="133"/>
      <c r="PFW819" s="134"/>
      <c r="PFX819" s="134"/>
      <c r="PFY819" s="134"/>
      <c r="PFZ819" s="135"/>
      <c r="PGA819" s="132"/>
      <c r="PGB819" s="132"/>
      <c r="PGC819" s="132"/>
      <c r="PGD819" s="133"/>
      <c r="PGE819" s="134"/>
      <c r="PGF819" s="134"/>
      <c r="PGG819" s="134"/>
      <c r="PGH819" s="135"/>
      <c r="PGI819" s="133"/>
      <c r="PGJ819" s="134"/>
      <c r="PGK819" s="134"/>
      <c r="PGL819" s="134"/>
      <c r="PGM819" s="135"/>
      <c r="PGN819" s="132"/>
      <c r="PGO819" s="132"/>
      <c r="PGP819" s="132"/>
      <c r="PGQ819" s="133"/>
      <c r="PGR819" s="134"/>
      <c r="PGS819" s="134"/>
      <c r="PGT819" s="134"/>
      <c r="PGU819" s="135"/>
      <c r="PGV819" s="133"/>
      <c r="PGW819" s="134"/>
      <c r="PGX819" s="134"/>
      <c r="PGY819" s="134"/>
      <c r="PGZ819" s="135"/>
      <c r="PHA819" s="132"/>
      <c r="PHB819" s="132"/>
      <c r="PHC819" s="132"/>
      <c r="PHD819" s="133"/>
      <c r="PHE819" s="134"/>
      <c r="PHF819" s="134"/>
      <c r="PHG819" s="134"/>
      <c r="PHH819" s="135"/>
      <c r="PHI819" s="133"/>
      <c r="PHJ819" s="134"/>
      <c r="PHK819" s="134"/>
      <c r="PHL819" s="134"/>
      <c r="PHM819" s="135"/>
      <c r="PHN819" s="132"/>
      <c r="PHO819" s="132"/>
      <c r="PHP819" s="132"/>
      <c r="PHQ819" s="133"/>
      <c r="PHR819" s="134"/>
      <c r="PHS819" s="134"/>
      <c r="PHT819" s="134"/>
      <c r="PHU819" s="135"/>
      <c r="PHV819" s="133"/>
      <c r="PHW819" s="134"/>
      <c r="PHX819" s="134"/>
      <c r="PHY819" s="134"/>
      <c r="PHZ819" s="135"/>
      <c r="PIA819" s="132"/>
      <c r="PIB819" s="132"/>
      <c r="PIC819" s="132"/>
      <c r="PID819" s="133"/>
      <c r="PIE819" s="134"/>
      <c r="PIF819" s="134"/>
      <c r="PIG819" s="134"/>
      <c r="PIH819" s="135"/>
      <c r="PII819" s="133"/>
      <c r="PIJ819" s="134"/>
      <c r="PIK819" s="134"/>
      <c r="PIL819" s="134"/>
      <c r="PIM819" s="135"/>
      <c r="PIN819" s="132"/>
      <c r="PIO819" s="132"/>
      <c r="PIP819" s="132"/>
      <c r="PIQ819" s="133"/>
      <c r="PIR819" s="134"/>
      <c r="PIS819" s="134"/>
      <c r="PIT819" s="134"/>
      <c r="PIU819" s="135"/>
      <c r="PIV819" s="133"/>
      <c r="PIW819" s="134"/>
      <c r="PIX819" s="134"/>
      <c r="PIY819" s="134"/>
      <c r="PIZ819" s="135"/>
      <c r="PJA819" s="132"/>
      <c r="PJB819" s="132"/>
      <c r="PJC819" s="132"/>
      <c r="PJD819" s="133"/>
      <c r="PJE819" s="134"/>
      <c r="PJF819" s="134"/>
      <c r="PJG819" s="134"/>
      <c r="PJH819" s="135"/>
      <c r="PJI819" s="133"/>
      <c r="PJJ819" s="134"/>
      <c r="PJK819" s="134"/>
      <c r="PJL819" s="134"/>
      <c r="PJM819" s="135"/>
      <c r="PJN819" s="132"/>
      <c r="PJO819" s="132"/>
      <c r="PJP819" s="132"/>
      <c r="PJQ819" s="133"/>
      <c r="PJR819" s="134"/>
      <c r="PJS819" s="134"/>
      <c r="PJT819" s="134"/>
      <c r="PJU819" s="135"/>
      <c r="PJV819" s="133"/>
      <c r="PJW819" s="134"/>
      <c r="PJX819" s="134"/>
      <c r="PJY819" s="134"/>
      <c r="PJZ819" s="135"/>
      <c r="PKA819" s="132"/>
      <c r="PKB819" s="132"/>
      <c r="PKC819" s="132"/>
      <c r="PKD819" s="133"/>
      <c r="PKE819" s="134"/>
      <c r="PKF819" s="134"/>
      <c r="PKG819" s="134"/>
      <c r="PKH819" s="135"/>
      <c r="PKI819" s="133"/>
      <c r="PKJ819" s="134"/>
      <c r="PKK819" s="134"/>
      <c r="PKL819" s="134"/>
      <c r="PKM819" s="135"/>
      <c r="PKN819" s="132"/>
      <c r="PKO819" s="132"/>
      <c r="PKP819" s="132"/>
      <c r="PKQ819" s="133"/>
      <c r="PKR819" s="134"/>
      <c r="PKS819" s="134"/>
      <c r="PKT819" s="134"/>
      <c r="PKU819" s="135"/>
      <c r="PKV819" s="133"/>
      <c r="PKW819" s="134"/>
      <c r="PKX819" s="134"/>
      <c r="PKY819" s="134"/>
      <c r="PKZ819" s="135"/>
      <c r="PLA819" s="132"/>
      <c r="PLB819" s="132"/>
      <c r="PLC819" s="132"/>
      <c r="PLD819" s="133"/>
      <c r="PLE819" s="134"/>
      <c r="PLF819" s="134"/>
      <c r="PLG819" s="134"/>
      <c r="PLH819" s="135"/>
      <c r="PLI819" s="133"/>
      <c r="PLJ819" s="134"/>
      <c r="PLK819" s="134"/>
      <c r="PLL819" s="134"/>
      <c r="PLM819" s="135"/>
      <c r="PLN819" s="132"/>
      <c r="PLO819" s="132"/>
      <c r="PLP819" s="132"/>
      <c r="PLQ819" s="133"/>
      <c r="PLR819" s="134"/>
      <c r="PLS819" s="134"/>
      <c r="PLT819" s="134"/>
      <c r="PLU819" s="135"/>
      <c r="PLV819" s="133"/>
      <c r="PLW819" s="134"/>
      <c r="PLX819" s="134"/>
      <c r="PLY819" s="134"/>
      <c r="PLZ819" s="135"/>
      <c r="PMA819" s="132"/>
      <c r="PMB819" s="132"/>
      <c r="PMC819" s="132"/>
      <c r="PMD819" s="133"/>
      <c r="PME819" s="134"/>
      <c r="PMF819" s="134"/>
      <c r="PMG819" s="134"/>
      <c r="PMH819" s="135"/>
      <c r="PMI819" s="133"/>
      <c r="PMJ819" s="134"/>
      <c r="PMK819" s="134"/>
      <c r="PML819" s="134"/>
      <c r="PMM819" s="135"/>
      <c r="PMN819" s="132"/>
      <c r="PMO819" s="132"/>
      <c r="PMP819" s="132"/>
      <c r="PMQ819" s="133"/>
      <c r="PMR819" s="134"/>
      <c r="PMS819" s="134"/>
      <c r="PMT819" s="134"/>
      <c r="PMU819" s="135"/>
      <c r="PMV819" s="133"/>
      <c r="PMW819" s="134"/>
      <c r="PMX819" s="134"/>
      <c r="PMY819" s="134"/>
      <c r="PMZ819" s="135"/>
      <c r="PNA819" s="132"/>
      <c r="PNB819" s="132"/>
      <c r="PNC819" s="132"/>
      <c r="PND819" s="133"/>
      <c r="PNE819" s="134"/>
      <c r="PNF819" s="134"/>
      <c r="PNG819" s="134"/>
      <c r="PNH819" s="135"/>
      <c r="PNI819" s="133"/>
      <c r="PNJ819" s="134"/>
      <c r="PNK819" s="134"/>
      <c r="PNL819" s="134"/>
      <c r="PNM819" s="135"/>
      <c r="PNN819" s="132"/>
      <c r="PNO819" s="132"/>
      <c r="PNP819" s="132"/>
      <c r="PNQ819" s="133"/>
      <c r="PNR819" s="134"/>
      <c r="PNS819" s="134"/>
      <c r="PNT819" s="134"/>
      <c r="PNU819" s="135"/>
      <c r="PNV819" s="133"/>
      <c r="PNW819" s="134"/>
      <c r="PNX819" s="134"/>
      <c r="PNY819" s="134"/>
      <c r="PNZ819" s="135"/>
      <c r="POA819" s="132"/>
      <c r="POB819" s="132"/>
      <c r="POC819" s="132"/>
      <c r="POD819" s="133"/>
      <c r="POE819" s="134"/>
      <c r="POF819" s="134"/>
      <c r="POG819" s="134"/>
      <c r="POH819" s="135"/>
      <c r="POI819" s="133"/>
      <c r="POJ819" s="134"/>
      <c r="POK819" s="134"/>
      <c r="POL819" s="134"/>
      <c r="POM819" s="135"/>
      <c r="PON819" s="132"/>
      <c r="POO819" s="132"/>
      <c r="POP819" s="132"/>
      <c r="POQ819" s="133"/>
      <c r="POR819" s="134"/>
      <c r="POS819" s="134"/>
      <c r="POT819" s="134"/>
      <c r="POU819" s="135"/>
      <c r="POV819" s="133"/>
      <c r="POW819" s="134"/>
      <c r="POX819" s="134"/>
      <c r="POY819" s="134"/>
      <c r="POZ819" s="135"/>
      <c r="PPA819" s="132"/>
      <c r="PPB819" s="132"/>
      <c r="PPC819" s="132"/>
      <c r="PPD819" s="133"/>
      <c r="PPE819" s="134"/>
      <c r="PPF819" s="134"/>
      <c r="PPG819" s="134"/>
      <c r="PPH819" s="135"/>
      <c r="PPI819" s="133"/>
      <c r="PPJ819" s="134"/>
      <c r="PPK819" s="134"/>
      <c r="PPL819" s="134"/>
      <c r="PPM819" s="135"/>
      <c r="PPN819" s="132"/>
      <c r="PPO819" s="132"/>
      <c r="PPP819" s="132"/>
      <c r="PPQ819" s="133"/>
      <c r="PPR819" s="134"/>
      <c r="PPS819" s="134"/>
      <c r="PPT819" s="134"/>
      <c r="PPU819" s="135"/>
      <c r="PPV819" s="133"/>
      <c r="PPW819" s="134"/>
      <c r="PPX819" s="134"/>
      <c r="PPY819" s="134"/>
      <c r="PPZ819" s="135"/>
      <c r="PQA819" s="132"/>
      <c r="PQB819" s="132"/>
      <c r="PQC819" s="132"/>
      <c r="PQD819" s="133"/>
      <c r="PQE819" s="134"/>
      <c r="PQF819" s="134"/>
      <c r="PQG819" s="134"/>
      <c r="PQH819" s="135"/>
      <c r="PQI819" s="133"/>
      <c r="PQJ819" s="134"/>
      <c r="PQK819" s="134"/>
      <c r="PQL819" s="134"/>
      <c r="PQM819" s="135"/>
      <c r="PQN819" s="132"/>
      <c r="PQO819" s="132"/>
      <c r="PQP819" s="132"/>
      <c r="PQQ819" s="133"/>
      <c r="PQR819" s="134"/>
      <c r="PQS819" s="134"/>
      <c r="PQT819" s="134"/>
      <c r="PQU819" s="135"/>
      <c r="PQV819" s="133"/>
      <c r="PQW819" s="134"/>
      <c r="PQX819" s="134"/>
      <c r="PQY819" s="134"/>
      <c r="PQZ819" s="135"/>
      <c r="PRA819" s="132"/>
      <c r="PRB819" s="132"/>
      <c r="PRC819" s="132"/>
      <c r="PRD819" s="133"/>
      <c r="PRE819" s="134"/>
      <c r="PRF819" s="134"/>
      <c r="PRG819" s="134"/>
      <c r="PRH819" s="135"/>
      <c r="PRI819" s="133"/>
      <c r="PRJ819" s="134"/>
      <c r="PRK819" s="134"/>
      <c r="PRL819" s="134"/>
      <c r="PRM819" s="135"/>
      <c r="PRN819" s="132"/>
      <c r="PRO819" s="132"/>
      <c r="PRP819" s="132"/>
      <c r="PRQ819" s="133"/>
      <c r="PRR819" s="134"/>
      <c r="PRS819" s="134"/>
      <c r="PRT819" s="134"/>
      <c r="PRU819" s="135"/>
      <c r="PRV819" s="133"/>
      <c r="PRW819" s="134"/>
      <c r="PRX819" s="134"/>
      <c r="PRY819" s="134"/>
      <c r="PRZ819" s="135"/>
      <c r="PSA819" s="132"/>
      <c r="PSB819" s="132"/>
      <c r="PSC819" s="132"/>
      <c r="PSD819" s="133"/>
      <c r="PSE819" s="134"/>
      <c r="PSF819" s="134"/>
      <c r="PSG819" s="134"/>
      <c r="PSH819" s="135"/>
      <c r="PSI819" s="133"/>
      <c r="PSJ819" s="134"/>
      <c r="PSK819" s="134"/>
      <c r="PSL819" s="134"/>
      <c r="PSM819" s="135"/>
      <c r="PSN819" s="132"/>
      <c r="PSO819" s="132"/>
      <c r="PSP819" s="132"/>
      <c r="PSQ819" s="133"/>
      <c r="PSR819" s="134"/>
      <c r="PSS819" s="134"/>
      <c r="PST819" s="134"/>
      <c r="PSU819" s="135"/>
      <c r="PSV819" s="133"/>
      <c r="PSW819" s="134"/>
      <c r="PSX819" s="134"/>
      <c r="PSY819" s="134"/>
      <c r="PSZ819" s="135"/>
      <c r="PTA819" s="132"/>
      <c r="PTB819" s="132"/>
      <c r="PTC819" s="132"/>
      <c r="PTD819" s="133"/>
      <c r="PTE819" s="134"/>
      <c r="PTF819" s="134"/>
      <c r="PTG819" s="134"/>
      <c r="PTH819" s="135"/>
      <c r="PTI819" s="133"/>
      <c r="PTJ819" s="134"/>
      <c r="PTK819" s="134"/>
      <c r="PTL819" s="134"/>
      <c r="PTM819" s="135"/>
      <c r="PTN819" s="132"/>
      <c r="PTO819" s="132"/>
      <c r="PTP819" s="132"/>
      <c r="PTQ819" s="133"/>
      <c r="PTR819" s="134"/>
      <c r="PTS819" s="134"/>
      <c r="PTT819" s="134"/>
      <c r="PTU819" s="135"/>
      <c r="PTV819" s="133"/>
      <c r="PTW819" s="134"/>
      <c r="PTX819" s="134"/>
      <c r="PTY819" s="134"/>
      <c r="PTZ819" s="135"/>
      <c r="PUA819" s="132"/>
      <c r="PUB819" s="132"/>
      <c r="PUC819" s="132"/>
      <c r="PUD819" s="133"/>
      <c r="PUE819" s="134"/>
      <c r="PUF819" s="134"/>
      <c r="PUG819" s="134"/>
      <c r="PUH819" s="135"/>
      <c r="PUI819" s="133"/>
      <c r="PUJ819" s="134"/>
      <c r="PUK819" s="134"/>
      <c r="PUL819" s="134"/>
      <c r="PUM819" s="135"/>
      <c r="PUN819" s="132"/>
      <c r="PUO819" s="132"/>
      <c r="PUP819" s="132"/>
      <c r="PUQ819" s="133"/>
      <c r="PUR819" s="134"/>
      <c r="PUS819" s="134"/>
      <c r="PUT819" s="134"/>
      <c r="PUU819" s="135"/>
      <c r="PUV819" s="133"/>
      <c r="PUW819" s="134"/>
      <c r="PUX819" s="134"/>
      <c r="PUY819" s="134"/>
      <c r="PUZ819" s="135"/>
      <c r="PVA819" s="132"/>
      <c r="PVB819" s="132"/>
      <c r="PVC819" s="132"/>
      <c r="PVD819" s="133"/>
      <c r="PVE819" s="134"/>
      <c r="PVF819" s="134"/>
      <c r="PVG819" s="134"/>
      <c r="PVH819" s="135"/>
      <c r="PVI819" s="133"/>
      <c r="PVJ819" s="134"/>
      <c r="PVK819" s="134"/>
      <c r="PVL819" s="134"/>
      <c r="PVM819" s="135"/>
      <c r="PVN819" s="132"/>
      <c r="PVO819" s="132"/>
      <c r="PVP819" s="132"/>
      <c r="PVQ819" s="133"/>
      <c r="PVR819" s="134"/>
      <c r="PVS819" s="134"/>
      <c r="PVT819" s="134"/>
      <c r="PVU819" s="135"/>
      <c r="PVV819" s="133"/>
      <c r="PVW819" s="134"/>
      <c r="PVX819" s="134"/>
      <c r="PVY819" s="134"/>
      <c r="PVZ819" s="135"/>
      <c r="PWA819" s="132"/>
      <c r="PWB819" s="132"/>
      <c r="PWC819" s="132"/>
      <c r="PWD819" s="133"/>
      <c r="PWE819" s="134"/>
      <c r="PWF819" s="134"/>
      <c r="PWG819" s="134"/>
      <c r="PWH819" s="135"/>
      <c r="PWI819" s="133"/>
      <c r="PWJ819" s="134"/>
      <c r="PWK819" s="134"/>
      <c r="PWL819" s="134"/>
      <c r="PWM819" s="135"/>
      <c r="PWN819" s="132"/>
      <c r="PWO819" s="132"/>
      <c r="PWP819" s="132"/>
      <c r="PWQ819" s="133"/>
      <c r="PWR819" s="134"/>
      <c r="PWS819" s="134"/>
      <c r="PWT819" s="134"/>
      <c r="PWU819" s="135"/>
      <c r="PWV819" s="133"/>
      <c r="PWW819" s="134"/>
      <c r="PWX819" s="134"/>
      <c r="PWY819" s="134"/>
      <c r="PWZ819" s="135"/>
      <c r="PXA819" s="132"/>
      <c r="PXB819" s="132"/>
      <c r="PXC819" s="132"/>
      <c r="PXD819" s="133"/>
      <c r="PXE819" s="134"/>
      <c r="PXF819" s="134"/>
      <c r="PXG819" s="134"/>
      <c r="PXH819" s="135"/>
      <c r="PXI819" s="133"/>
      <c r="PXJ819" s="134"/>
      <c r="PXK819" s="134"/>
      <c r="PXL819" s="134"/>
      <c r="PXM819" s="135"/>
      <c r="PXN819" s="132"/>
      <c r="PXO819" s="132"/>
      <c r="PXP819" s="132"/>
      <c r="PXQ819" s="133"/>
      <c r="PXR819" s="134"/>
      <c r="PXS819" s="134"/>
      <c r="PXT819" s="134"/>
      <c r="PXU819" s="135"/>
      <c r="PXV819" s="133"/>
      <c r="PXW819" s="134"/>
      <c r="PXX819" s="134"/>
      <c r="PXY819" s="134"/>
      <c r="PXZ819" s="135"/>
      <c r="PYA819" s="132"/>
      <c r="PYB819" s="132"/>
      <c r="PYC819" s="132"/>
      <c r="PYD819" s="133"/>
      <c r="PYE819" s="134"/>
      <c r="PYF819" s="134"/>
      <c r="PYG819" s="134"/>
      <c r="PYH819" s="135"/>
      <c r="PYI819" s="133"/>
      <c r="PYJ819" s="134"/>
      <c r="PYK819" s="134"/>
      <c r="PYL819" s="134"/>
      <c r="PYM819" s="135"/>
      <c r="PYN819" s="132"/>
      <c r="PYO819" s="132"/>
      <c r="PYP819" s="132"/>
      <c r="PYQ819" s="133"/>
      <c r="PYR819" s="134"/>
      <c r="PYS819" s="134"/>
      <c r="PYT819" s="134"/>
      <c r="PYU819" s="135"/>
      <c r="PYV819" s="133"/>
      <c r="PYW819" s="134"/>
      <c r="PYX819" s="134"/>
      <c r="PYY819" s="134"/>
      <c r="PYZ819" s="135"/>
      <c r="PZA819" s="132"/>
      <c r="PZB819" s="132"/>
      <c r="PZC819" s="132"/>
      <c r="PZD819" s="133"/>
      <c r="PZE819" s="134"/>
      <c r="PZF819" s="134"/>
      <c r="PZG819" s="134"/>
      <c r="PZH819" s="135"/>
      <c r="PZI819" s="133"/>
      <c r="PZJ819" s="134"/>
      <c r="PZK819" s="134"/>
      <c r="PZL819" s="134"/>
      <c r="PZM819" s="135"/>
      <c r="PZN819" s="132"/>
      <c r="PZO819" s="132"/>
      <c r="PZP819" s="132"/>
      <c r="PZQ819" s="133"/>
      <c r="PZR819" s="134"/>
      <c r="PZS819" s="134"/>
      <c r="PZT819" s="134"/>
      <c r="PZU819" s="135"/>
      <c r="PZV819" s="133"/>
      <c r="PZW819" s="134"/>
      <c r="PZX819" s="134"/>
      <c r="PZY819" s="134"/>
      <c r="PZZ819" s="135"/>
      <c r="QAA819" s="132"/>
      <c r="QAB819" s="132"/>
      <c r="QAC819" s="132"/>
      <c r="QAD819" s="133"/>
      <c r="QAE819" s="134"/>
      <c r="QAF819" s="134"/>
      <c r="QAG819" s="134"/>
      <c r="QAH819" s="135"/>
      <c r="QAI819" s="133"/>
      <c r="QAJ819" s="134"/>
      <c r="QAK819" s="134"/>
      <c r="QAL819" s="134"/>
      <c r="QAM819" s="135"/>
      <c r="QAN819" s="132"/>
      <c r="QAO819" s="132"/>
      <c r="QAP819" s="132"/>
      <c r="QAQ819" s="133"/>
      <c r="QAR819" s="134"/>
      <c r="QAS819" s="134"/>
      <c r="QAT819" s="134"/>
      <c r="QAU819" s="135"/>
      <c r="QAV819" s="133"/>
      <c r="QAW819" s="134"/>
      <c r="QAX819" s="134"/>
      <c r="QAY819" s="134"/>
      <c r="QAZ819" s="135"/>
      <c r="QBA819" s="132"/>
      <c r="QBB819" s="132"/>
      <c r="QBC819" s="132"/>
      <c r="QBD819" s="133"/>
      <c r="QBE819" s="134"/>
      <c r="QBF819" s="134"/>
      <c r="QBG819" s="134"/>
      <c r="QBH819" s="135"/>
      <c r="QBI819" s="133"/>
      <c r="QBJ819" s="134"/>
      <c r="QBK819" s="134"/>
      <c r="QBL819" s="134"/>
      <c r="QBM819" s="135"/>
      <c r="QBN819" s="132"/>
      <c r="QBO819" s="132"/>
      <c r="QBP819" s="132"/>
      <c r="QBQ819" s="133"/>
      <c r="QBR819" s="134"/>
      <c r="QBS819" s="134"/>
      <c r="QBT819" s="134"/>
      <c r="QBU819" s="135"/>
      <c r="QBV819" s="133"/>
      <c r="QBW819" s="134"/>
      <c r="QBX819" s="134"/>
      <c r="QBY819" s="134"/>
      <c r="QBZ819" s="135"/>
      <c r="QCA819" s="132"/>
      <c r="QCB819" s="132"/>
      <c r="QCC819" s="132"/>
      <c r="QCD819" s="133"/>
      <c r="QCE819" s="134"/>
      <c r="QCF819" s="134"/>
      <c r="QCG819" s="134"/>
      <c r="QCH819" s="135"/>
      <c r="QCI819" s="133"/>
      <c r="QCJ819" s="134"/>
      <c r="QCK819" s="134"/>
      <c r="QCL819" s="134"/>
      <c r="QCM819" s="135"/>
      <c r="QCN819" s="132"/>
      <c r="QCO819" s="132"/>
      <c r="QCP819" s="132"/>
      <c r="QCQ819" s="133"/>
      <c r="QCR819" s="134"/>
      <c r="QCS819" s="134"/>
      <c r="QCT819" s="134"/>
      <c r="QCU819" s="135"/>
      <c r="QCV819" s="133"/>
      <c r="QCW819" s="134"/>
      <c r="QCX819" s="134"/>
      <c r="QCY819" s="134"/>
      <c r="QCZ819" s="135"/>
      <c r="QDA819" s="132"/>
      <c r="QDB819" s="132"/>
      <c r="QDC819" s="132"/>
      <c r="QDD819" s="133"/>
      <c r="QDE819" s="134"/>
      <c r="QDF819" s="134"/>
      <c r="QDG819" s="134"/>
      <c r="QDH819" s="135"/>
      <c r="QDI819" s="133"/>
      <c r="QDJ819" s="134"/>
      <c r="QDK819" s="134"/>
      <c r="QDL819" s="134"/>
      <c r="QDM819" s="135"/>
      <c r="QDN819" s="132"/>
      <c r="QDO819" s="132"/>
      <c r="QDP819" s="132"/>
      <c r="QDQ819" s="133"/>
      <c r="QDR819" s="134"/>
      <c r="QDS819" s="134"/>
      <c r="QDT819" s="134"/>
      <c r="QDU819" s="135"/>
      <c r="QDV819" s="133"/>
      <c r="QDW819" s="134"/>
      <c r="QDX819" s="134"/>
      <c r="QDY819" s="134"/>
      <c r="QDZ819" s="135"/>
      <c r="QEA819" s="132"/>
      <c r="QEB819" s="132"/>
      <c r="QEC819" s="132"/>
      <c r="QED819" s="133"/>
      <c r="QEE819" s="134"/>
      <c r="QEF819" s="134"/>
      <c r="QEG819" s="134"/>
      <c r="QEH819" s="135"/>
      <c r="QEI819" s="133"/>
      <c r="QEJ819" s="134"/>
      <c r="QEK819" s="134"/>
      <c r="QEL819" s="134"/>
      <c r="QEM819" s="135"/>
      <c r="QEN819" s="132"/>
      <c r="QEO819" s="132"/>
      <c r="QEP819" s="132"/>
      <c r="QEQ819" s="133"/>
      <c r="QER819" s="134"/>
      <c r="QES819" s="134"/>
      <c r="QET819" s="134"/>
      <c r="QEU819" s="135"/>
      <c r="QEV819" s="133"/>
      <c r="QEW819" s="134"/>
      <c r="QEX819" s="134"/>
      <c r="QEY819" s="134"/>
      <c r="QEZ819" s="135"/>
      <c r="QFA819" s="132"/>
      <c r="QFB819" s="132"/>
      <c r="QFC819" s="132"/>
      <c r="QFD819" s="133"/>
      <c r="QFE819" s="134"/>
      <c r="QFF819" s="134"/>
      <c r="QFG819" s="134"/>
      <c r="QFH819" s="135"/>
      <c r="QFI819" s="133"/>
      <c r="QFJ819" s="134"/>
      <c r="QFK819" s="134"/>
      <c r="QFL819" s="134"/>
      <c r="QFM819" s="135"/>
      <c r="QFN819" s="132"/>
      <c r="QFO819" s="132"/>
      <c r="QFP819" s="132"/>
      <c r="QFQ819" s="133"/>
      <c r="QFR819" s="134"/>
      <c r="QFS819" s="134"/>
      <c r="QFT819" s="134"/>
      <c r="QFU819" s="135"/>
      <c r="QFV819" s="133"/>
      <c r="QFW819" s="134"/>
      <c r="QFX819" s="134"/>
      <c r="QFY819" s="134"/>
      <c r="QFZ819" s="135"/>
      <c r="QGA819" s="132"/>
      <c r="QGB819" s="132"/>
      <c r="QGC819" s="132"/>
      <c r="QGD819" s="133"/>
      <c r="QGE819" s="134"/>
      <c r="QGF819" s="134"/>
      <c r="QGG819" s="134"/>
      <c r="QGH819" s="135"/>
      <c r="QGI819" s="133"/>
      <c r="QGJ819" s="134"/>
      <c r="QGK819" s="134"/>
      <c r="QGL819" s="134"/>
      <c r="QGM819" s="135"/>
      <c r="QGN819" s="132"/>
      <c r="QGO819" s="132"/>
      <c r="QGP819" s="132"/>
      <c r="QGQ819" s="133"/>
      <c r="QGR819" s="134"/>
      <c r="QGS819" s="134"/>
      <c r="QGT819" s="134"/>
      <c r="QGU819" s="135"/>
      <c r="QGV819" s="133"/>
      <c r="QGW819" s="134"/>
      <c r="QGX819" s="134"/>
      <c r="QGY819" s="134"/>
      <c r="QGZ819" s="135"/>
      <c r="QHA819" s="132"/>
      <c r="QHB819" s="132"/>
      <c r="QHC819" s="132"/>
      <c r="QHD819" s="133"/>
      <c r="QHE819" s="134"/>
      <c r="QHF819" s="134"/>
      <c r="QHG819" s="134"/>
      <c r="QHH819" s="135"/>
      <c r="QHI819" s="133"/>
      <c r="QHJ819" s="134"/>
      <c r="QHK819" s="134"/>
      <c r="QHL819" s="134"/>
      <c r="QHM819" s="135"/>
      <c r="QHN819" s="132"/>
      <c r="QHO819" s="132"/>
      <c r="QHP819" s="132"/>
      <c r="QHQ819" s="133"/>
      <c r="QHR819" s="134"/>
      <c r="QHS819" s="134"/>
      <c r="QHT819" s="134"/>
      <c r="QHU819" s="135"/>
      <c r="QHV819" s="133"/>
      <c r="QHW819" s="134"/>
      <c r="QHX819" s="134"/>
      <c r="QHY819" s="134"/>
      <c r="QHZ819" s="135"/>
      <c r="QIA819" s="132"/>
      <c r="QIB819" s="132"/>
      <c r="QIC819" s="132"/>
      <c r="QID819" s="133"/>
      <c r="QIE819" s="134"/>
      <c r="QIF819" s="134"/>
      <c r="QIG819" s="134"/>
      <c r="QIH819" s="135"/>
      <c r="QII819" s="133"/>
      <c r="QIJ819" s="134"/>
      <c r="QIK819" s="134"/>
      <c r="QIL819" s="134"/>
      <c r="QIM819" s="135"/>
      <c r="QIN819" s="132"/>
      <c r="QIO819" s="132"/>
      <c r="QIP819" s="132"/>
      <c r="QIQ819" s="133"/>
      <c r="QIR819" s="134"/>
      <c r="QIS819" s="134"/>
      <c r="QIT819" s="134"/>
      <c r="QIU819" s="135"/>
      <c r="QIV819" s="133"/>
      <c r="QIW819" s="134"/>
      <c r="QIX819" s="134"/>
      <c r="QIY819" s="134"/>
      <c r="QIZ819" s="135"/>
      <c r="QJA819" s="132"/>
      <c r="QJB819" s="132"/>
      <c r="QJC819" s="132"/>
      <c r="QJD819" s="133"/>
      <c r="QJE819" s="134"/>
      <c r="QJF819" s="134"/>
      <c r="QJG819" s="134"/>
      <c r="QJH819" s="135"/>
      <c r="QJI819" s="133"/>
      <c r="QJJ819" s="134"/>
      <c r="QJK819" s="134"/>
      <c r="QJL819" s="134"/>
      <c r="QJM819" s="135"/>
      <c r="QJN819" s="132"/>
      <c r="QJO819" s="132"/>
      <c r="QJP819" s="132"/>
      <c r="QJQ819" s="133"/>
      <c r="QJR819" s="134"/>
      <c r="QJS819" s="134"/>
      <c r="QJT819" s="134"/>
      <c r="QJU819" s="135"/>
      <c r="QJV819" s="133"/>
      <c r="QJW819" s="134"/>
      <c r="QJX819" s="134"/>
      <c r="QJY819" s="134"/>
      <c r="QJZ819" s="135"/>
      <c r="QKA819" s="132"/>
      <c r="QKB819" s="132"/>
      <c r="QKC819" s="132"/>
      <c r="QKD819" s="133"/>
      <c r="QKE819" s="134"/>
      <c r="QKF819" s="134"/>
      <c r="QKG819" s="134"/>
      <c r="QKH819" s="135"/>
      <c r="QKI819" s="133"/>
      <c r="QKJ819" s="134"/>
      <c r="QKK819" s="134"/>
      <c r="QKL819" s="134"/>
      <c r="QKM819" s="135"/>
      <c r="QKN819" s="132"/>
      <c r="QKO819" s="132"/>
      <c r="QKP819" s="132"/>
      <c r="QKQ819" s="133"/>
      <c r="QKR819" s="134"/>
      <c r="QKS819" s="134"/>
      <c r="QKT819" s="134"/>
      <c r="QKU819" s="135"/>
      <c r="QKV819" s="133"/>
      <c r="QKW819" s="134"/>
      <c r="QKX819" s="134"/>
      <c r="QKY819" s="134"/>
      <c r="QKZ819" s="135"/>
      <c r="QLA819" s="132"/>
      <c r="QLB819" s="132"/>
      <c r="QLC819" s="132"/>
      <c r="QLD819" s="133"/>
      <c r="QLE819" s="134"/>
      <c r="QLF819" s="134"/>
      <c r="QLG819" s="134"/>
      <c r="QLH819" s="135"/>
      <c r="QLI819" s="133"/>
      <c r="QLJ819" s="134"/>
      <c r="QLK819" s="134"/>
      <c r="QLL819" s="134"/>
      <c r="QLM819" s="135"/>
      <c r="QLN819" s="132"/>
      <c r="QLO819" s="132"/>
      <c r="QLP819" s="132"/>
      <c r="QLQ819" s="133"/>
      <c r="QLR819" s="134"/>
      <c r="QLS819" s="134"/>
      <c r="QLT819" s="134"/>
      <c r="QLU819" s="135"/>
      <c r="QLV819" s="133"/>
      <c r="QLW819" s="134"/>
      <c r="QLX819" s="134"/>
      <c r="QLY819" s="134"/>
      <c r="QLZ819" s="135"/>
      <c r="QMA819" s="132"/>
      <c r="QMB819" s="132"/>
      <c r="QMC819" s="132"/>
      <c r="QMD819" s="133"/>
      <c r="QME819" s="134"/>
      <c r="QMF819" s="134"/>
      <c r="QMG819" s="134"/>
      <c r="QMH819" s="135"/>
      <c r="QMI819" s="133"/>
      <c r="QMJ819" s="134"/>
      <c r="QMK819" s="134"/>
      <c r="QML819" s="134"/>
      <c r="QMM819" s="135"/>
      <c r="QMN819" s="132"/>
      <c r="QMO819" s="132"/>
      <c r="QMP819" s="132"/>
      <c r="QMQ819" s="133"/>
      <c r="QMR819" s="134"/>
      <c r="QMS819" s="134"/>
      <c r="QMT819" s="134"/>
      <c r="QMU819" s="135"/>
      <c r="QMV819" s="133"/>
      <c r="QMW819" s="134"/>
      <c r="QMX819" s="134"/>
      <c r="QMY819" s="134"/>
      <c r="QMZ819" s="135"/>
      <c r="QNA819" s="132"/>
      <c r="QNB819" s="132"/>
      <c r="QNC819" s="132"/>
      <c r="QND819" s="133"/>
      <c r="QNE819" s="134"/>
      <c r="QNF819" s="134"/>
      <c r="QNG819" s="134"/>
      <c r="QNH819" s="135"/>
      <c r="QNI819" s="133"/>
      <c r="QNJ819" s="134"/>
      <c r="QNK819" s="134"/>
      <c r="QNL819" s="134"/>
      <c r="QNM819" s="135"/>
      <c r="QNN819" s="132"/>
      <c r="QNO819" s="132"/>
      <c r="QNP819" s="132"/>
      <c r="QNQ819" s="133"/>
      <c r="QNR819" s="134"/>
      <c r="QNS819" s="134"/>
      <c r="QNT819" s="134"/>
      <c r="QNU819" s="135"/>
      <c r="QNV819" s="133"/>
      <c r="QNW819" s="134"/>
      <c r="QNX819" s="134"/>
      <c r="QNY819" s="134"/>
      <c r="QNZ819" s="135"/>
      <c r="QOA819" s="132"/>
      <c r="QOB819" s="132"/>
      <c r="QOC819" s="132"/>
      <c r="QOD819" s="133"/>
      <c r="QOE819" s="134"/>
      <c r="QOF819" s="134"/>
      <c r="QOG819" s="134"/>
      <c r="QOH819" s="135"/>
      <c r="QOI819" s="133"/>
      <c r="QOJ819" s="134"/>
      <c r="QOK819" s="134"/>
      <c r="QOL819" s="134"/>
      <c r="QOM819" s="135"/>
      <c r="QON819" s="132"/>
      <c r="QOO819" s="132"/>
      <c r="QOP819" s="132"/>
      <c r="QOQ819" s="133"/>
      <c r="QOR819" s="134"/>
      <c r="QOS819" s="134"/>
      <c r="QOT819" s="134"/>
      <c r="QOU819" s="135"/>
      <c r="QOV819" s="133"/>
      <c r="QOW819" s="134"/>
      <c r="QOX819" s="134"/>
      <c r="QOY819" s="134"/>
      <c r="QOZ819" s="135"/>
      <c r="QPA819" s="132"/>
      <c r="QPB819" s="132"/>
      <c r="QPC819" s="132"/>
      <c r="QPD819" s="133"/>
      <c r="QPE819" s="134"/>
      <c r="QPF819" s="134"/>
      <c r="QPG819" s="134"/>
      <c r="QPH819" s="135"/>
      <c r="QPI819" s="133"/>
      <c r="QPJ819" s="134"/>
      <c r="QPK819" s="134"/>
      <c r="QPL819" s="134"/>
      <c r="QPM819" s="135"/>
      <c r="QPN819" s="132"/>
      <c r="QPO819" s="132"/>
      <c r="QPP819" s="132"/>
      <c r="QPQ819" s="133"/>
      <c r="QPR819" s="134"/>
      <c r="QPS819" s="134"/>
      <c r="QPT819" s="134"/>
      <c r="QPU819" s="135"/>
      <c r="QPV819" s="133"/>
      <c r="QPW819" s="134"/>
      <c r="QPX819" s="134"/>
      <c r="QPY819" s="134"/>
      <c r="QPZ819" s="135"/>
      <c r="QQA819" s="132"/>
      <c r="QQB819" s="132"/>
      <c r="QQC819" s="132"/>
      <c r="QQD819" s="133"/>
      <c r="QQE819" s="134"/>
      <c r="QQF819" s="134"/>
      <c r="QQG819" s="134"/>
      <c r="QQH819" s="135"/>
      <c r="QQI819" s="133"/>
      <c r="QQJ819" s="134"/>
      <c r="QQK819" s="134"/>
      <c r="QQL819" s="134"/>
      <c r="QQM819" s="135"/>
      <c r="QQN819" s="132"/>
      <c r="QQO819" s="132"/>
      <c r="QQP819" s="132"/>
      <c r="QQQ819" s="133"/>
      <c r="QQR819" s="134"/>
      <c r="QQS819" s="134"/>
      <c r="QQT819" s="134"/>
      <c r="QQU819" s="135"/>
      <c r="QQV819" s="133"/>
      <c r="QQW819" s="134"/>
      <c r="QQX819" s="134"/>
      <c r="QQY819" s="134"/>
      <c r="QQZ819" s="135"/>
      <c r="QRA819" s="132"/>
      <c r="QRB819" s="132"/>
      <c r="QRC819" s="132"/>
      <c r="QRD819" s="133"/>
      <c r="QRE819" s="134"/>
      <c r="QRF819" s="134"/>
      <c r="QRG819" s="134"/>
      <c r="QRH819" s="135"/>
      <c r="QRI819" s="133"/>
      <c r="QRJ819" s="134"/>
      <c r="QRK819" s="134"/>
      <c r="QRL819" s="134"/>
      <c r="QRM819" s="135"/>
      <c r="QRN819" s="132"/>
      <c r="QRO819" s="132"/>
      <c r="QRP819" s="132"/>
      <c r="QRQ819" s="133"/>
      <c r="QRR819" s="134"/>
      <c r="QRS819" s="134"/>
      <c r="QRT819" s="134"/>
      <c r="QRU819" s="135"/>
      <c r="QRV819" s="133"/>
      <c r="QRW819" s="134"/>
      <c r="QRX819" s="134"/>
      <c r="QRY819" s="134"/>
      <c r="QRZ819" s="135"/>
      <c r="QSA819" s="132"/>
      <c r="QSB819" s="132"/>
      <c r="QSC819" s="132"/>
      <c r="QSD819" s="133"/>
      <c r="QSE819" s="134"/>
      <c r="QSF819" s="134"/>
      <c r="QSG819" s="134"/>
      <c r="QSH819" s="135"/>
      <c r="QSI819" s="133"/>
      <c r="QSJ819" s="134"/>
      <c r="QSK819" s="134"/>
      <c r="QSL819" s="134"/>
      <c r="QSM819" s="135"/>
      <c r="QSN819" s="132"/>
      <c r="QSO819" s="132"/>
      <c r="QSP819" s="132"/>
      <c r="QSQ819" s="133"/>
      <c r="QSR819" s="134"/>
      <c r="QSS819" s="134"/>
      <c r="QST819" s="134"/>
      <c r="QSU819" s="135"/>
      <c r="QSV819" s="133"/>
      <c r="QSW819" s="134"/>
      <c r="QSX819" s="134"/>
      <c r="QSY819" s="134"/>
      <c r="QSZ819" s="135"/>
      <c r="QTA819" s="132"/>
      <c r="QTB819" s="132"/>
      <c r="QTC819" s="132"/>
      <c r="QTD819" s="133"/>
      <c r="QTE819" s="134"/>
      <c r="QTF819" s="134"/>
      <c r="QTG819" s="134"/>
      <c r="QTH819" s="135"/>
      <c r="QTI819" s="133"/>
      <c r="QTJ819" s="134"/>
      <c r="QTK819" s="134"/>
      <c r="QTL819" s="134"/>
      <c r="QTM819" s="135"/>
      <c r="QTN819" s="132"/>
      <c r="QTO819" s="132"/>
      <c r="QTP819" s="132"/>
      <c r="QTQ819" s="133"/>
      <c r="QTR819" s="134"/>
      <c r="QTS819" s="134"/>
      <c r="QTT819" s="134"/>
      <c r="QTU819" s="135"/>
      <c r="QTV819" s="133"/>
      <c r="QTW819" s="134"/>
      <c r="QTX819" s="134"/>
      <c r="QTY819" s="134"/>
      <c r="QTZ819" s="135"/>
      <c r="QUA819" s="132"/>
      <c r="QUB819" s="132"/>
      <c r="QUC819" s="132"/>
      <c r="QUD819" s="133"/>
      <c r="QUE819" s="134"/>
      <c r="QUF819" s="134"/>
      <c r="QUG819" s="134"/>
      <c r="QUH819" s="135"/>
      <c r="QUI819" s="133"/>
      <c r="QUJ819" s="134"/>
      <c r="QUK819" s="134"/>
      <c r="QUL819" s="134"/>
      <c r="QUM819" s="135"/>
      <c r="QUN819" s="132"/>
      <c r="QUO819" s="132"/>
      <c r="QUP819" s="132"/>
      <c r="QUQ819" s="133"/>
      <c r="QUR819" s="134"/>
      <c r="QUS819" s="134"/>
      <c r="QUT819" s="134"/>
      <c r="QUU819" s="135"/>
      <c r="QUV819" s="133"/>
      <c r="QUW819" s="134"/>
      <c r="QUX819" s="134"/>
      <c r="QUY819" s="134"/>
      <c r="QUZ819" s="135"/>
      <c r="QVA819" s="132"/>
      <c r="QVB819" s="132"/>
      <c r="QVC819" s="132"/>
      <c r="QVD819" s="133"/>
      <c r="QVE819" s="134"/>
      <c r="QVF819" s="134"/>
      <c r="QVG819" s="134"/>
      <c r="QVH819" s="135"/>
      <c r="QVI819" s="133"/>
      <c r="QVJ819" s="134"/>
      <c r="QVK819" s="134"/>
      <c r="QVL819" s="134"/>
      <c r="QVM819" s="135"/>
      <c r="QVN819" s="132"/>
      <c r="QVO819" s="132"/>
      <c r="QVP819" s="132"/>
      <c r="QVQ819" s="133"/>
      <c r="QVR819" s="134"/>
      <c r="QVS819" s="134"/>
      <c r="QVT819" s="134"/>
      <c r="QVU819" s="135"/>
      <c r="QVV819" s="133"/>
      <c r="QVW819" s="134"/>
      <c r="QVX819" s="134"/>
      <c r="QVY819" s="134"/>
      <c r="QVZ819" s="135"/>
      <c r="QWA819" s="132"/>
      <c r="QWB819" s="132"/>
      <c r="QWC819" s="132"/>
      <c r="QWD819" s="133"/>
      <c r="QWE819" s="134"/>
      <c r="QWF819" s="134"/>
      <c r="QWG819" s="134"/>
      <c r="QWH819" s="135"/>
      <c r="QWI819" s="133"/>
      <c r="QWJ819" s="134"/>
      <c r="QWK819" s="134"/>
      <c r="QWL819" s="134"/>
      <c r="QWM819" s="135"/>
      <c r="QWN819" s="132"/>
      <c r="QWO819" s="132"/>
      <c r="QWP819" s="132"/>
      <c r="QWQ819" s="133"/>
      <c r="QWR819" s="134"/>
      <c r="QWS819" s="134"/>
      <c r="QWT819" s="134"/>
      <c r="QWU819" s="135"/>
      <c r="QWV819" s="133"/>
      <c r="QWW819" s="134"/>
      <c r="QWX819" s="134"/>
      <c r="QWY819" s="134"/>
      <c r="QWZ819" s="135"/>
      <c r="QXA819" s="132"/>
      <c r="QXB819" s="132"/>
      <c r="QXC819" s="132"/>
      <c r="QXD819" s="133"/>
      <c r="QXE819" s="134"/>
      <c r="QXF819" s="134"/>
      <c r="QXG819" s="134"/>
      <c r="QXH819" s="135"/>
      <c r="QXI819" s="133"/>
      <c r="QXJ819" s="134"/>
      <c r="QXK819" s="134"/>
      <c r="QXL819" s="134"/>
      <c r="QXM819" s="135"/>
      <c r="QXN819" s="132"/>
      <c r="QXO819" s="132"/>
      <c r="QXP819" s="132"/>
      <c r="QXQ819" s="133"/>
      <c r="QXR819" s="134"/>
      <c r="QXS819" s="134"/>
      <c r="QXT819" s="134"/>
      <c r="QXU819" s="135"/>
      <c r="QXV819" s="133"/>
      <c r="QXW819" s="134"/>
      <c r="QXX819" s="134"/>
      <c r="QXY819" s="134"/>
      <c r="QXZ819" s="135"/>
      <c r="QYA819" s="132"/>
      <c r="QYB819" s="132"/>
      <c r="QYC819" s="132"/>
      <c r="QYD819" s="133"/>
      <c r="QYE819" s="134"/>
      <c r="QYF819" s="134"/>
      <c r="QYG819" s="134"/>
      <c r="QYH819" s="135"/>
      <c r="QYI819" s="133"/>
      <c r="QYJ819" s="134"/>
      <c r="QYK819" s="134"/>
      <c r="QYL819" s="134"/>
      <c r="QYM819" s="135"/>
      <c r="QYN819" s="132"/>
      <c r="QYO819" s="132"/>
      <c r="QYP819" s="132"/>
      <c r="QYQ819" s="133"/>
      <c r="QYR819" s="134"/>
      <c r="QYS819" s="134"/>
      <c r="QYT819" s="134"/>
      <c r="QYU819" s="135"/>
      <c r="QYV819" s="133"/>
      <c r="QYW819" s="134"/>
      <c r="QYX819" s="134"/>
      <c r="QYY819" s="134"/>
      <c r="QYZ819" s="135"/>
      <c r="QZA819" s="132"/>
      <c r="QZB819" s="132"/>
      <c r="QZC819" s="132"/>
      <c r="QZD819" s="133"/>
      <c r="QZE819" s="134"/>
      <c r="QZF819" s="134"/>
      <c r="QZG819" s="134"/>
      <c r="QZH819" s="135"/>
      <c r="QZI819" s="133"/>
      <c r="QZJ819" s="134"/>
      <c r="QZK819" s="134"/>
      <c r="QZL819" s="134"/>
      <c r="QZM819" s="135"/>
      <c r="QZN819" s="132"/>
      <c r="QZO819" s="132"/>
      <c r="QZP819" s="132"/>
      <c r="QZQ819" s="133"/>
      <c r="QZR819" s="134"/>
      <c r="QZS819" s="134"/>
      <c r="QZT819" s="134"/>
      <c r="QZU819" s="135"/>
      <c r="QZV819" s="133"/>
      <c r="QZW819" s="134"/>
      <c r="QZX819" s="134"/>
      <c r="QZY819" s="134"/>
      <c r="QZZ819" s="135"/>
      <c r="RAA819" s="132"/>
      <c r="RAB819" s="132"/>
      <c r="RAC819" s="132"/>
      <c r="RAD819" s="133"/>
      <c r="RAE819" s="134"/>
      <c r="RAF819" s="134"/>
      <c r="RAG819" s="134"/>
      <c r="RAH819" s="135"/>
      <c r="RAI819" s="133"/>
      <c r="RAJ819" s="134"/>
      <c r="RAK819" s="134"/>
      <c r="RAL819" s="134"/>
      <c r="RAM819" s="135"/>
      <c r="RAN819" s="132"/>
      <c r="RAO819" s="132"/>
      <c r="RAP819" s="132"/>
      <c r="RAQ819" s="133"/>
      <c r="RAR819" s="134"/>
      <c r="RAS819" s="134"/>
      <c r="RAT819" s="134"/>
      <c r="RAU819" s="135"/>
      <c r="RAV819" s="133"/>
      <c r="RAW819" s="134"/>
      <c r="RAX819" s="134"/>
      <c r="RAY819" s="134"/>
      <c r="RAZ819" s="135"/>
      <c r="RBA819" s="132"/>
      <c r="RBB819" s="132"/>
      <c r="RBC819" s="132"/>
      <c r="RBD819" s="133"/>
      <c r="RBE819" s="134"/>
      <c r="RBF819" s="134"/>
      <c r="RBG819" s="134"/>
      <c r="RBH819" s="135"/>
      <c r="RBI819" s="133"/>
      <c r="RBJ819" s="134"/>
      <c r="RBK819" s="134"/>
      <c r="RBL819" s="134"/>
      <c r="RBM819" s="135"/>
      <c r="RBN819" s="132"/>
      <c r="RBO819" s="132"/>
      <c r="RBP819" s="132"/>
      <c r="RBQ819" s="133"/>
      <c r="RBR819" s="134"/>
      <c r="RBS819" s="134"/>
      <c r="RBT819" s="134"/>
      <c r="RBU819" s="135"/>
      <c r="RBV819" s="133"/>
      <c r="RBW819" s="134"/>
      <c r="RBX819" s="134"/>
      <c r="RBY819" s="134"/>
      <c r="RBZ819" s="135"/>
      <c r="RCA819" s="132"/>
      <c r="RCB819" s="132"/>
      <c r="RCC819" s="132"/>
      <c r="RCD819" s="133"/>
      <c r="RCE819" s="134"/>
      <c r="RCF819" s="134"/>
      <c r="RCG819" s="134"/>
      <c r="RCH819" s="135"/>
      <c r="RCI819" s="133"/>
      <c r="RCJ819" s="134"/>
      <c r="RCK819" s="134"/>
      <c r="RCL819" s="134"/>
      <c r="RCM819" s="135"/>
      <c r="RCN819" s="132"/>
      <c r="RCO819" s="132"/>
      <c r="RCP819" s="132"/>
      <c r="RCQ819" s="133"/>
      <c r="RCR819" s="134"/>
      <c r="RCS819" s="134"/>
      <c r="RCT819" s="134"/>
      <c r="RCU819" s="135"/>
      <c r="RCV819" s="133"/>
      <c r="RCW819" s="134"/>
      <c r="RCX819" s="134"/>
      <c r="RCY819" s="134"/>
      <c r="RCZ819" s="135"/>
      <c r="RDA819" s="132"/>
      <c r="RDB819" s="132"/>
      <c r="RDC819" s="132"/>
      <c r="RDD819" s="133"/>
      <c r="RDE819" s="134"/>
      <c r="RDF819" s="134"/>
      <c r="RDG819" s="134"/>
      <c r="RDH819" s="135"/>
      <c r="RDI819" s="133"/>
      <c r="RDJ819" s="134"/>
      <c r="RDK819" s="134"/>
      <c r="RDL819" s="134"/>
      <c r="RDM819" s="135"/>
      <c r="RDN819" s="132"/>
      <c r="RDO819" s="132"/>
      <c r="RDP819" s="132"/>
      <c r="RDQ819" s="133"/>
      <c r="RDR819" s="134"/>
      <c r="RDS819" s="134"/>
      <c r="RDT819" s="134"/>
      <c r="RDU819" s="135"/>
      <c r="RDV819" s="133"/>
      <c r="RDW819" s="134"/>
      <c r="RDX819" s="134"/>
      <c r="RDY819" s="134"/>
      <c r="RDZ819" s="135"/>
      <c r="REA819" s="132"/>
      <c r="REB819" s="132"/>
      <c r="REC819" s="132"/>
      <c r="RED819" s="133"/>
      <c r="REE819" s="134"/>
      <c r="REF819" s="134"/>
      <c r="REG819" s="134"/>
      <c r="REH819" s="135"/>
      <c r="REI819" s="133"/>
      <c r="REJ819" s="134"/>
      <c r="REK819" s="134"/>
      <c r="REL819" s="134"/>
      <c r="REM819" s="135"/>
      <c r="REN819" s="132"/>
      <c r="REO819" s="132"/>
      <c r="REP819" s="132"/>
      <c r="REQ819" s="133"/>
      <c r="RER819" s="134"/>
      <c r="RES819" s="134"/>
      <c r="RET819" s="134"/>
      <c r="REU819" s="135"/>
      <c r="REV819" s="133"/>
      <c r="REW819" s="134"/>
      <c r="REX819" s="134"/>
      <c r="REY819" s="134"/>
      <c r="REZ819" s="135"/>
      <c r="RFA819" s="132"/>
      <c r="RFB819" s="132"/>
      <c r="RFC819" s="132"/>
      <c r="RFD819" s="133"/>
      <c r="RFE819" s="134"/>
      <c r="RFF819" s="134"/>
      <c r="RFG819" s="134"/>
      <c r="RFH819" s="135"/>
      <c r="RFI819" s="133"/>
      <c r="RFJ819" s="134"/>
      <c r="RFK819" s="134"/>
      <c r="RFL819" s="134"/>
      <c r="RFM819" s="135"/>
      <c r="RFN819" s="132"/>
      <c r="RFO819" s="132"/>
      <c r="RFP819" s="132"/>
      <c r="RFQ819" s="133"/>
      <c r="RFR819" s="134"/>
      <c r="RFS819" s="134"/>
      <c r="RFT819" s="134"/>
      <c r="RFU819" s="135"/>
      <c r="RFV819" s="133"/>
      <c r="RFW819" s="134"/>
      <c r="RFX819" s="134"/>
      <c r="RFY819" s="134"/>
      <c r="RFZ819" s="135"/>
      <c r="RGA819" s="132"/>
      <c r="RGB819" s="132"/>
      <c r="RGC819" s="132"/>
      <c r="RGD819" s="133"/>
      <c r="RGE819" s="134"/>
      <c r="RGF819" s="134"/>
      <c r="RGG819" s="134"/>
      <c r="RGH819" s="135"/>
      <c r="RGI819" s="133"/>
      <c r="RGJ819" s="134"/>
      <c r="RGK819" s="134"/>
      <c r="RGL819" s="134"/>
      <c r="RGM819" s="135"/>
      <c r="RGN819" s="132"/>
      <c r="RGO819" s="132"/>
      <c r="RGP819" s="132"/>
      <c r="RGQ819" s="133"/>
      <c r="RGR819" s="134"/>
      <c r="RGS819" s="134"/>
      <c r="RGT819" s="134"/>
      <c r="RGU819" s="135"/>
      <c r="RGV819" s="133"/>
      <c r="RGW819" s="134"/>
      <c r="RGX819" s="134"/>
      <c r="RGY819" s="134"/>
      <c r="RGZ819" s="135"/>
      <c r="RHA819" s="132"/>
      <c r="RHB819" s="132"/>
      <c r="RHC819" s="132"/>
      <c r="RHD819" s="133"/>
      <c r="RHE819" s="134"/>
      <c r="RHF819" s="134"/>
      <c r="RHG819" s="134"/>
      <c r="RHH819" s="135"/>
      <c r="RHI819" s="133"/>
      <c r="RHJ819" s="134"/>
      <c r="RHK819" s="134"/>
      <c r="RHL819" s="134"/>
      <c r="RHM819" s="135"/>
      <c r="RHN819" s="132"/>
      <c r="RHO819" s="132"/>
      <c r="RHP819" s="132"/>
      <c r="RHQ819" s="133"/>
      <c r="RHR819" s="134"/>
      <c r="RHS819" s="134"/>
      <c r="RHT819" s="134"/>
      <c r="RHU819" s="135"/>
      <c r="RHV819" s="133"/>
      <c r="RHW819" s="134"/>
      <c r="RHX819" s="134"/>
      <c r="RHY819" s="134"/>
      <c r="RHZ819" s="135"/>
      <c r="RIA819" s="132"/>
      <c r="RIB819" s="132"/>
      <c r="RIC819" s="132"/>
      <c r="RID819" s="133"/>
      <c r="RIE819" s="134"/>
      <c r="RIF819" s="134"/>
      <c r="RIG819" s="134"/>
      <c r="RIH819" s="135"/>
      <c r="RII819" s="133"/>
      <c r="RIJ819" s="134"/>
      <c r="RIK819" s="134"/>
      <c r="RIL819" s="134"/>
      <c r="RIM819" s="135"/>
      <c r="RIN819" s="132"/>
      <c r="RIO819" s="132"/>
      <c r="RIP819" s="132"/>
      <c r="RIQ819" s="133"/>
      <c r="RIR819" s="134"/>
      <c r="RIS819" s="134"/>
      <c r="RIT819" s="134"/>
      <c r="RIU819" s="135"/>
      <c r="RIV819" s="133"/>
      <c r="RIW819" s="134"/>
      <c r="RIX819" s="134"/>
      <c r="RIY819" s="134"/>
      <c r="RIZ819" s="135"/>
      <c r="RJA819" s="132"/>
      <c r="RJB819" s="132"/>
      <c r="RJC819" s="132"/>
      <c r="RJD819" s="133"/>
      <c r="RJE819" s="134"/>
      <c r="RJF819" s="134"/>
      <c r="RJG819" s="134"/>
      <c r="RJH819" s="135"/>
      <c r="RJI819" s="133"/>
      <c r="RJJ819" s="134"/>
      <c r="RJK819" s="134"/>
      <c r="RJL819" s="134"/>
      <c r="RJM819" s="135"/>
      <c r="RJN819" s="132"/>
      <c r="RJO819" s="132"/>
      <c r="RJP819" s="132"/>
      <c r="RJQ819" s="133"/>
      <c r="RJR819" s="134"/>
      <c r="RJS819" s="134"/>
      <c r="RJT819" s="134"/>
      <c r="RJU819" s="135"/>
      <c r="RJV819" s="133"/>
      <c r="RJW819" s="134"/>
      <c r="RJX819" s="134"/>
      <c r="RJY819" s="134"/>
      <c r="RJZ819" s="135"/>
      <c r="RKA819" s="132"/>
      <c r="RKB819" s="132"/>
      <c r="RKC819" s="132"/>
      <c r="RKD819" s="133"/>
      <c r="RKE819" s="134"/>
      <c r="RKF819" s="134"/>
      <c r="RKG819" s="134"/>
      <c r="RKH819" s="135"/>
      <c r="RKI819" s="133"/>
      <c r="RKJ819" s="134"/>
      <c r="RKK819" s="134"/>
      <c r="RKL819" s="134"/>
      <c r="RKM819" s="135"/>
      <c r="RKN819" s="132"/>
      <c r="RKO819" s="132"/>
      <c r="RKP819" s="132"/>
      <c r="RKQ819" s="133"/>
      <c r="RKR819" s="134"/>
      <c r="RKS819" s="134"/>
      <c r="RKT819" s="134"/>
      <c r="RKU819" s="135"/>
      <c r="RKV819" s="133"/>
      <c r="RKW819" s="134"/>
      <c r="RKX819" s="134"/>
      <c r="RKY819" s="134"/>
      <c r="RKZ819" s="135"/>
      <c r="RLA819" s="132"/>
      <c r="RLB819" s="132"/>
      <c r="RLC819" s="132"/>
      <c r="RLD819" s="133"/>
      <c r="RLE819" s="134"/>
      <c r="RLF819" s="134"/>
      <c r="RLG819" s="134"/>
      <c r="RLH819" s="135"/>
      <c r="RLI819" s="133"/>
      <c r="RLJ819" s="134"/>
      <c r="RLK819" s="134"/>
      <c r="RLL819" s="134"/>
      <c r="RLM819" s="135"/>
      <c r="RLN819" s="132"/>
      <c r="RLO819" s="132"/>
      <c r="RLP819" s="132"/>
      <c r="RLQ819" s="133"/>
      <c r="RLR819" s="134"/>
      <c r="RLS819" s="134"/>
      <c r="RLT819" s="134"/>
      <c r="RLU819" s="135"/>
      <c r="RLV819" s="133"/>
      <c r="RLW819" s="134"/>
      <c r="RLX819" s="134"/>
      <c r="RLY819" s="134"/>
      <c r="RLZ819" s="135"/>
      <c r="RMA819" s="132"/>
      <c r="RMB819" s="132"/>
      <c r="RMC819" s="132"/>
      <c r="RMD819" s="133"/>
      <c r="RME819" s="134"/>
      <c r="RMF819" s="134"/>
      <c r="RMG819" s="134"/>
      <c r="RMH819" s="135"/>
      <c r="RMI819" s="133"/>
      <c r="RMJ819" s="134"/>
      <c r="RMK819" s="134"/>
      <c r="RML819" s="134"/>
      <c r="RMM819" s="135"/>
      <c r="RMN819" s="132"/>
      <c r="RMO819" s="132"/>
      <c r="RMP819" s="132"/>
      <c r="RMQ819" s="133"/>
      <c r="RMR819" s="134"/>
      <c r="RMS819" s="134"/>
      <c r="RMT819" s="134"/>
      <c r="RMU819" s="135"/>
      <c r="RMV819" s="133"/>
      <c r="RMW819" s="134"/>
      <c r="RMX819" s="134"/>
      <c r="RMY819" s="134"/>
      <c r="RMZ819" s="135"/>
      <c r="RNA819" s="132"/>
      <c r="RNB819" s="132"/>
      <c r="RNC819" s="132"/>
      <c r="RND819" s="133"/>
      <c r="RNE819" s="134"/>
      <c r="RNF819" s="134"/>
      <c r="RNG819" s="134"/>
      <c r="RNH819" s="135"/>
      <c r="RNI819" s="133"/>
      <c r="RNJ819" s="134"/>
      <c r="RNK819" s="134"/>
      <c r="RNL819" s="134"/>
      <c r="RNM819" s="135"/>
      <c r="RNN819" s="132"/>
      <c r="RNO819" s="132"/>
      <c r="RNP819" s="132"/>
      <c r="RNQ819" s="133"/>
      <c r="RNR819" s="134"/>
      <c r="RNS819" s="134"/>
      <c r="RNT819" s="134"/>
      <c r="RNU819" s="135"/>
      <c r="RNV819" s="133"/>
      <c r="RNW819" s="134"/>
      <c r="RNX819" s="134"/>
      <c r="RNY819" s="134"/>
      <c r="RNZ819" s="135"/>
      <c r="ROA819" s="132"/>
      <c r="ROB819" s="132"/>
      <c r="ROC819" s="132"/>
      <c r="ROD819" s="133"/>
      <c r="ROE819" s="134"/>
      <c r="ROF819" s="134"/>
      <c r="ROG819" s="134"/>
      <c r="ROH819" s="135"/>
      <c r="ROI819" s="133"/>
      <c r="ROJ819" s="134"/>
      <c r="ROK819" s="134"/>
      <c r="ROL819" s="134"/>
      <c r="ROM819" s="135"/>
      <c r="RON819" s="132"/>
      <c r="ROO819" s="132"/>
      <c r="ROP819" s="132"/>
      <c r="ROQ819" s="133"/>
      <c r="ROR819" s="134"/>
      <c r="ROS819" s="134"/>
      <c r="ROT819" s="134"/>
      <c r="ROU819" s="135"/>
      <c r="ROV819" s="133"/>
      <c r="ROW819" s="134"/>
      <c r="ROX819" s="134"/>
      <c r="ROY819" s="134"/>
      <c r="ROZ819" s="135"/>
      <c r="RPA819" s="132"/>
      <c r="RPB819" s="132"/>
      <c r="RPC819" s="132"/>
      <c r="RPD819" s="133"/>
      <c r="RPE819" s="134"/>
      <c r="RPF819" s="134"/>
      <c r="RPG819" s="134"/>
      <c r="RPH819" s="135"/>
      <c r="RPI819" s="133"/>
      <c r="RPJ819" s="134"/>
      <c r="RPK819" s="134"/>
      <c r="RPL819" s="134"/>
      <c r="RPM819" s="135"/>
      <c r="RPN819" s="132"/>
      <c r="RPO819" s="132"/>
      <c r="RPP819" s="132"/>
      <c r="RPQ819" s="133"/>
      <c r="RPR819" s="134"/>
      <c r="RPS819" s="134"/>
      <c r="RPT819" s="134"/>
      <c r="RPU819" s="135"/>
      <c r="RPV819" s="133"/>
      <c r="RPW819" s="134"/>
      <c r="RPX819" s="134"/>
      <c r="RPY819" s="134"/>
      <c r="RPZ819" s="135"/>
      <c r="RQA819" s="132"/>
      <c r="RQB819" s="132"/>
      <c r="RQC819" s="132"/>
      <c r="RQD819" s="133"/>
      <c r="RQE819" s="134"/>
      <c r="RQF819" s="134"/>
      <c r="RQG819" s="134"/>
      <c r="RQH819" s="135"/>
      <c r="RQI819" s="133"/>
      <c r="RQJ819" s="134"/>
      <c r="RQK819" s="134"/>
      <c r="RQL819" s="134"/>
      <c r="RQM819" s="135"/>
      <c r="RQN819" s="132"/>
      <c r="RQO819" s="132"/>
      <c r="RQP819" s="132"/>
      <c r="RQQ819" s="133"/>
      <c r="RQR819" s="134"/>
      <c r="RQS819" s="134"/>
      <c r="RQT819" s="134"/>
      <c r="RQU819" s="135"/>
      <c r="RQV819" s="133"/>
      <c r="RQW819" s="134"/>
      <c r="RQX819" s="134"/>
      <c r="RQY819" s="134"/>
      <c r="RQZ819" s="135"/>
      <c r="RRA819" s="132"/>
      <c r="RRB819" s="132"/>
      <c r="RRC819" s="132"/>
      <c r="RRD819" s="133"/>
      <c r="RRE819" s="134"/>
      <c r="RRF819" s="134"/>
      <c r="RRG819" s="134"/>
      <c r="RRH819" s="135"/>
      <c r="RRI819" s="133"/>
      <c r="RRJ819" s="134"/>
      <c r="RRK819" s="134"/>
      <c r="RRL819" s="134"/>
      <c r="RRM819" s="135"/>
      <c r="RRN819" s="132"/>
      <c r="RRO819" s="132"/>
      <c r="RRP819" s="132"/>
      <c r="RRQ819" s="133"/>
      <c r="RRR819" s="134"/>
      <c r="RRS819" s="134"/>
      <c r="RRT819" s="134"/>
      <c r="RRU819" s="135"/>
      <c r="RRV819" s="133"/>
      <c r="RRW819" s="134"/>
      <c r="RRX819" s="134"/>
      <c r="RRY819" s="134"/>
      <c r="RRZ819" s="135"/>
      <c r="RSA819" s="132"/>
      <c r="RSB819" s="132"/>
      <c r="RSC819" s="132"/>
      <c r="RSD819" s="133"/>
      <c r="RSE819" s="134"/>
      <c r="RSF819" s="134"/>
      <c r="RSG819" s="134"/>
      <c r="RSH819" s="135"/>
      <c r="RSI819" s="133"/>
      <c r="RSJ819" s="134"/>
      <c r="RSK819" s="134"/>
      <c r="RSL819" s="134"/>
      <c r="RSM819" s="135"/>
      <c r="RSN819" s="132"/>
      <c r="RSO819" s="132"/>
      <c r="RSP819" s="132"/>
      <c r="RSQ819" s="133"/>
      <c r="RSR819" s="134"/>
      <c r="RSS819" s="134"/>
      <c r="RST819" s="134"/>
      <c r="RSU819" s="135"/>
      <c r="RSV819" s="133"/>
      <c r="RSW819" s="134"/>
      <c r="RSX819" s="134"/>
      <c r="RSY819" s="134"/>
      <c r="RSZ819" s="135"/>
      <c r="RTA819" s="132"/>
      <c r="RTB819" s="132"/>
      <c r="RTC819" s="132"/>
      <c r="RTD819" s="133"/>
      <c r="RTE819" s="134"/>
      <c r="RTF819" s="134"/>
      <c r="RTG819" s="134"/>
      <c r="RTH819" s="135"/>
      <c r="RTI819" s="133"/>
      <c r="RTJ819" s="134"/>
      <c r="RTK819" s="134"/>
      <c r="RTL819" s="134"/>
      <c r="RTM819" s="135"/>
      <c r="RTN819" s="132"/>
      <c r="RTO819" s="132"/>
      <c r="RTP819" s="132"/>
      <c r="RTQ819" s="133"/>
      <c r="RTR819" s="134"/>
      <c r="RTS819" s="134"/>
      <c r="RTT819" s="134"/>
      <c r="RTU819" s="135"/>
      <c r="RTV819" s="133"/>
      <c r="RTW819" s="134"/>
      <c r="RTX819" s="134"/>
      <c r="RTY819" s="134"/>
      <c r="RTZ819" s="135"/>
      <c r="RUA819" s="132"/>
      <c r="RUB819" s="132"/>
      <c r="RUC819" s="132"/>
      <c r="RUD819" s="133"/>
      <c r="RUE819" s="134"/>
      <c r="RUF819" s="134"/>
      <c r="RUG819" s="134"/>
      <c r="RUH819" s="135"/>
      <c r="RUI819" s="133"/>
      <c r="RUJ819" s="134"/>
      <c r="RUK819" s="134"/>
      <c r="RUL819" s="134"/>
      <c r="RUM819" s="135"/>
      <c r="RUN819" s="132"/>
      <c r="RUO819" s="132"/>
      <c r="RUP819" s="132"/>
      <c r="RUQ819" s="133"/>
      <c r="RUR819" s="134"/>
      <c r="RUS819" s="134"/>
      <c r="RUT819" s="134"/>
      <c r="RUU819" s="135"/>
      <c r="RUV819" s="133"/>
      <c r="RUW819" s="134"/>
      <c r="RUX819" s="134"/>
      <c r="RUY819" s="134"/>
      <c r="RUZ819" s="135"/>
      <c r="RVA819" s="132"/>
      <c r="RVB819" s="132"/>
      <c r="RVC819" s="132"/>
      <c r="RVD819" s="133"/>
      <c r="RVE819" s="134"/>
      <c r="RVF819" s="134"/>
      <c r="RVG819" s="134"/>
      <c r="RVH819" s="135"/>
      <c r="RVI819" s="133"/>
      <c r="RVJ819" s="134"/>
      <c r="RVK819" s="134"/>
      <c r="RVL819" s="134"/>
      <c r="RVM819" s="135"/>
      <c r="RVN819" s="132"/>
      <c r="RVO819" s="132"/>
      <c r="RVP819" s="132"/>
      <c r="RVQ819" s="133"/>
      <c r="RVR819" s="134"/>
      <c r="RVS819" s="134"/>
      <c r="RVT819" s="134"/>
      <c r="RVU819" s="135"/>
      <c r="RVV819" s="133"/>
      <c r="RVW819" s="134"/>
      <c r="RVX819" s="134"/>
      <c r="RVY819" s="134"/>
      <c r="RVZ819" s="135"/>
      <c r="RWA819" s="132"/>
      <c r="RWB819" s="132"/>
      <c r="RWC819" s="132"/>
      <c r="RWD819" s="133"/>
      <c r="RWE819" s="134"/>
      <c r="RWF819" s="134"/>
      <c r="RWG819" s="134"/>
      <c r="RWH819" s="135"/>
      <c r="RWI819" s="133"/>
      <c r="RWJ819" s="134"/>
      <c r="RWK819" s="134"/>
      <c r="RWL819" s="134"/>
      <c r="RWM819" s="135"/>
      <c r="RWN819" s="132"/>
      <c r="RWO819" s="132"/>
      <c r="RWP819" s="132"/>
      <c r="RWQ819" s="133"/>
      <c r="RWR819" s="134"/>
      <c r="RWS819" s="134"/>
      <c r="RWT819" s="134"/>
      <c r="RWU819" s="135"/>
      <c r="RWV819" s="133"/>
      <c r="RWW819" s="134"/>
      <c r="RWX819" s="134"/>
      <c r="RWY819" s="134"/>
      <c r="RWZ819" s="135"/>
      <c r="RXA819" s="132"/>
      <c r="RXB819" s="132"/>
      <c r="RXC819" s="132"/>
      <c r="RXD819" s="133"/>
      <c r="RXE819" s="134"/>
      <c r="RXF819" s="134"/>
      <c r="RXG819" s="134"/>
      <c r="RXH819" s="135"/>
      <c r="RXI819" s="133"/>
      <c r="RXJ819" s="134"/>
      <c r="RXK819" s="134"/>
      <c r="RXL819" s="134"/>
      <c r="RXM819" s="135"/>
      <c r="RXN819" s="132"/>
      <c r="RXO819" s="132"/>
      <c r="RXP819" s="132"/>
      <c r="RXQ819" s="133"/>
      <c r="RXR819" s="134"/>
      <c r="RXS819" s="134"/>
      <c r="RXT819" s="134"/>
      <c r="RXU819" s="135"/>
      <c r="RXV819" s="133"/>
      <c r="RXW819" s="134"/>
      <c r="RXX819" s="134"/>
      <c r="RXY819" s="134"/>
      <c r="RXZ819" s="135"/>
      <c r="RYA819" s="132"/>
      <c r="RYB819" s="132"/>
      <c r="RYC819" s="132"/>
      <c r="RYD819" s="133"/>
      <c r="RYE819" s="134"/>
      <c r="RYF819" s="134"/>
      <c r="RYG819" s="134"/>
      <c r="RYH819" s="135"/>
      <c r="RYI819" s="133"/>
      <c r="RYJ819" s="134"/>
      <c r="RYK819" s="134"/>
      <c r="RYL819" s="134"/>
      <c r="RYM819" s="135"/>
      <c r="RYN819" s="132"/>
      <c r="RYO819" s="132"/>
      <c r="RYP819" s="132"/>
      <c r="RYQ819" s="133"/>
      <c r="RYR819" s="134"/>
      <c r="RYS819" s="134"/>
      <c r="RYT819" s="134"/>
      <c r="RYU819" s="135"/>
      <c r="RYV819" s="133"/>
      <c r="RYW819" s="134"/>
      <c r="RYX819" s="134"/>
      <c r="RYY819" s="134"/>
      <c r="RYZ819" s="135"/>
      <c r="RZA819" s="132"/>
      <c r="RZB819" s="132"/>
      <c r="RZC819" s="132"/>
      <c r="RZD819" s="133"/>
      <c r="RZE819" s="134"/>
      <c r="RZF819" s="134"/>
      <c r="RZG819" s="134"/>
      <c r="RZH819" s="135"/>
      <c r="RZI819" s="133"/>
      <c r="RZJ819" s="134"/>
      <c r="RZK819" s="134"/>
      <c r="RZL819" s="134"/>
      <c r="RZM819" s="135"/>
      <c r="RZN819" s="132"/>
      <c r="RZO819" s="132"/>
      <c r="RZP819" s="132"/>
      <c r="RZQ819" s="133"/>
      <c r="RZR819" s="134"/>
      <c r="RZS819" s="134"/>
      <c r="RZT819" s="134"/>
      <c r="RZU819" s="135"/>
      <c r="RZV819" s="133"/>
      <c r="RZW819" s="134"/>
      <c r="RZX819" s="134"/>
      <c r="RZY819" s="134"/>
      <c r="RZZ819" s="135"/>
      <c r="SAA819" s="132"/>
      <c r="SAB819" s="132"/>
      <c r="SAC819" s="132"/>
      <c r="SAD819" s="133"/>
      <c r="SAE819" s="134"/>
      <c r="SAF819" s="134"/>
      <c r="SAG819" s="134"/>
      <c r="SAH819" s="135"/>
      <c r="SAI819" s="133"/>
      <c r="SAJ819" s="134"/>
      <c r="SAK819" s="134"/>
      <c r="SAL819" s="134"/>
      <c r="SAM819" s="135"/>
      <c r="SAN819" s="132"/>
      <c r="SAO819" s="132"/>
      <c r="SAP819" s="132"/>
      <c r="SAQ819" s="133"/>
      <c r="SAR819" s="134"/>
      <c r="SAS819" s="134"/>
      <c r="SAT819" s="134"/>
      <c r="SAU819" s="135"/>
      <c r="SAV819" s="133"/>
      <c r="SAW819" s="134"/>
      <c r="SAX819" s="134"/>
      <c r="SAY819" s="134"/>
      <c r="SAZ819" s="135"/>
      <c r="SBA819" s="132"/>
      <c r="SBB819" s="132"/>
      <c r="SBC819" s="132"/>
      <c r="SBD819" s="133"/>
      <c r="SBE819" s="134"/>
      <c r="SBF819" s="134"/>
      <c r="SBG819" s="134"/>
      <c r="SBH819" s="135"/>
      <c r="SBI819" s="133"/>
      <c r="SBJ819" s="134"/>
      <c r="SBK819" s="134"/>
      <c r="SBL819" s="134"/>
      <c r="SBM819" s="135"/>
      <c r="SBN819" s="132"/>
      <c r="SBO819" s="132"/>
      <c r="SBP819" s="132"/>
      <c r="SBQ819" s="133"/>
      <c r="SBR819" s="134"/>
      <c r="SBS819" s="134"/>
      <c r="SBT819" s="134"/>
      <c r="SBU819" s="135"/>
      <c r="SBV819" s="133"/>
      <c r="SBW819" s="134"/>
      <c r="SBX819" s="134"/>
      <c r="SBY819" s="134"/>
      <c r="SBZ819" s="135"/>
      <c r="SCA819" s="132"/>
      <c r="SCB819" s="132"/>
      <c r="SCC819" s="132"/>
      <c r="SCD819" s="133"/>
      <c r="SCE819" s="134"/>
      <c r="SCF819" s="134"/>
      <c r="SCG819" s="134"/>
      <c r="SCH819" s="135"/>
      <c r="SCI819" s="133"/>
      <c r="SCJ819" s="134"/>
      <c r="SCK819" s="134"/>
      <c r="SCL819" s="134"/>
      <c r="SCM819" s="135"/>
      <c r="SCN819" s="132"/>
      <c r="SCO819" s="132"/>
      <c r="SCP819" s="132"/>
      <c r="SCQ819" s="133"/>
      <c r="SCR819" s="134"/>
      <c r="SCS819" s="134"/>
      <c r="SCT819" s="134"/>
      <c r="SCU819" s="135"/>
      <c r="SCV819" s="133"/>
      <c r="SCW819" s="134"/>
      <c r="SCX819" s="134"/>
      <c r="SCY819" s="134"/>
      <c r="SCZ819" s="135"/>
      <c r="SDA819" s="132"/>
      <c r="SDB819" s="132"/>
      <c r="SDC819" s="132"/>
      <c r="SDD819" s="133"/>
      <c r="SDE819" s="134"/>
      <c r="SDF819" s="134"/>
      <c r="SDG819" s="134"/>
      <c r="SDH819" s="135"/>
      <c r="SDI819" s="133"/>
      <c r="SDJ819" s="134"/>
      <c r="SDK819" s="134"/>
      <c r="SDL819" s="134"/>
      <c r="SDM819" s="135"/>
      <c r="SDN819" s="132"/>
      <c r="SDO819" s="132"/>
      <c r="SDP819" s="132"/>
      <c r="SDQ819" s="133"/>
      <c r="SDR819" s="134"/>
      <c r="SDS819" s="134"/>
      <c r="SDT819" s="134"/>
      <c r="SDU819" s="135"/>
      <c r="SDV819" s="133"/>
      <c r="SDW819" s="134"/>
      <c r="SDX819" s="134"/>
      <c r="SDY819" s="134"/>
      <c r="SDZ819" s="135"/>
      <c r="SEA819" s="132"/>
      <c r="SEB819" s="132"/>
      <c r="SEC819" s="132"/>
      <c r="SED819" s="133"/>
      <c r="SEE819" s="134"/>
      <c r="SEF819" s="134"/>
      <c r="SEG819" s="134"/>
      <c r="SEH819" s="135"/>
      <c r="SEI819" s="133"/>
      <c r="SEJ819" s="134"/>
      <c r="SEK819" s="134"/>
      <c r="SEL819" s="134"/>
      <c r="SEM819" s="135"/>
      <c r="SEN819" s="132"/>
      <c r="SEO819" s="132"/>
      <c r="SEP819" s="132"/>
      <c r="SEQ819" s="133"/>
      <c r="SER819" s="134"/>
      <c r="SES819" s="134"/>
      <c r="SET819" s="134"/>
      <c r="SEU819" s="135"/>
      <c r="SEV819" s="133"/>
      <c r="SEW819" s="134"/>
      <c r="SEX819" s="134"/>
      <c r="SEY819" s="134"/>
      <c r="SEZ819" s="135"/>
      <c r="SFA819" s="132"/>
      <c r="SFB819" s="132"/>
      <c r="SFC819" s="132"/>
      <c r="SFD819" s="133"/>
      <c r="SFE819" s="134"/>
      <c r="SFF819" s="134"/>
      <c r="SFG819" s="134"/>
      <c r="SFH819" s="135"/>
      <c r="SFI819" s="133"/>
      <c r="SFJ819" s="134"/>
      <c r="SFK819" s="134"/>
      <c r="SFL819" s="134"/>
      <c r="SFM819" s="135"/>
      <c r="SFN819" s="132"/>
      <c r="SFO819" s="132"/>
      <c r="SFP819" s="132"/>
      <c r="SFQ819" s="133"/>
      <c r="SFR819" s="134"/>
      <c r="SFS819" s="134"/>
      <c r="SFT819" s="134"/>
      <c r="SFU819" s="135"/>
      <c r="SFV819" s="133"/>
      <c r="SFW819" s="134"/>
      <c r="SFX819" s="134"/>
      <c r="SFY819" s="134"/>
      <c r="SFZ819" s="135"/>
      <c r="SGA819" s="132"/>
      <c r="SGB819" s="132"/>
      <c r="SGC819" s="132"/>
      <c r="SGD819" s="133"/>
      <c r="SGE819" s="134"/>
      <c r="SGF819" s="134"/>
      <c r="SGG819" s="134"/>
      <c r="SGH819" s="135"/>
      <c r="SGI819" s="133"/>
      <c r="SGJ819" s="134"/>
      <c r="SGK819" s="134"/>
      <c r="SGL819" s="134"/>
      <c r="SGM819" s="135"/>
      <c r="SGN819" s="132"/>
      <c r="SGO819" s="132"/>
      <c r="SGP819" s="132"/>
      <c r="SGQ819" s="133"/>
      <c r="SGR819" s="134"/>
      <c r="SGS819" s="134"/>
      <c r="SGT819" s="134"/>
      <c r="SGU819" s="135"/>
      <c r="SGV819" s="133"/>
      <c r="SGW819" s="134"/>
      <c r="SGX819" s="134"/>
      <c r="SGY819" s="134"/>
      <c r="SGZ819" s="135"/>
      <c r="SHA819" s="132"/>
      <c r="SHB819" s="132"/>
      <c r="SHC819" s="132"/>
      <c r="SHD819" s="133"/>
      <c r="SHE819" s="134"/>
      <c r="SHF819" s="134"/>
      <c r="SHG819" s="134"/>
      <c r="SHH819" s="135"/>
      <c r="SHI819" s="133"/>
      <c r="SHJ819" s="134"/>
      <c r="SHK819" s="134"/>
      <c r="SHL819" s="134"/>
      <c r="SHM819" s="135"/>
      <c r="SHN819" s="132"/>
      <c r="SHO819" s="132"/>
      <c r="SHP819" s="132"/>
      <c r="SHQ819" s="133"/>
      <c r="SHR819" s="134"/>
      <c r="SHS819" s="134"/>
      <c r="SHT819" s="134"/>
      <c r="SHU819" s="135"/>
      <c r="SHV819" s="133"/>
      <c r="SHW819" s="134"/>
      <c r="SHX819" s="134"/>
      <c r="SHY819" s="134"/>
      <c r="SHZ819" s="135"/>
      <c r="SIA819" s="132"/>
      <c r="SIB819" s="132"/>
      <c r="SIC819" s="132"/>
      <c r="SID819" s="133"/>
      <c r="SIE819" s="134"/>
      <c r="SIF819" s="134"/>
      <c r="SIG819" s="134"/>
      <c r="SIH819" s="135"/>
      <c r="SII819" s="133"/>
      <c r="SIJ819" s="134"/>
      <c r="SIK819" s="134"/>
      <c r="SIL819" s="134"/>
      <c r="SIM819" s="135"/>
      <c r="SIN819" s="132"/>
      <c r="SIO819" s="132"/>
      <c r="SIP819" s="132"/>
      <c r="SIQ819" s="133"/>
      <c r="SIR819" s="134"/>
      <c r="SIS819" s="134"/>
      <c r="SIT819" s="134"/>
      <c r="SIU819" s="135"/>
      <c r="SIV819" s="133"/>
      <c r="SIW819" s="134"/>
      <c r="SIX819" s="134"/>
      <c r="SIY819" s="134"/>
      <c r="SIZ819" s="135"/>
      <c r="SJA819" s="132"/>
      <c r="SJB819" s="132"/>
      <c r="SJC819" s="132"/>
      <c r="SJD819" s="133"/>
      <c r="SJE819" s="134"/>
      <c r="SJF819" s="134"/>
      <c r="SJG819" s="134"/>
      <c r="SJH819" s="135"/>
      <c r="SJI819" s="133"/>
      <c r="SJJ819" s="134"/>
      <c r="SJK819" s="134"/>
      <c r="SJL819" s="134"/>
      <c r="SJM819" s="135"/>
      <c r="SJN819" s="132"/>
      <c r="SJO819" s="132"/>
      <c r="SJP819" s="132"/>
      <c r="SJQ819" s="133"/>
      <c r="SJR819" s="134"/>
      <c r="SJS819" s="134"/>
      <c r="SJT819" s="134"/>
      <c r="SJU819" s="135"/>
      <c r="SJV819" s="133"/>
      <c r="SJW819" s="134"/>
      <c r="SJX819" s="134"/>
      <c r="SJY819" s="134"/>
      <c r="SJZ819" s="135"/>
      <c r="SKA819" s="132"/>
      <c r="SKB819" s="132"/>
      <c r="SKC819" s="132"/>
      <c r="SKD819" s="133"/>
      <c r="SKE819" s="134"/>
      <c r="SKF819" s="134"/>
      <c r="SKG819" s="134"/>
      <c r="SKH819" s="135"/>
      <c r="SKI819" s="133"/>
      <c r="SKJ819" s="134"/>
      <c r="SKK819" s="134"/>
      <c r="SKL819" s="134"/>
      <c r="SKM819" s="135"/>
      <c r="SKN819" s="132"/>
      <c r="SKO819" s="132"/>
      <c r="SKP819" s="132"/>
      <c r="SKQ819" s="133"/>
      <c r="SKR819" s="134"/>
      <c r="SKS819" s="134"/>
      <c r="SKT819" s="134"/>
      <c r="SKU819" s="135"/>
      <c r="SKV819" s="133"/>
      <c r="SKW819" s="134"/>
      <c r="SKX819" s="134"/>
      <c r="SKY819" s="134"/>
      <c r="SKZ819" s="135"/>
      <c r="SLA819" s="132"/>
      <c r="SLB819" s="132"/>
      <c r="SLC819" s="132"/>
      <c r="SLD819" s="133"/>
      <c r="SLE819" s="134"/>
      <c r="SLF819" s="134"/>
      <c r="SLG819" s="134"/>
      <c r="SLH819" s="135"/>
      <c r="SLI819" s="133"/>
      <c r="SLJ819" s="134"/>
      <c r="SLK819" s="134"/>
      <c r="SLL819" s="134"/>
      <c r="SLM819" s="135"/>
      <c r="SLN819" s="132"/>
      <c r="SLO819" s="132"/>
      <c r="SLP819" s="132"/>
      <c r="SLQ819" s="133"/>
      <c r="SLR819" s="134"/>
      <c r="SLS819" s="134"/>
      <c r="SLT819" s="134"/>
      <c r="SLU819" s="135"/>
      <c r="SLV819" s="133"/>
      <c r="SLW819" s="134"/>
      <c r="SLX819" s="134"/>
      <c r="SLY819" s="134"/>
      <c r="SLZ819" s="135"/>
      <c r="SMA819" s="132"/>
      <c r="SMB819" s="132"/>
      <c r="SMC819" s="132"/>
      <c r="SMD819" s="133"/>
      <c r="SME819" s="134"/>
      <c r="SMF819" s="134"/>
      <c r="SMG819" s="134"/>
      <c r="SMH819" s="135"/>
      <c r="SMI819" s="133"/>
      <c r="SMJ819" s="134"/>
      <c r="SMK819" s="134"/>
      <c r="SML819" s="134"/>
      <c r="SMM819" s="135"/>
      <c r="SMN819" s="132"/>
      <c r="SMO819" s="132"/>
      <c r="SMP819" s="132"/>
      <c r="SMQ819" s="133"/>
      <c r="SMR819" s="134"/>
      <c r="SMS819" s="134"/>
      <c r="SMT819" s="134"/>
      <c r="SMU819" s="135"/>
      <c r="SMV819" s="133"/>
      <c r="SMW819" s="134"/>
      <c r="SMX819" s="134"/>
      <c r="SMY819" s="134"/>
      <c r="SMZ819" s="135"/>
      <c r="SNA819" s="132"/>
      <c r="SNB819" s="132"/>
      <c r="SNC819" s="132"/>
      <c r="SND819" s="133"/>
      <c r="SNE819" s="134"/>
      <c r="SNF819" s="134"/>
      <c r="SNG819" s="134"/>
      <c r="SNH819" s="135"/>
      <c r="SNI819" s="133"/>
      <c r="SNJ819" s="134"/>
      <c r="SNK819" s="134"/>
      <c r="SNL819" s="134"/>
      <c r="SNM819" s="135"/>
      <c r="SNN819" s="132"/>
      <c r="SNO819" s="132"/>
      <c r="SNP819" s="132"/>
      <c r="SNQ819" s="133"/>
      <c r="SNR819" s="134"/>
      <c r="SNS819" s="134"/>
      <c r="SNT819" s="134"/>
      <c r="SNU819" s="135"/>
      <c r="SNV819" s="133"/>
      <c r="SNW819" s="134"/>
      <c r="SNX819" s="134"/>
      <c r="SNY819" s="134"/>
      <c r="SNZ819" s="135"/>
      <c r="SOA819" s="132"/>
      <c r="SOB819" s="132"/>
      <c r="SOC819" s="132"/>
      <c r="SOD819" s="133"/>
      <c r="SOE819" s="134"/>
      <c r="SOF819" s="134"/>
      <c r="SOG819" s="134"/>
      <c r="SOH819" s="135"/>
      <c r="SOI819" s="133"/>
      <c r="SOJ819" s="134"/>
      <c r="SOK819" s="134"/>
      <c r="SOL819" s="134"/>
      <c r="SOM819" s="135"/>
      <c r="SON819" s="132"/>
      <c r="SOO819" s="132"/>
      <c r="SOP819" s="132"/>
      <c r="SOQ819" s="133"/>
      <c r="SOR819" s="134"/>
      <c r="SOS819" s="134"/>
      <c r="SOT819" s="134"/>
      <c r="SOU819" s="135"/>
      <c r="SOV819" s="133"/>
      <c r="SOW819" s="134"/>
      <c r="SOX819" s="134"/>
      <c r="SOY819" s="134"/>
      <c r="SOZ819" s="135"/>
      <c r="SPA819" s="132"/>
      <c r="SPB819" s="132"/>
      <c r="SPC819" s="132"/>
      <c r="SPD819" s="133"/>
      <c r="SPE819" s="134"/>
      <c r="SPF819" s="134"/>
      <c r="SPG819" s="134"/>
      <c r="SPH819" s="135"/>
      <c r="SPI819" s="133"/>
      <c r="SPJ819" s="134"/>
      <c r="SPK819" s="134"/>
      <c r="SPL819" s="134"/>
      <c r="SPM819" s="135"/>
      <c r="SPN819" s="132"/>
      <c r="SPO819" s="132"/>
      <c r="SPP819" s="132"/>
      <c r="SPQ819" s="133"/>
      <c r="SPR819" s="134"/>
      <c r="SPS819" s="134"/>
      <c r="SPT819" s="134"/>
      <c r="SPU819" s="135"/>
      <c r="SPV819" s="133"/>
      <c r="SPW819" s="134"/>
      <c r="SPX819" s="134"/>
      <c r="SPY819" s="134"/>
      <c r="SPZ819" s="135"/>
      <c r="SQA819" s="132"/>
      <c r="SQB819" s="132"/>
      <c r="SQC819" s="132"/>
      <c r="SQD819" s="133"/>
      <c r="SQE819" s="134"/>
      <c r="SQF819" s="134"/>
      <c r="SQG819" s="134"/>
      <c r="SQH819" s="135"/>
      <c r="SQI819" s="133"/>
      <c r="SQJ819" s="134"/>
      <c r="SQK819" s="134"/>
      <c r="SQL819" s="134"/>
      <c r="SQM819" s="135"/>
      <c r="SQN819" s="132"/>
      <c r="SQO819" s="132"/>
      <c r="SQP819" s="132"/>
      <c r="SQQ819" s="133"/>
      <c r="SQR819" s="134"/>
      <c r="SQS819" s="134"/>
      <c r="SQT819" s="134"/>
      <c r="SQU819" s="135"/>
      <c r="SQV819" s="133"/>
      <c r="SQW819" s="134"/>
      <c r="SQX819" s="134"/>
      <c r="SQY819" s="134"/>
      <c r="SQZ819" s="135"/>
      <c r="SRA819" s="132"/>
      <c r="SRB819" s="132"/>
      <c r="SRC819" s="132"/>
      <c r="SRD819" s="133"/>
      <c r="SRE819" s="134"/>
      <c r="SRF819" s="134"/>
      <c r="SRG819" s="134"/>
      <c r="SRH819" s="135"/>
      <c r="SRI819" s="133"/>
      <c r="SRJ819" s="134"/>
      <c r="SRK819" s="134"/>
      <c r="SRL819" s="134"/>
      <c r="SRM819" s="135"/>
      <c r="SRN819" s="132"/>
      <c r="SRO819" s="132"/>
      <c r="SRP819" s="132"/>
      <c r="SRQ819" s="133"/>
      <c r="SRR819" s="134"/>
      <c r="SRS819" s="134"/>
      <c r="SRT819" s="134"/>
      <c r="SRU819" s="135"/>
      <c r="SRV819" s="133"/>
      <c r="SRW819" s="134"/>
      <c r="SRX819" s="134"/>
      <c r="SRY819" s="134"/>
      <c r="SRZ819" s="135"/>
      <c r="SSA819" s="132"/>
      <c r="SSB819" s="132"/>
      <c r="SSC819" s="132"/>
      <c r="SSD819" s="133"/>
      <c r="SSE819" s="134"/>
      <c r="SSF819" s="134"/>
      <c r="SSG819" s="134"/>
      <c r="SSH819" s="135"/>
      <c r="SSI819" s="133"/>
      <c r="SSJ819" s="134"/>
      <c r="SSK819" s="134"/>
      <c r="SSL819" s="134"/>
      <c r="SSM819" s="135"/>
      <c r="SSN819" s="132"/>
      <c r="SSO819" s="132"/>
      <c r="SSP819" s="132"/>
      <c r="SSQ819" s="133"/>
      <c r="SSR819" s="134"/>
      <c r="SSS819" s="134"/>
      <c r="SST819" s="134"/>
      <c r="SSU819" s="135"/>
      <c r="SSV819" s="133"/>
      <c r="SSW819" s="134"/>
      <c r="SSX819" s="134"/>
      <c r="SSY819" s="134"/>
      <c r="SSZ819" s="135"/>
      <c r="STA819" s="132"/>
      <c r="STB819" s="132"/>
      <c r="STC819" s="132"/>
      <c r="STD819" s="133"/>
      <c r="STE819" s="134"/>
      <c r="STF819" s="134"/>
      <c r="STG819" s="134"/>
      <c r="STH819" s="135"/>
      <c r="STI819" s="133"/>
      <c r="STJ819" s="134"/>
      <c r="STK819" s="134"/>
      <c r="STL819" s="134"/>
      <c r="STM819" s="135"/>
      <c r="STN819" s="132"/>
      <c r="STO819" s="132"/>
      <c r="STP819" s="132"/>
      <c r="STQ819" s="133"/>
      <c r="STR819" s="134"/>
      <c r="STS819" s="134"/>
      <c r="STT819" s="134"/>
      <c r="STU819" s="135"/>
      <c r="STV819" s="133"/>
      <c r="STW819" s="134"/>
      <c r="STX819" s="134"/>
      <c r="STY819" s="134"/>
      <c r="STZ819" s="135"/>
      <c r="SUA819" s="132"/>
      <c r="SUB819" s="132"/>
      <c r="SUC819" s="132"/>
      <c r="SUD819" s="133"/>
      <c r="SUE819" s="134"/>
      <c r="SUF819" s="134"/>
      <c r="SUG819" s="134"/>
      <c r="SUH819" s="135"/>
      <c r="SUI819" s="133"/>
      <c r="SUJ819" s="134"/>
      <c r="SUK819" s="134"/>
      <c r="SUL819" s="134"/>
      <c r="SUM819" s="135"/>
      <c r="SUN819" s="132"/>
      <c r="SUO819" s="132"/>
      <c r="SUP819" s="132"/>
      <c r="SUQ819" s="133"/>
      <c r="SUR819" s="134"/>
      <c r="SUS819" s="134"/>
      <c r="SUT819" s="134"/>
      <c r="SUU819" s="135"/>
      <c r="SUV819" s="133"/>
      <c r="SUW819" s="134"/>
      <c r="SUX819" s="134"/>
      <c r="SUY819" s="134"/>
      <c r="SUZ819" s="135"/>
      <c r="SVA819" s="132"/>
      <c r="SVB819" s="132"/>
      <c r="SVC819" s="132"/>
      <c r="SVD819" s="133"/>
      <c r="SVE819" s="134"/>
      <c r="SVF819" s="134"/>
      <c r="SVG819" s="134"/>
      <c r="SVH819" s="135"/>
      <c r="SVI819" s="133"/>
      <c r="SVJ819" s="134"/>
      <c r="SVK819" s="134"/>
      <c r="SVL819" s="134"/>
      <c r="SVM819" s="135"/>
      <c r="SVN819" s="132"/>
      <c r="SVO819" s="132"/>
      <c r="SVP819" s="132"/>
      <c r="SVQ819" s="133"/>
      <c r="SVR819" s="134"/>
      <c r="SVS819" s="134"/>
      <c r="SVT819" s="134"/>
      <c r="SVU819" s="135"/>
      <c r="SVV819" s="133"/>
      <c r="SVW819" s="134"/>
      <c r="SVX819" s="134"/>
      <c r="SVY819" s="134"/>
      <c r="SVZ819" s="135"/>
      <c r="SWA819" s="132"/>
      <c r="SWB819" s="132"/>
      <c r="SWC819" s="132"/>
      <c r="SWD819" s="133"/>
      <c r="SWE819" s="134"/>
      <c r="SWF819" s="134"/>
      <c r="SWG819" s="134"/>
      <c r="SWH819" s="135"/>
      <c r="SWI819" s="133"/>
      <c r="SWJ819" s="134"/>
      <c r="SWK819" s="134"/>
      <c r="SWL819" s="134"/>
      <c r="SWM819" s="135"/>
      <c r="SWN819" s="132"/>
      <c r="SWO819" s="132"/>
      <c r="SWP819" s="132"/>
      <c r="SWQ819" s="133"/>
      <c r="SWR819" s="134"/>
      <c r="SWS819" s="134"/>
      <c r="SWT819" s="134"/>
      <c r="SWU819" s="135"/>
      <c r="SWV819" s="133"/>
      <c r="SWW819" s="134"/>
      <c r="SWX819" s="134"/>
      <c r="SWY819" s="134"/>
      <c r="SWZ819" s="135"/>
      <c r="SXA819" s="132"/>
      <c r="SXB819" s="132"/>
      <c r="SXC819" s="132"/>
      <c r="SXD819" s="133"/>
      <c r="SXE819" s="134"/>
      <c r="SXF819" s="134"/>
      <c r="SXG819" s="134"/>
      <c r="SXH819" s="135"/>
      <c r="SXI819" s="133"/>
      <c r="SXJ819" s="134"/>
      <c r="SXK819" s="134"/>
      <c r="SXL819" s="134"/>
      <c r="SXM819" s="135"/>
      <c r="SXN819" s="132"/>
      <c r="SXO819" s="132"/>
      <c r="SXP819" s="132"/>
      <c r="SXQ819" s="133"/>
      <c r="SXR819" s="134"/>
      <c r="SXS819" s="134"/>
      <c r="SXT819" s="134"/>
      <c r="SXU819" s="135"/>
      <c r="SXV819" s="133"/>
      <c r="SXW819" s="134"/>
      <c r="SXX819" s="134"/>
      <c r="SXY819" s="134"/>
      <c r="SXZ819" s="135"/>
      <c r="SYA819" s="132"/>
      <c r="SYB819" s="132"/>
      <c r="SYC819" s="132"/>
      <c r="SYD819" s="133"/>
      <c r="SYE819" s="134"/>
      <c r="SYF819" s="134"/>
      <c r="SYG819" s="134"/>
      <c r="SYH819" s="135"/>
      <c r="SYI819" s="133"/>
      <c r="SYJ819" s="134"/>
      <c r="SYK819" s="134"/>
      <c r="SYL819" s="134"/>
      <c r="SYM819" s="135"/>
      <c r="SYN819" s="132"/>
      <c r="SYO819" s="132"/>
      <c r="SYP819" s="132"/>
      <c r="SYQ819" s="133"/>
      <c r="SYR819" s="134"/>
      <c r="SYS819" s="134"/>
      <c r="SYT819" s="134"/>
      <c r="SYU819" s="135"/>
      <c r="SYV819" s="133"/>
      <c r="SYW819" s="134"/>
      <c r="SYX819" s="134"/>
      <c r="SYY819" s="134"/>
      <c r="SYZ819" s="135"/>
      <c r="SZA819" s="132"/>
      <c r="SZB819" s="132"/>
      <c r="SZC819" s="132"/>
      <c r="SZD819" s="133"/>
      <c r="SZE819" s="134"/>
      <c r="SZF819" s="134"/>
      <c r="SZG819" s="134"/>
      <c r="SZH819" s="135"/>
      <c r="SZI819" s="133"/>
      <c r="SZJ819" s="134"/>
      <c r="SZK819" s="134"/>
      <c r="SZL819" s="134"/>
      <c r="SZM819" s="135"/>
      <c r="SZN819" s="132"/>
      <c r="SZO819" s="132"/>
      <c r="SZP819" s="132"/>
      <c r="SZQ819" s="133"/>
      <c r="SZR819" s="134"/>
      <c r="SZS819" s="134"/>
      <c r="SZT819" s="134"/>
      <c r="SZU819" s="135"/>
      <c r="SZV819" s="133"/>
      <c r="SZW819" s="134"/>
      <c r="SZX819" s="134"/>
      <c r="SZY819" s="134"/>
      <c r="SZZ819" s="135"/>
      <c r="TAA819" s="132"/>
      <c r="TAB819" s="132"/>
      <c r="TAC819" s="132"/>
      <c r="TAD819" s="133"/>
      <c r="TAE819" s="134"/>
      <c r="TAF819" s="134"/>
      <c r="TAG819" s="134"/>
      <c r="TAH819" s="135"/>
      <c r="TAI819" s="133"/>
      <c r="TAJ819" s="134"/>
      <c r="TAK819" s="134"/>
      <c r="TAL819" s="134"/>
      <c r="TAM819" s="135"/>
      <c r="TAN819" s="132"/>
      <c r="TAO819" s="132"/>
      <c r="TAP819" s="132"/>
      <c r="TAQ819" s="133"/>
      <c r="TAR819" s="134"/>
      <c r="TAS819" s="134"/>
      <c r="TAT819" s="134"/>
      <c r="TAU819" s="135"/>
      <c r="TAV819" s="133"/>
      <c r="TAW819" s="134"/>
      <c r="TAX819" s="134"/>
      <c r="TAY819" s="134"/>
      <c r="TAZ819" s="135"/>
      <c r="TBA819" s="132"/>
      <c r="TBB819" s="132"/>
      <c r="TBC819" s="132"/>
      <c r="TBD819" s="133"/>
      <c r="TBE819" s="134"/>
      <c r="TBF819" s="134"/>
      <c r="TBG819" s="134"/>
      <c r="TBH819" s="135"/>
      <c r="TBI819" s="133"/>
      <c r="TBJ819" s="134"/>
      <c r="TBK819" s="134"/>
      <c r="TBL819" s="134"/>
      <c r="TBM819" s="135"/>
      <c r="TBN819" s="132"/>
      <c r="TBO819" s="132"/>
      <c r="TBP819" s="132"/>
      <c r="TBQ819" s="133"/>
      <c r="TBR819" s="134"/>
      <c r="TBS819" s="134"/>
      <c r="TBT819" s="134"/>
      <c r="TBU819" s="135"/>
      <c r="TBV819" s="133"/>
      <c r="TBW819" s="134"/>
      <c r="TBX819" s="134"/>
      <c r="TBY819" s="134"/>
      <c r="TBZ819" s="135"/>
      <c r="TCA819" s="132"/>
      <c r="TCB819" s="132"/>
      <c r="TCC819" s="132"/>
      <c r="TCD819" s="133"/>
      <c r="TCE819" s="134"/>
      <c r="TCF819" s="134"/>
      <c r="TCG819" s="134"/>
      <c r="TCH819" s="135"/>
      <c r="TCI819" s="133"/>
      <c r="TCJ819" s="134"/>
      <c r="TCK819" s="134"/>
      <c r="TCL819" s="134"/>
      <c r="TCM819" s="135"/>
      <c r="TCN819" s="132"/>
      <c r="TCO819" s="132"/>
      <c r="TCP819" s="132"/>
      <c r="TCQ819" s="133"/>
      <c r="TCR819" s="134"/>
      <c r="TCS819" s="134"/>
      <c r="TCT819" s="134"/>
      <c r="TCU819" s="135"/>
      <c r="TCV819" s="133"/>
      <c r="TCW819" s="134"/>
      <c r="TCX819" s="134"/>
      <c r="TCY819" s="134"/>
      <c r="TCZ819" s="135"/>
      <c r="TDA819" s="132"/>
      <c r="TDB819" s="132"/>
      <c r="TDC819" s="132"/>
      <c r="TDD819" s="133"/>
      <c r="TDE819" s="134"/>
      <c r="TDF819" s="134"/>
      <c r="TDG819" s="134"/>
      <c r="TDH819" s="135"/>
      <c r="TDI819" s="133"/>
      <c r="TDJ819" s="134"/>
      <c r="TDK819" s="134"/>
      <c r="TDL819" s="134"/>
      <c r="TDM819" s="135"/>
      <c r="TDN819" s="132"/>
      <c r="TDO819" s="132"/>
      <c r="TDP819" s="132"/>
      <c r="TDQ819" s="133"/>
      <c r="TDR819" s="134"/>
      <c r="TDS819" s="134"/>
      <c r="TDT819" s="134"/>
      <c r="TDU819" s="135"/>
      <c r="TDV819" s="133"/>
      <c r="TDW819" s="134"/>
      <c r="TDX819" s="134"/>
      <c r="TDY819" s="134"/>
      <c r="TDZ819" s="135"/>
      <c r="TEA819" s="132"/>
      <c r="TEB819" s="132"/>
      <c r="TEC819" s="132"/>
      <c r="TED819" s="133"/>
      <c r="TEE819" s="134"/>
      <c r="TEF819" s="134"/>
      <c r="TEG819" s="134"/>
      <c r="TEH819" s="135"/>
      <c r="TEI819" s="133"/>
      <c r="TEJ819" s="134"/>
      <c r="TEK819" s="134"/>
      <c r="TEL819" s="134"/>
      <c r="TEM819" s="135"/>
      <c r="TEN819" s="132"/>
      <c r="TEO819" s="132"/>
      <c r="TEP819" s="132"/>
      <c r="TEQ819" s="133"/>
      <c r="TER819" s="134"/>
      <c r="TES819" s="134"/>
      <c r="TET819" s="134"/>
      <c r="TEU819" s="135"/>
      <c r="TEV819" s="133"/>
      <c r="TEW819" s="134"/>
      <c r="TEX819" s="134"/>
      <c r="TEY819" s="134"/>
      <c r="TEZ819" s="135"/>
      <c r="TFA819" s="132"/>
      <c r="TFB819" s="132"/>
      <c r="TFC819" s="132"/>
      <c r="TFD819" s="133"/>
      <c r="TFE819" s="134"/>
      <c r="TFF819" s="134"/>
      <c r="TFG819" s="134"/>
      <c r="TFH819" s="135"/>
      <c r="TFI819" s="133"/>
      <c r="TFJ819" s="134"/>
      <c r="TFK819" s="134"/>
      <c r="TFL819" s="134"/>
      <c r="TFM819" s="135"/>
      <c r="TFN819" s="132"/>
      <c r="TFO819" s="132"/>
      <c r="TFP819" s="132"/>
      <c r="TFQ819" s="133"/>
      <c r="TFR819" s="134"/>
      <c r="TFS819" s="134"/>
      <c r="TFT819" s="134"/>
      <c r="TFU819" s="135"/>
      <c r="TFV819" s="133"/>
      <c r="TFW819" s="134"/>
      <c r="TFX819" s="134"/>
      <c r="TFY819" s="134"/>
      <c r="TFZ819" s="135"/>
      <c r="TGA819" s="132"/>
      <c r="TGB819" s="132"/>
      <c r="TGC819" s="132"/>
      <c r="TGD819" s="133"/>
      <c r="TGE819" s="134"/>
      <c r="TGF819" s="134"/>
      <c r="TGG819" s="134"/>
      <c r="TGH819" s="135"/>
      <c r="TGI819" s="133"/>
      <c r="TGJ819" s="134"/>
      <c r="TGK819" s="134"/>
      <c r="TGL819" s="134"/>
      <c r="TGM819" s="135"/>
      <c r="TGN819" s="132"/>
      <c r="TGO819" s="132"/>
      <c r="TGP819" s="132"/>
      <c r="TGQ819" s="133"/>
      <c r="TGR819" s="134"/>
      <c r="TGS819" s="134"/>
      <c r="TGT819" s="134"/>
      <c r="TGU819" s="135"/>
      <c r="TGV819" s="133"/>
      <c r="TGW819" s="134"/>
      <c r="TGX819" s="134"/>
      <c r="TGY819" s="134"/>
      <c r="TGZ819" s="135"/>
      <c r="THA819" s="132"/>
      <c r="THB819" s="132"/>
      <c r="THC819" s="132"/>
      <c r="THD819" s="133"/>
      <c r="THE819" s="134"/>
      <c r="THF819" s="134"/>
      <c r="THG819" s="134"/>
      <c r="THH819" s="135"/>
      <c r="THI819" s="133"/>
      <c r="THJ819" s="134"/>
      <c r="THK819" s="134"/>
      <c r="THL819" s="134"/>
      <c r="THM819" s="135"/>
      <c r="THN819" s="132"/>
      <c r="THO819" s="132"/>
      <c r="THP819" s="132"/>
      <c r="THQ819" s="133"/>
      <c r="THR819" s="134"/>
      <c r="THS819" s="134"/>
      <c r="THT819" s="134"/>
      <c r="THU819" s="135"/>
      <c r="THV819" s="133"/>
      <c r="THW819" s="134"/>
      <c r="THX819" s="134"/>
      <c r="THY819" s="134"/>
      <c r="THZ819" s="135"/>
      <c r="TIA819" s="132"/>
      <c r="TIB819" s="132"/>
      <c r="TIC819" s="132"/>
      <c r="TID819" s="133"/>
      <c r="TIE819" s="134"/>
      <c r="TIF819" s="134"/>
      <c r="TIG819" s="134"/>
      <c r="TIH819" s="135"/>
      <c r="TII819" s="133"/>
      <c r="TIJ819" s="134"/>
      <c r="TIK819" s="134"/>
      <c r="TIL819" s="134"/>
      <c r="TIM819" s="135"/>
      <c r="TIN819" s="132"/>
      <c r="TIO819" s="132"/>
      <c r="TIP819" s="132"/>
      <c r="TIQ819" s="133"/>
      <c r="TIR819" s="134"/>
      <c r="TIS819" s="134"/>
      <c r="TIT819" s="134"/>
      <c r="TIU819" s="135"/>
      <c r="TIV819" s="133"/>
      <c r="TIW819" s="134"/>
      <c r="TIX819" s="134"/>
      <c r="TIY819" s="134"/>
      <c r="TIZ819" s="135"/>
      <c r="TJA819" s="132"/>
      <c r="TJB819" s="132"/>
      <c r="TJC819" s="132"/>
      <c r="TJD819" s="133"/>
      <c r="TJE819" s="134"/>
      <c r="TJF819" s="134"/>
      <c r="TJG819" s="134"/>
      <c r="TJH819" s="135"/>
      <c r="TJI819" s="133"/>
      <c r="TJJ819" s="134"/>
      <c r="TJK819" s="134"/>
      <c r="TJL819" s="134"/>
      <c r="TJM819" s="135"/>
      <c r="TJN819" s="132"/>
      <c r="TJO819" s="132"/>
      <c r="TJP819" s="132"/>
      <c r="TJQ819" s="133"/>
      <c r="TJR819" s="134"/>
      <c r="TJS819" s="134"/>
      <c r="TJT819" s="134"/>
      <c r="TJU819" s="135"/>
      <c r="TJV819" s="133"/>
      <c r="TJW819" s="134"/>
      <c r="TJX819" s="134"/>
      <c r="TJY819" s="134"/>
      <c r="TJZ819" s="135"/>
      <c r="TKA819" s="132"/>
      <c r="TKB819" s="132"/>
      <c r="TKC819" s="132"/>
      <c r="TKD819" s="133"/>
      <c r="TKE819" s="134"/>
      <c r="TKF819" s="134"/>
      <c r="TKG819" s="134"/>
      <c r="TKH819" s="135"/>
      <c r="TKI819" s="133"/>
      <c r="TKJ819" s="134"/>
      <c r="TKK819" s="134"/>
      <c r="TKL819" s="134"/>
      <c r="TKM819" s="135"/>
      <c r="TKN819" s="132"/>
      <c r="TKO819" s="132"/>
      <c r="TKP819" s="132"/>
      <c r="TKQ819" s="133"/>
      <c r="TKR819" s="134"/>
      <c r="TKS819" s="134"/>
      <c r="TKT819" s="134"/>
      <c r="TKU819" s="135"/>
      <c r="TKV819" s="133"/>
      <c r="TKW819" s="134"/>
      <c r="TKX819" s="134"/>
      <c r="TKY819" s="134"/>
      <c r="TKZ819" s="135"/>
      <c r="TLA819" s="132"/>
      <c r="TLB819" s="132"/>
      <c r="TLC819" s="132"/>
      <c r="TLD819" s="133"/>
      <c r="TLE819" s="134"/>
      <c r="TLF819" s="134"/>
      <c r="TLG819" s="134"/>
      <c r="TLH819" s="135"/>
      <c r="TLI819" s="133"/>
      <c r="TLJ819" s="134"/>
      <c r="TLK819" s="134"/>
      <c r="TLL819" s="134"/>
      <c r="TLM819" s="135"/>
      <c r="TLN819" s="132"/>
      <c r="TLO819" s="132"/>
      <c r="TLP819" s="132"/>
      <c r="TLQ819" s="133"/>
      <c r="TLR819" s="134"/>
      <c r="TLS819" s="134"/>
      <c r="TLT819" s="134"/>
      <c r="TLU819" s="135"/>
      <c r="TLV819" s="133"/>
      <c r="TLW819" s="134"/>
      <c r="TLX819" s="134"/>
      <c r="TLY819" s="134"/>
      <c r="TLZ819" s="135"/>
      <c r="TMA819" s="132"/>
      <c r="TMB819" s="132"/>
      <c r="TMC819" s="132"/>
      <c r="TMD819" s="133"/>
      <c r="TME819" s="134"/>
      <c r="TMF819" s="134"/>
      <c r="TMG819" s="134"/>
      <c r="TMH819" s="135"/>
      <c r="TMI819" s="133"/>
      <c r="TMJ819" s="134"/>
      <c r="TMK819" s="134"/>
      <c r="TML819" s="134"/>
      <c r="TMM819" s="135"/>
      <c r="TMN819" s="132"/>
      <c r="TMO819" s="132"/>
      <c r="TMP819" s="132"/>
      <c r="TMQ819" s="133"/>
      <c r="TMR819" s="134"/>
      <c r="TMS819" s="134"/>
      <c r="TMT819" s="134"/>
      <c r="TMU819" s="135"/>
      <c r="TMV819" s="133"/>
      <c r="TMW819" s="134"/>
      <c r="TMX819" s="134"/>
      <c r="TMY819" s="134"/>
      <c r="TMZ819" s="135"/>
      <c r="TNA819" s="132"/>
      <c r="TNB819" s="132"/>
      <c r="TNC819" s="132"/>
      <c r="TND819" s="133"/>
      <c r="TNE819" s="134"/>
      <c r="TNF819" s="134"/>
      <c r="TNG819" s="134"/>
      <c r="TNH819" s="135"/>
      <c r="TNI819" s="133"/>
      <c r="TNJ819" s="134"/>
      <c r="TNK819" s="134"/>
      <c r="TNL819" s="134"/>
      <c r="TNM819" s="135"/>
      <c r="TNN819" s="132"/>
      <c r="TNO819" s="132"/>
      <c r="TNP819" s="132"/>
      <c r="TNQ819" s="133"/>
      <c r="TNR819" s="134"/>
      <c r="TNS819" s="134"/>
      <c r="TNT819" s="134"/>
      <c r="TNU819" s="135"/>
      <c r="TNV819" s="133"/>
      <c r="TNW819" s="134"/>
      <c r="TNX819" s="134"/>
      <c r="TNY819" s="134"/>
      <c r="TNZ819" s="135"/>
      <c r="TOA819" s="132"/>
      <c r="TOB819" s="132"/>
      <c r="TOC819" s="132"/>
      <c r="TOD819" s="133"/>
      <c r="TOE819" s="134"/>
      <c r="TOF819" s="134"/>
      <c r="TOG819" s="134"/>
      <c r="TOH819" s="135"/>
      <c r="TOI819" s="133"/>
      <c r="TOJ819" s="134"/>
      <c r="TOK819" s="134"/>
      <c r="TOL819" s="134"/>
      <c r="TOM819" s="135"/>
      <c r="TON819" s="132"/>
      <c r="TOO819" s="132"/>
      <c r="TOP819" s="132"/>
      <c r="TOQ819" s="133"/>
      <c r="TOR819" s="134"/>
      <c r="TOS819" s="134"/>
      <c r="TOT819" s="134"/>
      <c r="TOU819" s="135"/>
      <c r="TOV819" s="133"/>
      <c r="TOW819" s="134"/>
      <c r="TOX819" s="134"/>
      <c r="TOY819" s="134"/>
      <c r="TOZ819" s="135"/>
      <c r="TPA819" s="132"/>
      <c r="TPB819" s="132"/>
      <c r="TPC819" s="132"/>
      <c r="TPD819" s="133"/>
      <c r="TPE819" s="134"/>
      <c r="TPF819" s="134"/>
      <c r="TPG819" s="134"/>
      <c r="TPH819" s="135"/>
      <c r="TPI819" s="133"/>
      <c r="TPJ819" s="134"/>
      <c r="TPK819" s="134"/>
      <c r="TPL819" s="134"/>
      <c r="TPM819" s="135"/>
      <c r="TPN819" s="132"/>
      <c r="TPO819" s="132"/>
      <c r="TPP819" s="132"/>
      <c r="TPQ819" s="133"/>
      <c r="TPR819" s="134"/>
      <c r="TPS819" s="134"/>
      <c r="TPT819" s="134"/>
      <c r="TPU819" s="135"/>
      <c r="TPV819" s="133"/>
      <c r="TPW819" s="134"/>
      <c r="TPX819" s="134"/>
      <c r="TPY819" s="134"/>
      <c r="TPZ819" s="135"/>
      <c r="TQA819" s="132"/>
      <c r="TQB819" s="132"/>
      <c r="TQC819" s="132"/>
      <c r="TQD819" s="133"/>
      <c r="TQE819" s="134"/>
      <c r="TQF819" s="134"/>
      <c r="TQG819" s="134"/>
      <c r="TQH819" s="135"/>
      <c r="TQI819" s="133"/>
      <c r="TQJ819" s="134"/>
      <c r="TQK819" s="134"/>
      <c r="TQL819" s="134"/>
      <c r="TQM819" s="135"/>
      <c r="TQN819" s="132"/>
      <c r="TQO819" s="132"/>
      <c r="TQP819" s="132"/>
      <c r="TQQ819" s="133"/>
      <c r="TQR819" s="134"/>
      <c r="TQS819" s="134"/>
      <c r="TQT819" s="134"/>
      <c r="TQU819" s="135"/>
      <c r="TQV819" s="133"/>
      <c r="TQW819" s="134"/>
      <c r="TQX819" s="134"/>
      <c r="TQY819" s="134"/>
      <c r="TQZ819" s="135"/>
      <c r="TRA819" s="132"/>
      <c r="TRB819" s="132"/>
      <c r="TRC819" s="132"/>
      <c r="TRD819" s="133"/>
      <c r="TRE819" s="134"/>
      <c r="TRF819" s="134"/>
      <c r="TRG819" s="134"/>
      <c r="TRH819" s="135"/>
      <c r="TRI819" s="133"/>
      <c r="TRJ819" s="134"/>
      <c r="TRK819" s="134"/>
      <c r="TRL819" s="134"/>
      <c r="TRM819" s="135"/>
      <c r="TRN819" s="132"/>
      <c r="TRO819" s="132"/>
      <c r="TRP819" s="132"/>
      <c r="TRQ819" s="133"/>
      <c r="TRR819" s="134"/>
      <c r="TRS819" s="134"/>
      <c r="TRT819" s="134"/>
      <c r="TRU819" s="135"/>
      <c r="TRV819" s="133"/>
      <c r="TRW819" s="134"/>
      <c r="TRX819" s="134"/>
      <c r="TRY819" s="134"/>
      <c r="TRZ819" s="135"/>
      <c r="TSA819" s="132"/>
      <c r="TSB819" s="132"/>
      <c r="TSC819" s="132"/>
      <c r="TSD819" s="133"/>
      <c r="TSE819" s="134"/>
      <c r="TSF819" s="134"/>
      <c r="TSG819" s="134"/>
      <c r="TSH819" s="135"/>
      <c r="TSI819" s="133"/>
      <c r="TSJ819" s="134"/>
      <c r="TSK819" s="134"/>
      <c r="TSL819" s="134"/>
      <c r="TSM819" s="135"/>
      <c r="TSN819" s="132"/>
      <c r="TSO819" s="132"/>
      <c r="TSP819" s="132"/>
      <c r="TSQ819" s="133"/>
      <c r="TSR819" s="134"/>
      <c r="TSS819" s="134"/>
      <c r="TST819" s="134"/>
      <c r="TSU819" s="135"/>
      <c r="TSV819" s="133"/>
      <c r="TSW819" s="134"/>
      <c r="TSX819" s="134"/>
      <c r="TSY819" s="134"/>
      <c r="TSZ819" s="135"/>
      <c r="TTA819" s="132"/>
      <c r="TTB819" s="132"/>
      <c r="TTC819" s="132"/>
      <c r="TTD819" s="133"/>
      <c r="TTE819" s="134"/>
      <c r="TTF819" s="134"/>
      <c r="TTG819" s="134"/>
      <c r="TTH819" s="135"/>
      <c r="TTI819" s="133"/>
      <c r="TTJ819" s="134"/>
      <c r="TTK819" s="134"/>
      <c r="TTL819" s="134"/>
      <c r="TTM819" s="135"/>
      <c r="TTN819" s="132"/>
      <c r="TTO819" s="132"/>
      <c r="TTP819" s="132"/>
      <c r="TTQ819" s="133"/>
      <c r="TTR819" s="134"/>
      <c r="TTS819" s="134"/>
      <c r="TTT819" s="134"/>
      <c r="TTU819" s="135"/>
      <c r="TTV819" s="133"/>
      <c r="TTW819" s="134"/>
      <c r="TTX819" s="134"/>
      <c r="TTY819" s="134"/>
      <c r="TTZ819" s="135"/>
      <c r="TUA819" s="132"/>
      <c r="TUB819" s="132"/>
      <c r="TUC819" s="132"/>
      <c r="TUD819" s="133"/>
      <c r="TUE819" s="134"/>
      <c r="TUF819" s="134"/>
      <c r="TUG819" s="134"/>
      <c r="TUH819" s="135"/>
      <c r="TUI819" s="133"/>
      <c r="TUJ819" s="134"/>
      <c r="TUK819" s="134"/>
      <c r="TUL819" s="134"/>
      <c r="TUM819" s="135"/>
      <c r="TUN819" s="132"/>
      <c r="TUO819" s="132"/>
      <c r="TUP819" s="132"/>
      <c r="TUQ819" s="133"/>
      <c r="TUR819" s="134"/>
      <c r="TUS819" s="134"/>
      <c r="TUT819" s="134"/>
      <c r="TUU819" s="135"/>
      <c r="TUV819" s="133"/>
      <c r="TUW819" s="134"/>
      <c r="TUX819" s="134"/>
      <c r="TUY819" s="134"/>
      <c r="TUZ819" s="135"/>
      <c r="TVA819" s="132"/>
      <c r="TVB819" s="132"/>
      <c r="TVC819" s="132"/>
      <c r="TVD819" s="133"/>
      <c r="TVE819" s="134"/>
      <c r="TVF819" s="134"/>
      <c r="TVG819" s="134"/>
      <c r="TVH819" s="135"/>
      <c r="TVI819" s="133"/>
      <c r="TVJ819" s="134"/>
      <c r="TVK819" s="134"/>
      <c r="TVL819" s="134"/>
      <c r="TVM819" s="135"/>
      <c r="TVN819" s="132"/>
      <c r="TVO819" s="132"/>
      <c r="TVP819" s="132"/>
      <c r="TVQ819" s="133"/>
      <c r="TVR819" s="134"/>
      <c r="TVS819" s="134"/>
      <c r="TVT819" s="134"/>
      <c r="TVU819" s="135"/>
      <c r="TVV819" s="133"/>
      <c r="TVW819" s="134"/>
      <c r="TVX819" s="134"/>
      <c r="TVY819" s="134"/>
      <c r="TVZ819" s="135"/>
      <c r="TWA819" s="132"/>
      <c r="TWB819" s="132"/>
      <c r="TWC819" s="132"/>
      <c r="TWD819" s="133"/>
      <c r="TWE819" s="134"/>
      <c r="TWF819" s="134"/>
      <c r="TWG819" s="134"/>
      <c r="TWH819" s="135"/>
      <c r="TWI819" s="133"/>
      <c r="TWJ819" s="134"/>
      <c r="TWK819" s="134"/>
      <c r="TWL819" s="134"/>
      <c r="TWM819" s="135"/>
      <c r="TWN819" s="132"/>
      <c r="TWO819" s="132"/>
      <c r="TWP819" s="132"/>
      <c r="TWQ819" s="133"/>
      <c r="TWR819" s="134"/>
      <c r="TWS819" s="134"/>
      <c r="TWT819" s="134"/>
      <c r="TWU819" s="135"/>
      <c r="TWV819" s="133"/>
      <c r="TWW819" s="134"/>
      <c r="TWX819" s="134"/>
      <c r="TWY819" s="134"/>
      <c r="TWZ819" s="135"/>
      <c r="TXA819" s="132"/>
      <c r="TXB819" s="132"/>
      <c r="TXC819" s="132"/>
      <c r="TXD819" s="133"/>
      <c r="TXE819" s="134"/>
      <c r="TXF819" s="134"/>
      <c r="TXG819" s="134"/>
      <c r="TXH819" s="135"/>
      <c r="TXI819" s="133"/>
      <c r="TXJ819" s="134"/>
      <c r="TXK819" s="134"/>
      <c r="TXL819" s="134"/>
      <c r="TXM819" s="135"/>
      <c r="TXN819" s="132"/>
      <c r="TXO819" s="132"/>
      <c r="TXP819" s="132"/>
      <c r="TXQ819" s="133"/>
      <c r="TXR819" s="134"/>
      <c r="TXS819" s="134"/>
      <c r="TXT819" s="134"/>
      <c r="TXU819" s="135"/>
      <c r="TXV819" s="133"/>
      <c r="TXW819" s="134"/>
      <c r="TXX819" s="134"/>
      <c r="TXY819" s="134"/>
      <c r="TXZ819" s="135"/>
      <c r="TYA819" s="132"/>
      <c r="TYB819" s="132"/>
      <c r="TYC819" s="132"/>
      <c r="TYD819" s="133"/>
      <c r="TYE819" s="134"/>
      <c r="TYF819" s="134"/>
      <c r="TYG819" s="134"/>
      <c r="TYH819" s="135"/>
      <c r="TYI819" s="133"/>
      <c r="TYJ819" s="134"/>
      <c r="TYK819" s="134"/>
      <c r="TYL819" s="134"/>
      <c r="TYM819" s="135"/>
      <c r="TYN819" s="132"/>
      <c r="TYO819" s="132"/>
      <c r="TYP819" s="132"/>
      <c r="TYQ819" s="133"/>
      <c r="TYR819" s="134"/>
      <c r="TYS819" s="134"/>
      <c r="TYT819" s="134"/>
      <c r="TYU819" s="135"/>
      <c r="TYV819" s="133"/>
      <c r="TYW819" s="134"/>
      <c r="TYX819" s="134"/>
      <c r="TYY819" s="134"/>
      <c r="TYZ819" s="135"/>
      <c r="TZA819" s="132"/>
      <c r="TZB819" s="132"/>
      <c r="TZC819" s="132"/>
      <c r="TZD819" s="133"/>
      <c r="TZE819" s="134"/>
      <c r="TZF819" s="134"/>
      <c r="TZG819" s="134"/>
      <c r="TZH819" s="135"/>
      <c r="TZI819" s="133"/>
      <c r="TZJ819" s="134"/>
      <c r="TZK819" s="134"/>
      <c r="TZL819" s="134"/>
      <c r="TZM819" s="135"/>
      <c r="TZN819" s="132"/>
      <c r="TZO819" s="132"/>
      <c r="TZP819" s="132"/>
      <c r="TZQ819" s="133"/>
      <c r="TZR819" s="134"/>
      <c r="TZS819" s="134"/>
      <c r="TZT819" s="134"/>
      <c r="TZU819" s="135"/>
      <c r="TZV819" s="133"/>
      <c r="TZW819" s="134"/>
      <c r="TZX819" s="134"/>
      <c r="TZY819" s="134"/>
      <c r="TZZ819" s="135"/>
      <c r="UAA819" s="132"/>
      <c r="UAB819" s="132"/>
      <c r="UAC819" s="132"/>
      <c r="UAD819" s="133"/>
      <c r="UAE819" s="134"/>
      <c r="UAF819" s="134"/>
      <c r="UAG819" s="134"/>
      <c r="UAH819" s="135"/>
      <c r="UAI819" s="133"/>
      <c r="UAJ819" s="134"/>
      <c r="UAK819" s="134"/>
      <c r="UAL819" s="134"/>
      <c r="UAM819" s="135"/>
      <c r="UAN819" s="132"/>
      <c r="UAO819" s="132"/>
      <c r="UAP819" s="132"/>
      <c r="UAQ819" s="133"/>
      <c r="UAR819" s="134"/>
      <c r="UAS819" s="134"/>
      <c r="UAT819" s="134"/>
      <c r="UAU819" s="135"/>
      <c r="UAV819" s="133"/>
      <c r="UAW819" s="134"/>
      <c r="UAX819" s="134"/>
      <c r="UAY819" s="134"/>
      <c r="UAZ819" s="135"/>
      <c r="UBA819" s="132"/>
      <c r="UBB819" s="132"/>
      <c r="UBC819" s="132"/>
      <c r="UBD819" s="133"/>
      <c r="UBE819" s="134"/>
      <c r="UBF819" s="134"/>
      <c r="UBG819" s="134"/>
      <c r="UBH819" s="135"/>
      <c r="UBI819" s="133"/>
      <c r="UBJ819" s="134"/>
      <c r="UBK819" s="134"/>
      <c r="UBL819" s="134"/>
      <c r="UBM819" s="135"/>
      <c r="UBN819" s="132"/>
      <c r="UBO819" s="132"/>
      <c r="UBP819" s="132"/>
      <c r="UBQ819" s="133"/>
      <c r="UBR819" s="134"/>
      <c r="UBS819" s="134"/>
      <c r="UBT819" s="134"/>
      <c r="UBU819" s="135"/>
      <c r="UBV819" s="133"/>
      <c r="UBW819" s="134"/>
      <c r="UBX819" s="134"/>
      <c r="UBY819" s="134"/>
      <c r="UBZ819" s="135"/>
      <c r="UCA819" s="132"/>
      <c r="UCB819" s="132"/>
      <c r="UCC819" s="132"/>
      <c r="UCD819" s="133"/>
      <c r="UCE819" s="134"/>
      <c r="UCF819" s="134"/>
      <c r="UCG819" s="134"/>
      <c r="UCH819" s="135"/>
      <c r="UCI819" s="133"/>
      <c r="UCJ819" s="134"/>
      <c r="UCK819" s="134"/>
      <c r="UCL819" s="134"/>
      <c r="UCM819" s="135"/>
      <c r="UCN819" s="132"/>
      <c r="UCO819" s="132"/>
      <c r="UCP819" s="132"/>
      <c r="UCQ819" s="133"/>
      <c r="UCR819" s="134"/>
      <c r="UCS819" s="134"/>
      <c r="UCT819" s="134"/>
      <c r="UCU819" s="135"/>
      <c r="UCV819" s="133"/>
      <c r="UCW819" s="134"/>
      <c r="UCX819" s="134"/>
      <c r="UCY819" s="134"/>
      <c r="UCZ819" s="135"/>
      <c r="UDA819" s="132"/>
      <c r="UDB819" s="132"/>
      <c r="UDC819" s="132"/>
      <c r="UDD819" s="133"/>
      <c r="UDE819" s="134"/>
      <c r="UDF819" s="134"/>
      <c r="UDG819" s="134"/>
      <c r="UDH819" s="135"/>
      <c r="UDI819" s="133"/>
      <c r="UDJ819" s="134"/>
      <c r="UDK819" s="134"/>
      <c r="UDL819" s="134"/>
      <c r="UDM819" s="135"/>
      <c r="UDN819" s="132"/>
      <c r="UDO819" s="132"/>
      <c r="UDP819" s="132"/>
      <c r="UDQ819" s="133"/>
      <c r="UDR819" s="134"/>
      <c r="UDS819" s="134"/>
      <c r="UDT819" s="134"/>
      <c r="UDU819" s="135"/>
      <c r="UDV819" s="133"/>
      <c r="UDW819" s="134"/>
      <c r="UDX819" s="134"/>
      <c r="UDY819" s="134"/>
      <c r="UDZ819" s="135"/>
      <c r="UEA819" s="132"/>
      <c r="UEB819" s="132"/>
      <c r="UEC819" s="132"/>
      <c r="UED819" s="133"/>
      <c r="UEE819" s="134"/>
      <c r="UEF819" s="134"/>
      <c r="UEG819" s="134"/>
      <c r="UEH819" s="135"/>
      <c r="UEI819" s="133"/>
      <c r="UEJ819" s="134"/>
      <c r="UEK819" s="134"/>
      <c r="UEL819" s="134"/>
      <c r="UEM819" s="135"/>
      <c r="UEN819" s="132"/>
      <c r="UEO819" s="132"/>
      <c r="UEP819" s="132"/>
      <c r="UEQ819" s="133"/>
      <c r="UER819" s="134"/>
      <c r="UES819" s="134"/>
      <c r="UET819" s="134"/>
      <c r="UEU819" s="135"/>
      <c r="UEV819" s="133"/>
      <c r="UEW819" s="134"/>
      <c r="UEX819" s="134"/>
      <c r="UEY819" s="134"/>
      <c r="UEZ819" s="135"/>
      <c r="UFA819" s="132"/>
      <c r="UFB819" s="132"/>
      <c r="UFC819" s="132"/>
      <c r="UFD819" s="133"/>
      <c r="UFE819" s="134"/>
      <c r="UFF819" s="134"/>
      <c r="UFG819" s="134"/>
      <c r="UFH819" s="135"/>
      <c r="UFI819" s="133"/>
      <c r="UFJ819" s="134"/>
      <c r="UFK819" s="134"/>
      <c r="UFL819" s="134"/>
      <c r="UFM819" s="135"/>
      <c r="UFN819" s="132"/>
      <c r="UFO819" s="132"/>
      <c r="UFP819" s="132"/>
      <c r="UFQ819" s="133"/>
      <c r="UFR819" s="134"/>
      <c r="UFS819" s="134"/>
      <c r="UFT819" s="134"/>
      <c r="UFU819" s="135"/>
      <c r="UFV819" s="133"/>
      <c r="UFW819" s="134"/>
      <c r="UFX819" s="134"/>
      <c r="UFY819" s="134"/>
      <c r="UFZ819" s="135"/>
      <c r="UGA819" s="132"/>
      <c r="UGB819" s="132"/>
      <c r="UGC819" s="132"/>
      <c r="UGD819" s="133"/>
      <c r="UGE819" s="134"/>
      <c r="UGF819" s="134"/>
      <c r="UGG819" s="134"/>
      <c r="UGH819" s="135"/>
      <c r="UGI819" s="133"/>
      <c r="UGJ819" s="134"/>
      <c r="UGK819" s="134"/>
      <c r="UGL819" s="134"/>
      <c r="UGM819" s="135"/>
      <c r="UGN819" s="132"/>
      <c r="UGO819" s="132"/>
      <c r="UGP819" s="132"/>
      <c r="UGQ819" s="133"/>
      <c r="UGR819" s="134"/>
      <c r="UGS819" s="134"/>
      <c r="UGT819" s="134"/>
      <c r="UGU819" s="135"/>
      <c r="UGV819" s="133"/>
      <c r="UGW819" s="134"/>
      <c r="UGX819" s="134"/>
      <c r="UGY819" s="134"/>
      <c r="UGZ819" s="135"/>
      <c r="UHA819" s="132"/>
      <c r="UHB819" s="132"/>
      <c r="UHC819" s="132"/>
      <c r="UHD819" s="133"/>
      <c r="UHE819" s="134"/>
      <c r="UHF819" s="134"/>
      <c r="UHG819" s="134"/>
      <c r="UHH819" s="135"/>
      <c r="UHI819" s="133"/>
      <c r="UHJ819" s="134"/>
      <c r="UHK819" s="134"/>
      <c r="UHL819" s="134"/>
      <c r="UHM819" s="135"/>
      <c r="UHN819" s="132"/>
      <c r="UHO819" s="132"/>
      <c r="UHP819" s="132"/>
      <c r="UHQ819" s="133"/>
      <c r="UHR819" s="134"/>
      <c r="UHS819" s="134"/>
      <c r="UHT819" s="134"/>
      <c r="UHU819" s="135"/>
      <c r="UHV819" s="133"/>
      <c r="UHW819" s="134"/>
      <c r="UHX819" s="134"/>
      <c r="UHY819" s="134"/>
      <c r="UHZ819" s="135"/>
      <c r="UIA819" s="132"/>
      <c r="UIB819" s="132"/>
      <c r="UIC819" s="132"/>
      <c r="UID819" s="133"/>
      <c r="UIE819" s="134"/>
      <c r="UIF819" s="134"/>
      <c r="UIG819" s="134"/>
      <c r="UIH819" s="135"/>
      <c r="UII819" s="133"/>
      <c r="UIJ819" s="134"/>
      <c r="UIK819" s="134"/>
      <c r="UIL819" s="134"/>
      <c r="UIM819" s="135"/>
      <c r="UIN819" s="132"/>
      <c r="UIO819" s="132"/>
      <c r="UIP819" s="132"/>
      <c r="UIQ819" s="133"/>
      <c r="UIR819" s="134"/>
      <c r="UIS819" s="134"/>
      <c r="UIT819" s="134"/>
      <c r="UIU819" s="135"/>
      <c r="UIV819" s="133"/>
      <c r="UIW819" s="134"/>
      <c r="UIX819" s="134"/>
      <c r="UIY819" s="134"/>
      <c r="UIZ819" s="135"/>
      <c r="UJA819" s="132"/>
      <c r="UJB819" s="132"/>
      <c r="UJC819" s="132"/>
      <c r="UJD819" s="133"/>
      <c r="UJE819" s="134"/>
      <c r="UJF819" s="134"/>
      <c r="UJG819" s="134"/>
      <c r="UJH819" s="135"/>
      <c r="UJI819" s="133"/>
      <c r="UJJ819" s="134"/>
      <c r="UJK819" s="134"/>
      <c r="UJL819" s="134"/>
      <c r="UJM819" s="135"/>
      <c r="UJN819" s="132"/>
      <c r="UJO819" s="132"/>
      <c r="UJP819" s="132"/>
      <c r="UJQ819" s="133"/>
      <c r="UJR819" s="134"/>
      <c r="UJS819" s="134"/>
      <c r="UJT819" s="134"/>
      <c r="UJU819" s="135"/>
      <c r="UJV819" s="133"/>
      <c r="UJW819" s="134"/>
      <c r="UJX819" s="134"/>
      <c r="UJY819" s="134"/>
      <c r="UJZ819" s="135"/>
      <c r="UKA819" s="132"/>
      <c r="UKB819" s="132"/>
      <c r="UKC819" s="132"/>
      <c r="UKD819" s="133"/>
      <c r="UKE819" s="134"/>
      <c r="UKF819" s="134"/>
      <c r="UKG819" s="134"/>
      <c r="UKH819" s="135"/>
      <c r="UKI819" s="133"/>
      <c r="UKJ819" s="134"/>
      <c r="UKK819" s="134"/>
      <c r="UKL819" s="134"/>
      <c r="UKM819" s="135"/>
      <c r="UKN819" s="132"/>
      <c r="UKO819" s="132"/>
      <c r="UKP819" s="132"/>
      <c r="UKQ819" s="133"/>
      <c r="UKR819" s="134"/>
      <c r="UKS819" s="134"/>
      <c r="UKT819" s="134"/>
      <c r="UKU819" s="135"/>
      <c r="UKV819" s="133"/>
      <c r="UKW819" s="134"/>
      <c r="UKX819" s="134"/>
      <c r="UKY819" s="134"/>
      <c r="UKZ819" s="135"/>
      <c r="ULA819" s="132"/>
      <c r="ULB819" s="132"/>
      <c r="ULC819" s="132"/>
      <c r="ULD819" s="133"/>
      <c r="ULE819" s="134"/>
      <c r="ULF819" s="134"/>
      <c r="ULG819" s="134"/>
      <c r="ULH819" s="135"/>
      <c r="ULI819" s="133"/>
      <c r="ULJ819" s="134"/>
      <c r="ULK819" s="134"/>
      <c r="ULL819" s="134"/>
      <c r="ULM819" s="135"/>
      <c r="ULN819" s="132"/>
      <c r="ULO819" s="132"/>
      <c r="ULP819" s="132"/>
      <c r="ULQ819" s="133"/>
      <c r="ULR819" s="134"/>
      <c r="ULS819" s="134"/>
      <c r="ULT819" s="134"/>
      <c r="ULU819" s="135"/>
      <c r="ULV819" s="133"/>
      <c r="ULW819" s="134"/>
      <c r="ULX819" s="134"/>
      <c r="ULY819" s="134"/>
      <c r="ULZ819" s="135"/>
      <c r="UMA819" s="132"/>
      <c r="UMB819" s="132"/>
      <c r="UMC819" s="132"/>
      <c r="UMD819" s="133"/>
      <c r="UME819" s="134"/>
      <c r="UMF819" s="134"/>
      <c r="UMG819" s="134"/>
      <c r="UMH819" s="135"/>
      <c r="UMI819" s="133"/>
      <c r="UMJ819" s="134"/>
      <c r="UMK819" s="134"/>
      <c r="UML819" s="134"/>
      <c r="UMM819" s="135"/>
      <c r="UMN819" s="132"/>
      <c r="UMO819" s="132"/>
      <c r="UMP819" s="132"/>
      <c r="UMQ819" s="133"/>
      <c r="UMR819" s="134"/>
      <c r="UMS819" s="134"/>
      <c r="UMT819" s="134"/>
      <c r="UMU819" s="135"/>
      <c r="UMV819" s="133"/>
      <c r="UMW819" s="134"/>
      <c r="UMX819" s="134"/>
      <c r="UMY819" s="134"/>
      <c r="UMZ819" s="135"/>
      <c r="UNA819" s="132"/>
      <c r="UNB819" s="132"/>
      <c r="UNC819" s="132"/>
      <c r="UND819" s="133"/>
      <c r="UNE819" s="134"/>
      <c r="UNF819" s="134"/>
      <c r="UNG819" s="134"/>
      <c r="UNH819" s="135"/>
      <c r="UNI819" s="133"/>
      <c r="UNJ819" s="134"/>
      <c r="UNK819" s="134"/>
      <c r="UNL819" s="134"/>
      <c r="UNM819" s="135"/>
      <c r="UNN819" s="132"/>
      <c r="UNO819" s="132"/>
      <c r="UNP819" s="132"/>
      <c r="UNQ819" s="133"/>
      <c r="UNR819" s="134"/>
      <c r="UNS819" s="134"/>
      <c r="UNT819" s="134"/>
      <c r="UNU819" s="135"/>
      <c r="UNV819" s="133"/>
      <c r="UNW819" s="134"/>
      <c r="UNX819" s="134"/>
      <c r="UNY819" s="134"/>
      <c r="UNZ819" s="135"/>
      <c r="UOA819" s="132"/>
      <c r="UOB819" s="132"/>
      <c r="UOC819" s="132"/>
      <c r="UOD819" s="133"/>
      <c r="UOE819" s="134"/>
      <c r="UOF819" s="134"/>
      <c r="UOG819" s="134"/>
      <c r="UOH819" s="135"/>
      <c r="UOI819" s="133"/>
      <c r="UOJ819" s="134"/>
      <c r="UOK819" s="134"/>
      <c r="UOL819" s="134"/>
      <c r="UOM819" s="135"/>
      <c r="UON819" s="132"/>
      <c r="UOO819" s="132"/>
      <c r="UOP819" s="132"/>
      <c r="UOQ819" s="133"/>
      <c r="UOR819" s="134"/>
      <c r="UOS819" s="134"/>
      <c r="UOT819" s="134"/>
      <c r="UOU819" s="135"/>
      <c r="UOV819" s="133"/>
      <c r="UOW819" s="134"/>
      <c r="UOX819" s="134"/>
      <c r="UOY819" s="134"/>
      <c r="UOZ819" s="135"/>
      <c r="UPA819" s="132"/>
      <c r="UPB819" s="132"/>
      <c r="UPC819" s="132"/>
      <c r="UPD819" s="133"/>
      <c r="UPE819" s="134"/>
      <c r="UPF819" s="134"/>
      <c r="UPG819" s="134"/>
      <c r="UPH819" s="135"/>
      <c r="UPI819" s="133"/>
      <c r="UPJ819" s="134"/>
      <c r="UPK819" s="134"/>
      <c r="UPL819" s="134"/>
      <c r="UPM819" s="135"/>
      <c r="UPN819" s="132"/>
      <c r="UPO819" s="132"/>
      <c r="UPP819" s="132"/>
      <c r="UPQ819" s="133"/>
      <c r="UPR819" s="134"/>
      <c r="UPS819" s="134"/>
      <c r="UPT819" s="134"/>
      <c r="UPU819" s="135"/>
      <c r="UPV819" s="133"/>
      <c r="UPW819" s="134"/>
      <c r="UPX819" s="134"/>
      <c r="UPY819" s="134"/>
      <c r="UPZ819" s="135"/>
      <c r="UQA819" s="132"/>
      <c r="UQB819" s="132"/>
      <c r="UQC819" s="132"/>
      <c r="UQD819" s="133"/>
      <c r="UQE819" s="134"/>
      <c r="UQF819" s="134"/>
      <c r="UQG819" s="134"/>
      <c r="UQH819" s="135"/>
      <c r="UQI819" s="133"/>
      <c r="UQJ819" s="134"/>
      <c r="UQK819" s="134"/>
      <c r="UQL819" s="134"/>
      <c r="UQM819" s="135"/>
      <c r="UQN819" s="132"/>
      <c r="UQO819" s="132"/>
      <c r="UQP819" s="132"/>
      <c r="UQQ819" s="133"/>
      <c r="UQR819" s="134"/>
      <c r="UQS819" s="134"/>
      <c r="UQT819" s="134"/>
      <c r="UQU819" s="135"/>
      <c r="UQV819" s="133"/>
      <c r="UQW819" s="134"/>
      <c r="UQX819" s="134"/>
      <c r="UQY819" s="134"/>
      <c r="UQZ819" s="135"/>
      <c r="URA819" s="132"/>
      <c r="URB819" s="132"/>
      <c r="URC819" s="132"/>
      <c r="URD819" s="133"/>
      <c r="URE819" s="134"/>
      <c r="URF819" s="134"/>
      <c r="URG819" s="134"/>
      <c r="URH819" s="135"/>
      <c r="URI819" s="133"/>
      <c r="URJ819" s="134"/>
      <c r="URK819" s="134"/>
      <c r="URL819" s="134"/>
      <c r="URM819" s="135"/>
      <c r="URN819" s="132"/>
      <c r="URO819" s="132"/>
      <c r="URP819" s="132"/>
      <c r="URQ819" s="133"/>
      <c r="URR819" s="134"/>
      <c r="URS819" s="134"/>
      <c r="URT819" s="134"/>
      <c r="URU819" s="135"/>
      <c r="URV819" s="133"/>
      <c r="URW819" s="134"/>
      <c r="URX819" s="134"/>
      <c r="URY819" s="134"/>
      <c r="URZ819" s="135"/>
      <c r="USA819" s="132"/>
      <c r="USB819" s="132"/>
      <c r="USC819" s="132"/>
      <c r="USD819" s="133"/>
      <c r="USE819" s="134"/>
      <c r="USF819" s="134"/>
      <c r="USG819" s="134"/>
      <c r="USH819" s="135"/>
      <c r="USI819" s="133"/>
      <c r="USJ819" s="134"/>
      <c r="USK819" s="134"/>
      <c r="USL819" s="134"/>
      <c r="USM819" s="135"/>
      <c r="USN819" s="132"/>
      <c r="USO819" s="132"/>
      <c r="USP819" s="132"/>
      <c r="USQ819" s="133"/>
      <c r="USR819" s="134"/>
      <c r="USS819" s="134"/>
      <c r="UST819" s="134"/>
      <c r="USU819" s="135"/>
      <c r="USV819" s="133"/>
      <c r="USW819" s="134"/>
      <c r="USX819" s="134"/>
      <c r="USY819" s="134"/>
      <c r="USZ819" s="135"/>
      <c r="UTA819" s="132"/>
      <c r="UTB819" s="132"/>
      <c r="UTC819" s="132"/>
      <c r="UTD819" s="133"/>
      <c r="UTE819" s="134"/>
      <c r="UTF819" s="134"/>
      <c r="UTG819" s="134"/>
      <c r="UTH819" s="135"/>
      <c r="UTI819" s="133"/>
      <c r="UTJ819" s="134"/>
      <c r="UTK819" s="134"/>
      <c r="UTL819" s="134"/>
      <c r="UTM819" s="135"/>
      <c r="UTN819" s="132"/>
      <c r="UTO819" s="132"/>
      <c r="UTP819" s="132"/>
      <c r="UTQ819" s="133"/>
      <c r="UTR819" s="134"/>
      <c r="UTS819" s="134"/>
      <c r="UTT819" s="134"/>
      <c r="UTU819" s="135"/>
      <c r="UTV819" s="133"/>
      <c r="UTW819" s="134"/>
      <c r="UTX819" s="134"/>
      <c r="UTY819" s="134"/>
      <c r="UTZ819" s="135"/>
      <c r="UUA819" s="132"/>
      <c r="UUB819" s="132"/>
      <c r="UUC819" s="132"/>
      <c r="UUD819" s="133"/>
      <c r="UUE819" s="134"/>
      <c r="UUF819" s="134"/>
      <c r="UUG819" s="134"/>
      <c r="UUH819" s="135"/>
      <c r="UUI819" s="133"/>
      <c r="UUJ819" s="134"/>
      <c r="UUK819" s="134"/>
      <c r="UUL819" s="134"/>
      <c r="UUM819" s="135"/>
      <c r="UUN819" s="132"/>
      <c r="UUO819" s="132"/>
      <c r="UUP819" s="132"/>
      <c r="UUQ819" s="133"/>
      <c r="UUR819" s="134"/>
      <c r="UUS819" s="134"/>
      <c r="UUT819" s="134"/>
      <c r="UUU819" s="135"/>
      <c r="UUV819" s="133"/>
      <c r="UUW819" s="134"/>
      <c r="UUX819" s="134"/>
      <c r="UUY819" s="134"/>
      <c r="UUZ819" s="135"/>
      <c r="UVA819" s="132"/>
      <c r="UVB819" s="132"/>
      <c r="UVC819" s="132"/>
      <c r="UVD819" s="133"/>
      <c r="UVE819" s="134"/>
      <c r="UVF819" s="134"/>
      <c r="UVG819" s="134"/>
      <c r="UVH819" s="135"/>
      <c r="UVI819" s="133"/>
      <c r="UVJ819" s="134"/>
      <c r="UVK819" s="134"/>
      <c r="UVL819" s="134"/>
      <c r="UVM819" s="135"/>
      <c r="UVN819" s="132"/>
      <c r="UVO819" s="132"/>
      <c r="UVP819" s="132"/>
      <c r="UVQ819" s="133"/>
      <c r="UVR819" s="134"/>
      <c r="UVS819" s="134"/>
      <c r="UVT819" s="134"/>
      <c r="UVU819" s="135"/>
      <c r="UVV819" s="133"/>
      <c r="UVW819" s="134"/>
      <c r="UVX819" s="134"/>
      <c r="UVY819" s="134"/>
      <c r="UVZ819" s="135"/>
      <c r="UWA819" s="132"/>
      <c r="UWB819" s="132"/>
      <c r="UWC819" s="132"/>
      <c r="UWD819" s="133"/>
      <c r="UWE819" s="134"/>
      <c r="UWF819" s="134"/>
      <c r="UWG819" s="134"/>
      <c r="UWH819" s="135"/>
      <c r="UWI819" s="133"/>
      <c r="UWJ819" s="134"/>
      <c r="UWK819" s="134"/>
      <c r="UWL819" s="134"/>
      <c r="UWM819" s="135"/>
      <c r="UWN819" s="132"/>
      <c r="UWO819" s="132"/>
      <c r="UWP819" s="132"/>
      <c r="UWQ819" s="133"/>
      <c r="UWR819" s="134"/>
      <c r="UWS819" s="134"/>
      <c r="UWT819" s="134"/>
      <c r="UWU819" s="135"/>
      <c r="UWV819" s="133"/>
      <c r="UWW819" s="134"/>
      <c r="UWX819" s="134"/>
      <c r="UWY819" s="134"/>
      <c r="UWZ819" s="135"/>
      <c r="UXA819" s="132"/>
      <c r="UXB819" s="132"/>
      <c r="UXC819" s="132"/>
      <c r="UXD819" s="133"/>
      <c r="UXE819" s="134"/>
      <c r="UXF819" s="134"/>
      <c r="UXG819" s="134"/>
      <c r="UXH819" s="135"/>
      <c r="UXI819" s="133"/>
      <c r="UXJ819" s="134"/>
      <c r="UXK819" s="134"/>
      <c r="UXL819" s="134"/>
      <c r="UXM819" s="135"/>
      <c r="UXN819" s="132"/>
      <c r="UXO819" s="132"/>
      <c r="UXP819" s="132"/>
      <c r="UXQ819" s="133"/>
      <c r="UXR819" s="134"/>
      <c r="UXS819" s="134"/>
      <c r="UXT819" s="134"/>
      <c r="UXU819" s="135"/>
      <c r="UXV819" s="133"/>
      <c r="UXW819" s="134"/>
      <c r="UXX819" s="134"/>
      <c r="UXY819" s="134"/>
      <c r="UXZ819" s="135"/>
      <c r="UYA819" s="132"/>
      <c r="UYB819" s="132"/>
      <c r="UYC819" s="132"/>
      <c r="UYD819" s="133"/>
      <c r="UYE819" s="134"/>
      <c r="UYF819" s="134"/>
      <c r="UYG819" s="134"/>
      <c r="UYH819" s="135"/>
      <c r="UYI819" s="133"/>
      <c r="UYJ819" s="134"/>
      <c r="UYK819" s="134"/>
      <c r="UYL819" s="134"/>
      <c r="UYM819" s="135"/>
      <c r="UYN819" s="132"/>
      <c r="UYO819" s="132"/>
      <c r="UYP819" s="132"/>
      <c r="UYQ819" s="133"/>
      <c r="UYR819" s="134"/>
      <c r="UYS819" s="134"/>
      <c r="UYT819" s="134"/>
      <c r="UYU819" s="135"/>
      <c r="UYV819" s="133"/>
      <c r="UYW819" s="134"/>
      <c r="UYX819" s="134"/>
      <c r="UYY819" s="134"/>
      <c r="UYZ819" s="135"/>
      <c r="UZA819" s="132"/>
      <c r="UZB819" s="132"/>
      <c r="UZC819" s="132"/>
      <c r="UZD819" s="133"/>
      <c r="UZE819" s="134"/>
      <c r="UZF819" s="134"/>
      <c r="UZG819" s="134"/>
      <c r="UZH819" s="135"/>
      <c r="UZI819" s="133"/>
      <c r="UZJ819" s="134"/>
      <c r="UZK819" s="134"/>
      <c r="UZL819" s="134"/>
      <c r="UZM819" s="135"/>
      <c r="UZN819" s="132"/>
      <c r="UZO819" s="132"/>
      <c r="UZP819" s="132"/>
      <c r="UZQ819" s="133"/>
      <c r="UZR819" s="134"/>
      <c r="UZS819" s="134"/>
      <c r="UZT819" s="134"/>
      <c r="UZU819" s="135"/>
      <c r="UZV819" s="133"/>
      <c r="UZW819" s="134"/>
      <c r="UZX819" s="134"/>
      <c r="UZY819" s="134"/>
      <c r="UZZ819" s="135"/>
      <c r="VAA819" s="132"/>
      <c r="VAB819" s="132"/>
      <c r="VAC819" s="132"/>
      <c r="VAD819" s="133"/>
      <c r="VAE819" s="134"/>
      <c r="VAF819" s="134"/>
      <c r="VAG819" s="134"/>
      <c r="VAH819" s="135"/>
      <c r="VAI819" s="133"/>
      <c r="VAJ819" s="134"/>
      <c r="VAK819" s="134"/>
      <c r="VAL819" s="134"/>
      <c r="VAM819" s="135"/>
      <c r="VAN819" s="132"/>
      <c r="VAO819" s="132"/>
      <c r="VAP819" s="132"/>
      <c r="VAQ819" s="133"/>
      <c r="VAR819" s="134"/>
      <c r="VAS819" s="134"/>
      <c r="VAT819" s="134"/>
      <c r="VAU819" s="135"/>
      <c r="VAV819" s="133"/>
      <c r="VAW819" s="134"/>
      <c r="VAX819" s="134"/>
      <c r="VAY819" s="134"/>
      <c r="VAZ819" s="135"/>
      <c r="VBA819" s="132"/>
      <c r="VBB819" s="132"/>
      <c r="VBC819" s="132"/>
      <c r="VBD819" s="133"/>
      <c r="VBE819" s="134"/>
      <c r="VBF819" s="134"/>
      <c r="VBG819" s="134"/>
      <c r="VBH819" s="135"/>
      <c r="VBI819" s="133"/>
      <c r="VBJ819" s="134"/>
      <c r="VBK819" s="134"/>
      <c r="VBL819" s="134"/>
      <c r="VBM819" s="135"/>
      <c r="VBN819" s="132"/>
      <c r="VBO819" s="132"/>
      <c r="VBP819" s="132"/>
      <c r="VBQ819" s="133"/>
      <c r="VBR819" s="134"/>
      <c r="VBS819" s="134"/>
      <c r="VBT819" s="134"/>
      <c r="VBU819" s="135"/>
      <c r="VBV819" s="133"/>
      <c r="VBW819" s="134"/>
      <c r="VBX819" s="134"/>
      <c r="VBY819" s="134"/>
      <c r="VBZ819" s="135"/>
      <c r="VCA819" s="132"/>
      <c r="VCB819" s="132"/>
      <c r="VCC819" s="132"/>
      <c r="VCD819" s="133"/>
      <c r="VCE819" s="134"/>
      <c r="VCF819" s="134"/>
      <c r="VCG819" s="134"/>
      <c r="VCH819" s="135"/>
      <c r="VCI819" s="133"/>
      <c r="VCJ819" s="134"/>
      <c r="VCK819" s="134"/>
      <c r="VCL819" s="134"/>
      <c r="VCM819" s="135"/>
      <c r="VCN819" s="132"/>
      <c r="VCO819" s="132"/>
      <c r="VCP819" s="132"/>
      <c r="VCQ819" s="133"/>
      <c r="VCR819" s="134"/>
      <c r="VCS819" s="134"/>
      <c r="VCT819" s="134"/>
      <c r="VCU819" s="135"/>
      <c r="VCV819" s="133"/>
      <c r="VCW819" s="134"/>
      <c r="VCX819" s="134"/>
      <c r="VCY819" s="134"/>
      <c r="VCZ819" s="135"/>
      <c r="VDA819" s="132"/>
      <c r="VDB819" s="132"/>
      <c r="VDC819" s="132"/>
      <c r="VDD819" s="133"/>
      <c r="VDE819" s="134"/>
      <c r="VDF819" s="134"/>
      <c r="VDG819" s="134"/>
      <c r="VDH819" s="135"/>
      <c r="VDI819" s="133"/>
      <c r="VDJ819" s="134"/>
      <c r="VDK819" s="134"/>
      <c r="VDL819" s="134"/>
      <c r="VDM819" s="135"/>
      <c r="VDN819" s="132"/>
      <c r="VDO819" s="132"/>
      <c r="VDP819" s="132"/>
      <c r="VDQ819" s="133"/>
      <c r="VDR819" s="134"/>
      <c r="VDS819" s="134"/>
      <c r="VDT819" s="134"/>
      <c r="VDU819" s="135"/>
      <c r="VDV819" s="133"/>
      <c r="VDW819" s="134"/>
      <c r="VDX819" s="134"/>
      <c r="VDY819" s="134"/>
      <c r="VDZ819" s="135"/>
      <c r="VEA819" s="132"/>
      <c r="VEB819" s="132"/>
      <c r="VEC819" s="132"/>
      <c r="VED819" s="133"/>
      <c r="VEE819" s="134"/>
      <c r="VEF819" s="134"/>
      <c r="VEG819" s="134"/>
      <c r="VEH819" s="135"/>
      <c r="VEI819" s="133"/>
      <c r="VEJ819" s="134"/>
      <c r="VEK819" s="134"/>
      <c r="VEL819" s="134"/>
      <c r="VEM819" s="135"/>
      <c r="VEN819" s="132"/>
      <c r="VEO819" s="132"/>
      <c r="VEP819" s="132"/>
      <c r="VEQ819" s="133"/>
      <c r="VER819" s="134"/>
      <c r="VES819" s="134"/>
      <c r="VET819" s="134"/>
      <c r="VEU819" s="135"/>
      <c r="VEV819" s="133"/>
      <c r="VEW819" s="134"/>
      <c r="VEX819" s="134"/>
      <c r="VEY819" s="134"/>
      <c r="VEZ819" s="135"/>
      <c r="VFA819" s="132"/>
      <c r="VFB819" s="132"/>
      <c r="VFC819" s="132"/>
      <c r="VFD819" s="133"/>
      <c r="VFE819" s="134"/>
      <c r="VFF819" s="134"/>
      <c r="VFG819" s="134"/>
      <c r="VFH819" s="135"/>
      <c r="VFI819" s="133"/>
      <c r="VFJ819" s="134"/>
      <c r="VFK819" s="134"/>
      <c r="VFL819" s="134"/>
      <c r="VFM819" s="135"/>
      <c r="VFN819" s="132"/>
      <c r="VFO819" s="132"/>
      <c r="VFP819" s="132"/>
      <c r="VFQ819" s="133"/>
      <c r="VFR819" s="134"/>
      <c r="VFS819" s="134"/>
      <c r="VFT819" s="134"/>
      <c r="VFU819" s="135"/>
      <c r="VFV819" s="133"/>
      <c r="VFW819" s="134"/>
      <c r="VFX819" s="134"/>
      <c r="VFY819" s="134"/>
      <c r="VFZ819" s="135"/>
      <c r="VGA819" s="132"/>
      <c r="VGB819" s="132"/>
      <c r="VGC819" s="132"/>
      <c r="VGD819" s="133"/>
      <c r="VGE819" s="134"/>
      <c r="VGF819" s="134"/>
      <c r="VGG819" s="134"/>
      <c r="VGH819" s="135"/>
      <c r="VGI819" s="133"/>
      <c r="VGJ819" s="134"/>
      <c r="VGK819" s="134"/>
      <c r="VGL819" s="134"/>
      <c r="VGM819" s="135"/>
      <c r="VGN819" s="132"/>
      <c r="VGO819" s="132"/>
      <c r="VGP819" s="132"/>
      <c r="VGQ819" s="133"/>
      <c r="VGR819" s="134"/>
      <c r="VGS819" s="134"/>
      <c r="VGT819" s="134"/>
      <c r="VGU819" s="135"/>
      <c r="VGV819" s="133"/>
      <c r="VGW819" s="134"/>
      <c r="VGX819" s="134"/>
      <c r="VGY819" s="134"/>
      <c r="VGZ819" s="135"/>
      <c r="VHA819" s="132"/>
      <c r="VHB819" s="132"/>
      <c r="VHC819" s="132"/>
      <c r="VHD819" s="133"/>
      <c r="VHE819" s="134"/>
      <c r="VHF819" s="134"/>
      <c r="VHG819" s="134"/>
      <c r="VHH819" s="135"/>
      <c r="VHI819" s="133"/>
      <c r="VHJ819" s="134"/>
      <c r="VHK819" s="134"/>
      <c r="VHL819" s="134"/>
      <c r="VHM819" s="135"/>
      <c r="VHN819" s="132"/>
      <c r="VHO819" s="132"/>
      <c r="VHP819" s="132"/>
      <c r="VHQ819" s="133"/>
      <c r="VHR819" s="134"/>
      <c r="VHS819" s="134"/>
      <c r="VHT819" s="134"/>
      <c r="VHU819" s="135"/>
      <c r="VHV819" s="133"/>
      <c r="VHW819" s="134"/>
      <c r="VHX819" s="134"/>
      <c r="VHY819" s="134"/>
      <c r="VHZ819" s="135"/>
      <c r="VIA819" s="132"/>
      <c r="VIB819" s="132"/>
      <c r="VIC819" s="132"/>
      <c r="VID819" s="133"/>
      <c r="VIE819" s="134"/>
      <c r="VIF819" s="134"/>
      <c r="VIG819" s="134"/>
      <c r="VIH819" s="135"/>
      <c r="VII819" s="133"/>
      <c r="VIJ819" s="134"/>
      <c r="VIK819" s="134"/>
      <c r="VIL819" s="134"/>
      <c r="VIM819" s="135"/>
      <c r="VIN819" s="132"/>
      <c r="VIO819" s="132"/>
      <c r="VIP819" s="132"/>
      <c r="VIQ819" s="133"/>
      <c r="VIR819" s="134"/>
      <c r="VIS819" s="134"/>
      <c r="VIT819" s="134"/>
      <c r="VIU819" s="135"/>
      <c r="VIV819" s="133"/>
      <c r="VIW819" s="134"/>
      <c r="VIX819" s="134"/>
      <c r="VIY819" s="134"/>
      <c r="VIZ819" s="135"/>
      <c r="VJA819" s="132"/>
      <c r="VJB819" s="132"/>
      <c r="VJC819" s="132"/>
      <c r="VJD819" s="133"/>
      <c r="VJE819" s="134"/>
      <c r="VJF819" s="134"/>
      <c r="VJG819" s="134"/>
      <c r="VJH819" s="135"/>
      <c r="VJI819" s="133"/>
      <c r="VJJ819" s="134"/>
      <c r="VJK819" s="134"/>
      <c r="VJL819" s="134"/>
      <c r="VJM819" s="135"/>
      <c r="VJN819" s="132"/>
      <c r="VJO819" s="132"/>
      <c r="VJP819" s="132"/>
      <c r="VJQ819" s="133"/>
      <c r="VJR819" s="134"/>
      <c r="VJS819" s="134"/>
      <c r="VJT819" s="134"/>
      <c r="VJU819" s="135"/>
      <c r="VJV819" s="133"/>
      <c r="VJW819" s="134"/>
      <c r="VJX819" s="134"/>
      <c r="VJY819" s="134"/>
      <c r="VJZ819" s="135"/>
      <c r="VKA819" s="132"/>
      <c r="VKB819" s="132"/>
      <c r="VKC819" s="132"/>
      <c r="VKD819" s="133"/>
      <c r="VKE819" s="134"/>
      <c r="VKF819" s="134"/>
      <c r="VKG819" s="134"/>
      <c r="VKH819" s="135"/>
      <c r="VKI819" s="133"/>
      <c r="VKJ819" s="134"/>
      <c r="VKK819" s="134"/>
      <c r="VKL819" s="134"/>
      <c r="VKM819" s="135"/>
      <c r="VKN819" s="132"/>
      <c r="VKO819" s="132"/>
      <c r="VKP819" s="132"/>
      <c r="VKQ819" s="133"/>
      <c r="VKR819" s="134"/>
      <c r="VKS819" s="134"/>
      <c r="VKT819" s="134"/>
      <c r="VKU819" s="135"/>
      <c r="VKV819" s="133"/>
      <c r="VKW819" s="134"/>
      <c r="VKX819" s="134"/>
      <c r="VKY819" s="134"/>
      <c r="VKZ819" s="135"/>
      <c r="VLA819" s="132"/>
      <c r="VLB819" s="132"/>
      <c r="VLC819" s="132"/>
      <c r="VLD819" s="133"/>
      <c r="VLE819" s="134"/>
      <c r="VLF819" s="134"/>
      <c r="VLG819" s="134"/>
      <c r="VLH819" s="135"/>
      <c r="VLI819" s="133"/>
      <c r="VLJ819" s="134"/>
      <c r="VLK819" s="134"/>
      <c r="VLL819" s="134"/>
      <c r="VLM819" s="135"/>
      <c r="VLN819" s="132"/>
      <c r="VLO819" s="132"/>
      <c r="VLP819" s="132"/>
      <c r="VLQ819" s="133"/>
      <c r="VLR819" s="134"/>
      <c r="VLS819" s="134"/>
      <c r="VLT819" s="134"/>
      <c r="VLU819" s="135"/>
      <c r="VLV819" s="133"/>
      <c r="VLW819" s="134"/>
      <c r="VLX819" s="134"/>
      <c r="VLY819" s="134"/>
      <c r="VLZ819" s="135"/>
      <c r="VMA819" s="132"/>
      <c r="VMB819" s="132"/>
      <c r="VMC819" s="132"/>
      <c r="VMD819" s="133"/>
      <c r="VME819" s="134"/>
      <c r="VMF819" s="134"/>
      <c r="VMG819" s="134"/>
      <c r="VMH819" s="135"/>
      <c r="VMI819" s="133"/>
      <c r="VMJ819" s="134"/>
      <c r="VMK819" s="134"/>
      <c r="VML819" s="134"/>
      <c r="VMM819" s="135"/>
      <c r="VMN819" s="132"/>
      <c r="VMO819" s="132"/>
      <c r="VMP819" s="132"/>
      <c r="VMQ819" s="133"/>
      <c r="VMR819" s="134"/>
      <c r="VMS819" s="134"/>
      <c r="VMT819" s="134"/>
      <c r="VMU819" s="135"/>
      <c r="VMV819" s="133"/>
      <c r="VMW819" s="134"/>
      <c r="VMX819" s="134"/>
      <c r="VMY819" s="134"/>
      <c r="VMZ819" s="135"/>
      <c r="VNA819" s="132"/>
      <c r="VNB819" s="132"/>
      <c r="VNC819" s="132"/>
      <c r="VND819" s="133"/>
      <c r="VNE819" s="134"/>
      <c r="VNF819" s="134"/>
      <c r="VNG819" s="134"/>
      <c r="VNH819" s="135"/>
      <c r="VNI819" s="133"/>
      <c r="VNJ819" s="134"/>
      <c r="VNK819" s="134"/>
      <c r="VNL819" s="134"/>
      <c r="VNM819" s="135"/>
      <c r="VNN819" s="132"/>
      <c r="VNO819" s="132"/>
      <c r="VNP819" s="132"/>
      <c r="VNQ819" s="133"/>
      <c r="VNR819" s="134"/>
      <c r="VNS819" s="134"/>
      <c r="VNT819" s="134"/>
      <c r="VNU819" s="135"/>
      <c r="VNV819" s="133"/>
      <c r="VNW819" s="134"/>
      <c r="VNX819" s="134"/>
      <c r="VNY819" s="134"/>
      <c r="VNZ819" s="135"/>
      <c r="VOA819" s="132"/>
      <c r="VOB819" s="132"/>
      <c r="VOC819" s="132"/>
      <c r="VOD819" s="133"/>
      <c r="VOE819" s="134"/>
      <c r="VOF819" s="134"/>
      <c r="VOG819" s="134"/>
      <c r="VOH819" s="135"/>
      <c r="VOI819" s="133"/>
      <c r="VOJ819" s="134"/>
      <c r="VOK819" s="134"/>
      <c r="VOL819" s="134"/>
      <c r="VOM819" s="135"/>
      <c r="VON819" s="132"/>
      <c r="VOO819" s="132"/>
      <c r="VOP819" s="132"/>
      <c r="VOQ819" s="133"/>
      <c r="VOR819" s="134"/>
      <c r="VOS819" s="134"/>
      <c r="VOT819" s="134"/>
      <c r="VOU819" s="135"/>
      <c r="VOV819" s="133"/>
      <c r="VOW819" s="134"/>
      <c r="VOX819" s="134"/>
      <c r="VOY819" s="134"/>
      <c r="VOZ819" s="135"/>
      <c r="VPA819" s="132"/>
      <c r="VPB819" s="132"/>
      <c r="VPC819" s="132"/>
      <c r="VPD819" s="133"/>
      <c r="VPE819" s="134"/>
      <c r="VPF819" s="134"/>
      <c r="VPG819" s="134"/>
      <c r="VPH819" s="135"/>
      <c r="VPI819" s="133"/>
      <c r="VPJ819" s="134"/>
      <c r="VPK819" s="134"/>
      <c r="VPL819" s="134"/>
      <c r="VPM819" s="135"/>
      <c r="VPN819" s="132"/>
      <c r="VPO819" s="132"/>
      <c r="VPP819" s="132"/>
      <c r="VPQ819" s="133"/>
      <c r="VPR819" s="134"/>
      <c r="VPS819" s="134"/>
      <c r="VPT819" s="134"/>
      <c r="VPU819" s="135"/>
      <c r="VPV819" s="133"/>
      <c r="VPW819" s="134"/>
      <c r="VPX819" s="134"/>
      <c r="VPY819" s="134"/>
      <c r="VPZ819" s="135"/>
      <c r="VQA819" s="132"/>
      <c r="VQB819" s="132"/>
      <c r="VQC819" s="132"/>
      <c r="VQD819" s="133"/>
      <c r="VQE819" s="134"/>
      <c r="VQF819" s="134"/>
      <c r="VQG819" s="134"/>
      <c r="VQH819" s="135"/>
      <c r="VQI819" s="133"/>
      <c r="VQJ819" s="134"/>
      <c r="VQK819" s="134"/>
      <c r="VQL819" s="134"/>
      <c r="VQM819" s="135"/>
      <c r="VQN819" s="132"/>
      <c r="VQO819" s="132"/>
      <c r="VQP819" s="132"/>
      <c r="VQQ819" s="133"/>
      <c r="VQR819" s="134"/>
      <c r="VQS819" s="134"/>
      <c r="VQT819" s="134"/>
      <c r="VQU819" s="135"/>
      <c r="VQV819" s="133"/>
      <c r="VQW819" s="134"/>
      <c r="VQX819" s="134"/>
      <c r="VQY819" s="134"/>
      <c r="VQZ819" s="135"/>
      <c r="VRA819" s="132"/>
      <c r="VRB819" s="132"/>
      <c r="VRC819" s="132"/>
      <c r="VRD819" s="133"/>
      <c r="VRE819" s="134"/>
      <c r="VRF819" s="134"/>
      <c r="VRG819" s="134"/>
      <c r="VRH819" s="135"/>
      <c r="VRI819" s="133"/>
      <c r="VRJ819" s="134"/>
      <c r="VRK819" s="134"/>
      <c r="VRL819" s="134"/>
      <c r="VRM819" s="135"/>
      <c r="VRN819" s="132"/>
      <c r="VRO819" s="132"/>
      <c r="VRP819" s="132"/>
      <c r="VRQ819" s="133"/>
      <c r="VRR819" s="134"/>
      <c r="VRS819" s="134"/>
      <c r="VRT819" s="134"/>
      <c r="VRU819" s="135"/>
      <c r="VRV819" s="133"/>
      <c r="VRW819" s="134"/>
      <c r="VRX819" s="134"/>
      <c r="VRY819" s="134"/>
      <c r="VRZ819" s="135"/>
      <c r="VSA819" s="132"/>
      <c r="VSB819" s="132"/>
      <c r="VSC819" s="132"/>
      <c r="VSD819" s="133"/>
      <c r="VSE819" s="134"/>
      <c r="VSF819" s="134"/>
      <c r="VSG819" s="134"/>
      <c r="VSH819" s="135"/>
      <c r="VSI819" s="133"/>
      <c r="VSJ819" s="134"/>
      <c r="VSK819" s="134"/>
      <c r="VSL819" s="134"/>
      <c r="VSM819" s="135"/>
      <c r="VSN819" s="132"/>
      <c r="VSO819" s="132"/>
      <c r="VSP819" s="132"/>
      <c r="VSQ819" s="133"/>
      <c r="VSR819" s="134"/>
      <c r="VSS819" s="134"/>
      <c r="VST819" s="134"/>
      <c r="VSU819" s="135"/>
      <c r="VSV819" s="133"/>
      <c r="VSW819" s="134"/>
      <c r="VSX819" s="134"/>
      <c r="VSY819" s="134"/>
      <c r="VSZ819" s="135"/>
      <c r="VTA819" s="132"/>
      <c r="VTB819" s="132"/>
      <c r="VTC819" s="132"/>
      <c r="VTD819" s="133"/>
      <c r="VTE819" s="134"/>
      <c r="VTF819" s="134"/>
      <c r="VTG819" s="134"/>
      <c r="VTH819" s="135"/>
      <c r="VTI819" s="133"/>
      <c r="VTJ819" s="134"/>
      <c r="VTK819" s="134"/>
      <c r="VTL819" s="134"/>
      <c r="VTM819" s="135"/>
      <c r="VTN819" s="132"/>
      <c r="VTO819" s="132"/>
      <c r="VTP819" s="132"/>
      <c r="VTQ819" s="133"/>
      <c r="VTR819" s="134"/>
      <c r="VTS819" s="134"/>
      <c r="VTT819" s="134"/>
      <c r="VTU819" s="135"/>
      <c r="VTV819" s="133"/>
      <c r="VTW819" s="134"/>
      <c r="VTX819" s="134"/>
      <c r="VTY819" s="134"/>
      <c r="VTZ819" s="135"/>
      <c r="VUA819" s="132"/>
      <c r="VUB819" s="132"/>
      <c r="VUC819" s="132"/>
      <c r="VUD819" s="133"/>
      <c r="VUE819" s="134"/>
      <c r="VUF819" s="134"/>
      <c r="VUG819" s="134"/>
      <c r="VUH819" s="135"/>
      <c r="VUI819" s="133"/>
      <c r="VUJ819" s="134"/>
      <c r="VUK819" s="134"/>
      <c r="VUL819" s="134"/>
      <c r="VUM819" s="135"/>
      <c r="VUN819" s="132"/>
      <c r="VUO819" s="132"/>
      <c r="VUP819" s="132"/>
      <c r="VUQ819" s="133"/>
      <c r="VUR819" s="134"/>
      <c r="VUS819" s="134"/>
      <c r="VUT819" s="134"/>
      <c r="VUU819" s="135"/>
      <c r="VUV819" s="133"/>
      <c r="VUW819" s="134"/>
      <c r="VUX819" s="134"/>
      <c r="VUY819" s="134"/>
      <c r="VUZ819" s="135"/>
      <c r="VVA819" s="132"/>
      <c r="VVB819" s="132"/>
      <c r="VVC819" s="132"/>
      <c r="VVD819" s="133"/>
      <c r="VVE819" s="134"/>
      <c r="VVF819" s="134"/>
      <c r="VVG819" s="134"/>
      <c r="VVH819" s="135"/>
      <c r="VVI819" s="133"/>
      <c r="VVJ819" s="134"/>
      <c r="VVK819" s="134"/>
      <c r="VVL819" s="134"/>
      <c r="VVM819" s="135"/>
      <c r="VVN819" s="132"/>
      <c r="VVO819" s="132"/>
      <c r="VVP819" s="132"/>
      <c r="VVQ819" s="133"/>
      <c r="VVR819" s="134"/>
      <c r="VVS819" s="134"/>
      <c r="VVT819" s="134"/>
      <c r="VVU819" s="135"/>
      <c r="VVV819" s="133"/>
      <c r="VVW819" s="134"/>
      <c r="VVX819" s="134"/>
      <c r="VVY819" s="134"/>
      <c r="VVZ819" s="135"/>
      <c r="VWA819" s="132"/>
      <c r="VWB819" s="132"/>
      <c r="VWC819" s="132"/>
      <c r="VWD819" s="133"/>
      <c r="VWE819" s="134"/>
      <c r="VWF819" s="134"/>
      <c r="VWG819" s="134"/>
      <c r="VWH819" s="135"/>
      <c r="VWI819" s="133"/>
      <c r="VWJ819" s="134"/>
      <c r="VWK819" s="134"/>
      <c r="VWL819" s="134"/>
      <c r="VWM819" s="135"/>
      <c r="VWN819" s="132"/>
      <c r="VWO819" s="132"/>
      <c r="VWP819" s="132"/>
      <c r="VWQ819" s="133"/>
      <c r="VWR819" s="134"/>
      <c r="VWS819" s="134"/>
      <c r="VWT819" s="134"/>
      <c r="VWU819" s="135"/>
      <c r="VWV819" s="133"/>
      <c r="VWW819" s="134"/>
      <c r="VWX819" s="134"/>
      <c r="VWY819" s="134"/>
      <c r="VWZ819" s="135"/>
      <c r="VXA819" s="132"/>
      <c r="VXB819" s="132"/>
      <c r="VXC819" s="132"/>
      <c r="VXD819" s="133"/>
      <c r="VXE819" s="134"/>
      <c r="VXF819" s="134"/>
      <c r="VXG819" s="134"/>
      <c r="VXH819" s="135"/>
      <c r="VXI819" s="133"/>
      <c r="VXJ819" s="134"/>
      <c r="VXK819" s="134"/>
      <c r="VXL819" s="134"/>
      <c r="VXM819" s="135"/>
      <c r="VXN819" s="132"/>
      <c r="VXO819" s="132"/>
      <c r="VXP819" s="132"/>
      <c r="VXQ819" s="133"/>
      <c r="VXR819" s="134"/>
      <c r="VXS819" s="134"/>
      <c r="VXT819" s="134"/>
      <c r="VXU819" s="135"/>
      <c r="VXV819" s="133"/>
      <c r="VXW819" s="134"/>
      <c r="VXX819" s="134"/>
      <c r="VXY819" s="134"/>
      <c r="VXZ819" s="135"/>
      <c r="VYA819" s="132"/>
      <c r="VYB819" s="132"/>
      <c r="VYC819" s="132"/>
      <c r="VYD819" s="133"/>
      <c r="VYE819" s="134"/>
      <c r="VYF819" s="134"/>
      <c r="VYG819" s="134"/>
      <c r="VYH819" s="135"/>
      <c r="VYI819" s="133"/>
      <c r="VYJ819" s="134"/>
      <c r="VYK819" s="134"/>
      <c r="VYL819" s="134"/>
      <c r="VYM819" s="135"/>
      <c r="VYN819" s="132"/>
      <c r="VYO819" s="132"/>
      <c r="VYP819" s="132"/>
      <c r="VYQ819" s="133"/>
      <c r="VYR819" s="134"/>
      <c r="VYS819" s="134"/>
      <c r="VYT819" s="134"/>
      <c r="VYU819" s="135"/>
      <c r="VYV819" s="133"/>
      <c r="VYW819" s="134"/>
      <c r="VYX819" s="134"/>
      <c r="VYY819" s="134"/>
      <c r="VYZ819" s="135"/>
      <c r="VZA819" s="132"/>
      <c r="VZB819" s="132"/>
      <c r="VZC819" s="132"/>
      <c r="VZD819" s="133"/>
      <c r="VZE819" s="134"/>
      <c r="VZF819" s="134"/>
      <c r="VZG819" s="134"/>
      <c r="VZH819" s="135"/>
      <c r="VZI819" s="133"/>
      <c r="VZJ819" s="134"/>
      <c r="VZK819" s="134"/>
      <c r="VZL819" s="134"/>
      <c r="VZM819" s="135"/>
      <c r="VZN819" s="132"/>
      <c r="VZO819" s="132"/>
      <c r="VZP819" s="132"/>
      <c r="VZQ819" s="133"/>
      <c r="VZR819" s="134"/>
      <c r="VZS819" s="134"/>
      <c r="VZT819" s="134"/>
      <c r="VZU819" s="135"/>
      <c r="VZV819" s="133"/>
      <c r="VZW819" s="134"/>
      <c r="VZX819" s="134"/>
      <c r="VZY819" s="134"/>
      <c r="VZZ819" s="135"/>
      <c r="WAA819" s="132"/>
      <c r="WAB819" s="132"/>
      <c r="WAC819" s="132"/>
      <c r="WAD819" s="133"/>
      <c r="WAE819" s="134"/>
      <c r="WAF819" s="134"/>
      <c r="WAG819" s="134"/>
      <c r="WAH819" s="135"/>
      <c r="WAI819" s="133"/>
      <c r="WAJ819" s="134"/>
      <c r="WAK819" s="134"/>
      <c r="WAL819" s="134"/>
      <c r="WAM819" s="135"/>
      <c r="WAN819" s="132"/>
      <c r="WAO819" s="132"/>
      <c r="WAP819" s="132"/>
      <c r="WAQ819" s="133"/>
      <c r="WAR819" s="134"/>
      <c r="WAS819" s="134"/>
      <c r="WAT819" s="134"/>
      <c r="WAU819" s="135"/>
      <c r="WAV819" s="133"/>
      <c r="WAW819" s="134"/>
      <c r="WAX819" s="134"/>
      <c r="WAY819" s="134"/>
      <c r="WAZ819" s="135"/>
      <c r="WBA819" s="132"/>
      <c r="WBB819" s="132"/>
      <c r="WBC819" s="132"/>
      <c r="WBD819" s="133"/>
      <c r="WBE819" s="134"/>
      <c r="WBF819" s="134"/>
      <c r="WBG819" s="134"/>
      <c r="WBH819" s="135"/>
      <c r="WBI819" s="133"/>
      <c r="WBJ819" s="134"/>
      <c r="WBK819" s="134"/>
      <c r="WBL819" s="134"/>
      <c r="WBM819" s="135"/>
      <c r="WBN819" s="132"/>
      <c r="WBO819" s="132"/>
      <c r="WBP819" s="132"/>
      <c r="WBQ819" s="133"/>
      <c r="WBR819" s="134"/>
      <c r="WBS819" s="134"/>
      <c r="WBT819" s="134"/>
      <c r="WBU819" s="135"/>
      <c r="WBV819" s="133"/>
      <c r="WBW819" s="134"/>
      <c r="WBX819" s="134"/>
      <c r="WBY819" s="134"/>
      <c r="WBZ819" s="135"/>
      <c r="WCA819" s="132"/>
      <c r="WCB819" s="132"/>
      <c r="WCC819" s="132"/>
      <c r="WCD819" s="133"/>
      <c r="WCE819" s="134"/>
      <c r="WCF819" s="134"/>
      <c r="WCG819" s="134"/>
      <c r="WCH819" s="135"/>
      <c r="WCI819" s="133"/>
      <c r="WCJ819" s="134"/>
      <c r="WCK819" s="134"/>
      <c r="WCL819" s="134"/>
      <c r="WCM819" s="135"/>
      <c r="WCN819" s="132"/>
      <c r="WCO819" s="132"/>
      <c r="WCP819" s="132"/>
      <c r="WCQ819" s="133"/>
      <c r="WCR819" s="134"/>
      <c r="WCS819" s="134"/>
      <c r="WCT819" s="134"/>
      <c r="WCU819" s="135"/>
      <c r="WCV819" s="133"/>
      <c r="WCW819" s="134"/>
      <c r="WCX819" s="134"/>
      <c r="WCY819" s="134"/>
      <c r="WCZ819" s="135"/>
      <c r="WDA819" s="132"/>
      <c r="WDB819" s="132"/>
      <c r="WDC819" s="132"/>
      <c r="WDD819" s="133"/>
      <c r="WDE819" s="134"/>
      <c r="WDF819" s="134"/>
      <c r="WDG819" s="134"/>
      <c r="WDH819" s="135"/>
      <c r="WDI819" s="133"/>
      <c r="WDJ819" s="134"/>
      <c r="WDK819" s="134"/>
      <c r="WDL819" s="134"/>
      <c r="WDM819" s="135"/>
      <c r="WDN819" s="132"/>
      <c r="WDO819" s="132"/>
      <c r="WDP819" s="132"/>
      <c r="WDQ819" s="133"/>
      <c r="WDR819" s="134"/>
      <c r="WDS819" s="134"/>
      <c r="WDT819" s="134"/>
      <c r="WDU819" s="135"/>
      <c r="WDV819" s="133"/>
      <c r="WDW819" s="134"/>
      <c r="WDX819" s="134"/>
      <c r="WDY819" s="134"/>
      <c r="WDZ819" s="135"/>
      <c r="WEA819" s="132"/>
      <c r="WEB819" s="132"/>
      <c r="WEC819" s="132"/>
      <c r="WED819" s="133"/>
      <c r="WEE819" s="134"/>
      <c r="WEF819" s="134"/>
      <c r="WEG819" s="134"/>
      <c r="WEH819" s="135"/>
      <c r="WEI819" s="133"/>
      <c r="WEJ819" s="134"/>
      <c r="WEK819" s="134"/>
      <c r="WEL819" s="134"/>
      <c r="WEM819" s="135"/>
      <c r="WEN819" s="132"/>
      <c r="WEO819" s="132"/>
      <c r="WEP819" s="132"/>
      <c r="WEQ819" s="133"/>
      <c r="WER819" s="134"/>
      <c r="WES819" s="134"/>
      <c r="WET819" s="134"/>
      <c r="WEU819" s="135"/>
      <c r="WEV819" s="133"/>
      <c r="WEW819" s="134"/>
      <c r="WEX819" s="134"/>
      <c r="WEY819" s="134"/>
      <c r="WEZ819" s="135"/>
      <c r="WFA819" s="132"/>
      <c r="WFB819" s="132"/>
      <c r="WFC819" s="132"/>
      <c r="WFD819" s="133"/>
      <c r="WFE819" s="134"/>
      <c r="WFF819" s="134"/>
      <c r="WFG819" s="134"/>
      <c r="WFH819" s="135"/>
      <c r="WFI819" s="133"/>
      <c r="WFJ819" s="134"/>
      <c r="WFK819" s="134"/>
      <c r="WFL819" s="134"/>
      <c r="WFM819" s="135"/>
      <c r="WFN819" s="132"/>
      <c r="WFO819" s="132"/>
      <c r="WFP819" s="132"/>
      <c r="WFQ819" s="133"/>
      <c r="WFR819" s="134"/>
      <c r="WFS819" s="134"/>
      <c r="WFT819" s="134"/>
      <c r="WFU819" s="135"/>
      <c r="WFV819" s="133"/>
      <c r="WFW819" s="134"/>
      <c r="WFX819" s="134"/>
      <c r="WFY819" s="134"/>
      <c r="WFZ819" s="135"/>
      <c r="WGA819" s="132"/>
      <c r="WGB819" s="132"/>
      <c r="WGC819" s="132"/>
      <c r="WGD819" s="133"/>
      <c r="WGE819" s="134"/>
      <c r="WGF819" s="134"/>
      <c r="WGG819" s="134"/>
      <c r="WGH819" s="135"/>
      <c r="WGI819" s="133"/>
      <c r="WGJ819" s="134"/>
      <c r="WGK819" s="134"/>
      <c r="WGL819" s="134"/>
      <c r="WGM819" s="135"/>
      <c r="WGN819" s="132"/>
      <c r="WGO819" s="132"/>
      <c r="WGP819" s="132"/>
      <c r="WGQ819" s="133"/>
      <c r="WGR819" s="134"/>
      <c r="WGS819" s="134"/>
      <c r="WGT819" s="134"/>
      <c r="WGU819" s="135"/>
      <c r="WGV819" s="133"/>
      <c r="WGW819" s="134"/>
      <c r="WGX819" s="134"/>
      <c r="WGY819" s="134"/>
      <c r="WGZ819" s="135"/>
      <c r="WHA819" s="132"/>
      <c r="WHB819" s="132"/>
      <c r="WHC819" s="132"/>
      <c r="WHD819" s="133"/>
      <c r="WHE819" s="134"/>
      <c r="WHF819" s="134"/>
      <c r="WHG819" s="134"/>
      <c r="WHH819" s="135"/>
      <c r="WHI819" s="133"/>
      <c r="WHJ819" s="134"/>
      <c r="WHK819" s="134"/>
      <c r="WHL819" s="134"/>
      <c r="WHM819" s="135"/>
      <c r="WHN819" s="132"/>
      <c r="WHO819" s="132"/>
      <c r="WHP819" s="132"/>
      <c r="WHQ819" s="133"/>
      <c r="WHR819" s="134"/>
      <c r="WHS819" s="134"/>
      <c r="WHT819" s="134"/>
      <c r="WHU819" s="135"/>
      <c r="WHV819" s="133"/>
      <c r="WHW819" s="134"/>
      <c r="WHX819" s="134"/>
      <c r="WHY819" s="134"/>
      <c r="WHZ819" s="135"/>
      <c r="WIA819" s="132"/>
      <c r="WIB819" s="132"/>
      <c r="WIC819" s="132"/>
      <c r="WID819" s="133"/>
      <c r="WIE819" s="134"/>
      <c r="WIF819" s="134"/>
      <c r="WIG819" s="134"/>
      <c r="WIH819" s="135"/>
      <c r="WII819" s="133"/>
      <c r="WIJ819" s="134"/>
      <c r="WIK819" s="134"/>
      <c r="WIL819" s="134"/>
      <c r="WIM819" s="135"/>
      <c r="WIN819" s="132"/>
      <c r="WIO819" s="132"/>
      <c r="WIP819" s="132"/>
      <c r="WIQ819" s="133"/>
      <c r="WIR819" s="134"/>
      <c r="WIS819" s="134"/>
      <c r="WIT819" s="134"/>
      <c r="WIU819" s="135"/>
      <c r="WIV819" s="133"/>
      <c r="WIW819" s="134"/>
      <c r="WIX819" s="134"/>
      <c r="WIY819" s="134"/>
      <c r="WIZ819" s="135"/>
      <c r="WJA819" s="132"/>
      <c r="WJB819" s="132"/>
      <c r="WJC819" s="132"/>
      <c r="WJD819" s="133"/>
      <c r="WJE819" s="134"/>
      <c r="WJF819" s="134"/>
      <c r="WJG819" s="134"/>
      <c r="WJH819" s="135"/>
      <c r="WJI819" s="133"/>
      <c r="WJJ819" s="134"/>
      <c r="WJK819" s="134"/>
      <c r="WJL819" s="134"/>
      <c r="WJM819" s="135"/>
      <c r="WJN819" s="132"/>
      <c r="WJO819" s="132"/>
      <c r="WJP819" s="132"/>
      <c r="WJQ819" s="133"/>
      <c r="WJR819" s="134"/>
      <c r="WJS819" s="134"/>
      <c r="WJT819" s="134"/>
      <c r="WJU819" s="135"/>
      <c r="WJV819" s="133"/>
      <c r="WJW819" s="134"/>
      <c r="WJX819" s="134"/>
      <c r="WJY819" s="134"/>
      <c r="WJZ819" s="135"/>
      <c r="WKA819" s="132"/>
      <c r="WKB819" s="132"/>
      <c r="WKC819" s="132"/>
      <c r="WKD819" s="133"/>
      <c r="WKE819" s="134"/>
      <c r="WKF819" s="134"/>
      <c r="WKG819" s="134"/>
      <c r="WKH819" s="135"/>
      <c r="WKI819" s="133"/>
      <c r="WKJ819" s="134"/>
      <c r="WKK819" s="134"/>
      <c r="WKL819" s="134"/>
      <c r="WKM819" s="135"/>
      <c r="WKN819" s="132"/>
      <c r="WKO819" s="132"/>
      <c r="WKP819" s="132"/>
      <c r="WKQ819" s="133"/>
      <c r="WKR819" s="134"/>
      <c r="WKS819" s="134"/>
      <c r="WKT819" s="134"/>
      <c r="WKU819" s="135"/>
      <c r="WKV819" s="133"/>
      <c r="WKW819" s="134"/>
      <c r="WKX819" s="134"/>
      <c r="WKY819" s="134"/>
      <c r="WKZ819" s="135"/>
      <c r="WLA819" s="132"/>
      <c r="WLB819" s="132"/>
      <c r="WLC819" s="132"/>
      <c r="WLD819" s="133"/>
      <c r="WLE819" s="134"/>
      <c r="WLF819" s="134"/>
      <c r="WLG819" s="134"/>
      <c r="WLH819" s="135"/>
      <c r="WLI819" s="133"/>
      <c r="WLJ819" s="134"/>
      <c r="WLK819" s="134"/>
      <c r="WLL819" s="134"/>
      <c r="WLM819" s="135"/>
      <c r="WLN819" s="132"/>
      <c r="WLO819" s="132"/>
      <c r="WLP819" s="132"/>
      <c r="WLQ819" s="133"/>
      <c r="WLR819" s="134"/>
      <c r="WLS819" s="134"/>
      <c r="WLT819" s="134"/>
      <c r="WLU819" s="135"/>
      <c r="WLV819" s="133"/>
      <c r="WLW819" s="134"/>
      <c r="WLX819" s="134"/>
      <c r="WLY819" s="134"/>
      <c r="WLZ819" s="135"/>
      <c r="WMA819" s="132"/>
      <c r="WMB819" s="132"/>
      <c r="WMC819" s="132"/>
      <c r="WMD819" s="133"/>
      <c r="WME819" s="134"/>
      <c r="WMF819" s="134"/>
      <c r="WMG819" s="134"/>
      <c r="WMH819" s="135"/>
      <c r="WMI819" s="133"/>
      <c r="WMJ819" s="134"/>
      <c r="WMK819" s="134"/>
      <c r="WML819" s="134"/>
      <c r="WMM819" s="135"/>
      <c r="WMN819" s="132"/>
      <c r="WMO819" s="132"/>
      <c r="WMP819" s="132"/>
      <c r="WMQ819" s="133"/>
      <c r="WMR819" s="134"/>
      <c r="WMS819" s="134"/>
      <c r="WMT819" s="134"/>
      <c r="WMU819" s="135"/>
      <c r="WMV819" s="133"/>
      <c r="WMW819" s="134"/>
      <c r="WMX819" s="134"/>
      <c r="WMY819" s="134"/>
      <c r="WMZ819" s="135"/>
      <c r="WNA819" s="132"/>
      <c r="WNB819" s="132"/>
      <c r="WNC819" s="132"/>
      <c r="WND819" s="133"/>
      <c r="WNE819" s="134"/>
      <c r="WNF819" s="134"/>
      <c r="WNG819" s="134"/>
      <c r="WNH819" s="135"/>
      <c r="WNI819" s="133"/>
      <c r="WNJ819" s="134"/>
      <c r="WNK819" s="134"/>
      <c r="WNL819" s="134"/>
      <c r="WNM819" s="135"/>
      <c r="WNN819" s="132"/>
      <c r="WNO819" s="132"/>
      <c r="WNP819" s="132"/>
      <c r="WNQ819" s="133"/>
      <c r="WNR819" s="134"/>
      <c r="WNS819" s="134"/>
      <c r="WNT819" s="134"/>
      <c r="WNU819" s="135"/>
      <c r="WNV819" s="133"/>
      <c r="WNW819" s="134"/>
      <c r="WNX819" s="134"/>
      <c r="WNY819" s="134"/>
      <c r="WNZ819" s="135"/>
      <c r="WOA819" s="132"/>
      <c r="WOB819" s="132"/>
      <c r="WOC819" s="132"/>
      <c r="WOD819" s="133"/>
      <c r="WOE819" s="134"/>
      <c r="WOF819" s="134"/>
      <c r="WOG819" s="134"/>
      <c r="WOH819" s="135"/>
      <c r="WOI819" s="133"/>
      <c r="WOJ819" s="134"/>
      <c r="WOK819" s="134"/>
      <c r="WOL819" s="134"/>
      <c r="WOM819" s="135"/>
      <c r="WON819" s="132"/>
      <c r="WOO819" s="132"/>
      <c r="WOP819" s="132"/>
      <c r="WOQ819" s="133"/>
      <c r="WOR819" s="134"/>
      <c r="WOS819" s="134"/>
      <c r="WOT819" s="134"/>
      <c r="WOU819" s="135"/>
      <c r="WOV819" s="133"/>
      <c r="WOW819" s="134"/>
      <c r="WOX819" s="134"/>
      <c r="WOY819" s="134"/>
      <c r="WOZ819" s="135"/>
      <c r="WPA819" s="132"/>
      <c r="WPB819" s="132"/>
      <c r="WPC819" s="132"/>
      <c r="WPD819" s="133"/>
      <c r="WPE819" s="134"/>
      <c r="WPF819" s="134"/>
      <c r="WPG819" s="134"/>
      <c r="WPH819" s="135"/>
      <c r="WPI819" s="133"/>
      <c r="WPJ819" s="134"/>
      <c r="WPK819" s="134"/>
      <c r="WPL819" s="134"/>
      <c r="WPM819" s="135"/>
      <c r="WPN819" s="132"/>
      <c r="WPO819" s="132"/>
      <c r="WPP819" s="132"/>
      <c r="WPQ819" s="133"/>
      <c r="WPR819" s="134"/>
      <c r="WPS819" s="134"/>
      <c r="WPT819" s="134"/>
      <c r="WPU819" s="135"/>
      <c r="WPV819" s="133"/>
      <c r="WPW819" s="134"/>
      <c r="WPX819" s="134"/>
      <c r="WPY819" s="134"/>
      <c r="WPZ819" s="135"/>
      <c r="WQA819" s="132"/>
      <c r="WQB819" s="132"/>
      <c r="WQC819" s="132"/>
      <c r="WQD819" s="133"/>
      <c r="WQE819" s="134"/>
      <c r="WQF819" s="134"/>
      <c r="WQG819" s="134"/>
      <c r="WQH819" s="135"/>
      <c r="WQI819" s="133"/>
      <c r="WQJ819" s="134"/>
      <c r="WQK819" s="134"/>
      <c r="WQL819" s="134"/>
      <c r="WQM819" s="135"/>
      <c r="WQN819" s="132"/>
      <c r="WQO819" s="132"/>
      <c r="WQP819" s="132"/>
      <c r="WQQ819" s="133"/>
      <c r="WQR819" s="134"/>
      <c r="WQS819" s="134"/>
      <c r="WQT819" s="134"/>
      <c r="WQU819" s="135"/>
      <c r="WQV819" s="133"/>
      <c r="WQW819" s="134"/>
      <c r="WQX819" s="134"/>
      <c r="WQY819" s="134"/>
      <c r="WQZ819" s="135"/>
      <c r="WRA819" s="132"/>
      <c r="WRB819" s="132"/>
      <c r="WRC819" s="132"/>
      <c r="WRD819" s="133"/>
      <c r="WRE819" s="134"/>
      <c r="WRF819" s="134"/>
      <c r="WRG819" s="134"/>
      <c r="WRH819" s="135"/>
      <c r="WRI819" s="133"/>
      <c r="WRJ819" s="134"/>
      <c r="WRK819" s="134"/>
      <c r="WRL819" s="134"/>
      <c r="WRM819" s="135"/>
      <c r="WRN819" s="132"/>
      <c r="WRO819" s="132"/>
      <c r="WRP819" s="132"/>
      <c r="WRQ819" s="133"/>
      <c r="WRR819" s="134"/>
      <c r="WRS819" s="134"/>
      <c r="WRT819" s="134"/>
      <c r="WRU819" s="135"/>
      <c r="WRV819" s="133"/>
      <c r="WRW819" s="134"/>
      <c r="WRX819" s="134"/>
      <c r="WRY819" s="134"/>
      <c r="WRZ819" s="135"/>
      <c r="WSA819" s="132"/>
      <c r="WSB819" s="132"/>
      <c r="WSC819" s="132"/>
      <c r="WSD819" s="133"/>
      <c r="WSE819" s="134"/>
      <c r="WSF819" s="134"/>
      <c r="WSG819" s="134"/>
      <c r="WSH819" s="135"/>
      <c r="WSI819" s="133"/>
      <c r="WSJ819" s="134"/>
      <c r="WSK819" s="134"/>
      <c r="WSL819" s="134"/>
      <c r="WSM819" s="135"/>
      <c r="WSN819" s="132"/>
      <c r="WSO819" s="132"/>
      <c r="WSP819" s="132"/>
      <c r="WSQ819" s="133"/>
      <c r="WSR819" s="134"/>
      <c r="WSS819" s="134"/>
      <c r="WST819" s="134"/>
      <c r="WSU819" s="135"/>
      <c r="WSV819" s="133"/>
      <c r="WSW819" s="134"/>
      <c r="WSX819" s="134"/>
      <c r="WSY819" s="134"/>
      <c r="WSZ819" s="135"/>
      <c r="WTA819" s="132"/>
      <c r="WTB819" s="132"/>
      <c r="WTC819" s="132"/>
      <c r="WTD819" s="133"/>
      <c r="WTE819" s="134"/>
      <c r="WTF819" s="134"/>
      <c r="WTG819" s="134"/>
      <c r="WTH819" s="135"/>
      <c r="WTI819" s="133"/>
      <c r="WTJ819" s="134"/>
      <c r="WTK819" s="134"/>
      <c r="WTL819" s="134"/>
      <c r="WTM819" s="135"/>
      <c r="WTN819" s="132"/>
      <c r="WTO819" s="132"/>
      <c r="WTP819" s="132"/>
      <c r="WTQ819" s="133"/>
      <c r="WTR819" s="134"/>
      <c r="WTS819" s="134"/>
      <c r="WTT819" s="134"/>
      <c r="WTU819" s="135"/>
      <c r="WTV819" s="133"/>
      <c r="WTW819" s="134"/>
      <c r="WTX819" s="134"/>
      <c r="WTY819" s="134"/>
      <c r="WTZ819" s="135"/>
      <c r="WUA819" s="132"/>
      <c r="WUB819" s="132"/>
      <c r="WUC819" s="132"/>
      <c r="WUD819" s="133"/>
      <c r="WUE819" s="134"/>
      <c r="WUF819" s="134"/>
      <c r="WUG819" s="134"/>
      <c r="WUH819" s="135"/>
      <c r="WUI819" s="133"/>
      <c r="WUJ819" s="134"/>
      <c r="WUK819" s="134"/>
      <c r="WUL819" s="134"/>
      <c r="WUM819" s="135"/>
      <c r="WUN819" s="132"/>
      <c r="WUO819" s="132"/>
      <c r="WUP819" s="132"/>
      <c r="WUQ819" s="133"/>
      <c r="WUR819" s="134"/>
      <c r="WUS819" s="134"/>
      <c r="WUT819" s="134"/>
      <c r="WUU819" s="135"/>
      <c r="WUV819" s="133"/>
      <c r="WUW819" s="134"/>
      <c r="WUX819" s="134"/>
      <c r="WUY819" s="134"/>
      <c r="WUZ819" s="135"/>
      <c r="WVA819" s="132"/>
      <c r="WVB819" s="132"/>
      <c r="WVC819" s="132"/>
      <c r="WVD819" s="133"/>
      <c r="WVE819" s="134"/>
      <c r="WVF819" s="134"/>
      <c r="WVG819" s="134"/>
      <c r="WVH819" s="135"/>
      <c r="WVI819" s="133"/>
      <c r="WVJ819" s="134"/>
      <c r="WVK819" s="134"/>
      <c r="WVL819" s="134"/>
      <c r="WVM819" s="135"/>
      <c r="WVN819" s="132"/>
      <c r="WVO819" s="132"/>
      <c r="WVP819" s="132"/>
      <c r="WVQ819" s="133"/>
      <c r="WVR819" s="134"/>
      <c r="WVS819" s="134"/>
      <c r="WVT819" s="134"/>
      <c r="WVU819" s="135"/>
      <c r="WVV819" s="133"/>
      <c r="WVW819" s="134"/>
      <c r="WVX819" s="134"/>
      <c r="WVY819" s="134"/>
      <c r="WVZ819" s="135"/>
      <c r="WWA819" s="132"/>
      <c r="WWB819" s="132"/>
      <c r="WWC819" s="132"/>
      <c r="WWD819" s="133"/>
      <c r="WWE819" s="134"/>
      <c r="WWF819" s="134"/>
      <c r="WWG819" s="134"/>
      <c r="WWH819" s="135"/>
      <c r="WWI819" s="133"/>
      <c r="WWJ819" s="134"/>
      <c r="WWK819" s="134"/>
      <c r="WWL819" s="134"/>
      <c r="WWM819" s="135"/>
      <c r="WWN819" s="132"/>
      <c r="WWO819" s="132"/>
      <c r="WWP819" s="132"/>
      <c r="WWQ819" s="133"/>
      <c r="WWR819" s="134"/>
      <c r="WWS819" s="134"/>
      <c r="WWT819" s="134"/>
      <c r="WWU819" s="135"/>
      <c r="WWV819" s="133"/>
      <c r="WWW819" s="134"/>
      <c r="WWX819" s="134"/>
      <c r="WWY819" s="134"/>
      <c r="WWZ819" s="135"/>
      <c r="WXA819" s="132"/>
      <c r="WXB819" s="132"/>
      <c r="WXC819" s="132"/>
      <c r="WXD819" s="133"/>
      <c r="WXE819" s="134"/>
      <c r="WXF819" s="134"/>
      <c r="WXG819" s="134"/>
      <c r="WXH819" s="135"/>
      <c r="WXI819" s="133"/>
      <c r="WXJ819" s="134"/>
      <c r="WXK819" s="134"/>
      <c r="WXL819" s="134"/>
      <c r="WXM819" s="135"/>
      <c r="WXN819" s="132"/>
      <c r="WXO819" s="132"/>
      <c r="WXP819" s="132"/>
      <c r="WXQ819" s="133"/>
      <c r="WXR819" s="134"/>
      <c r="WXS819" s="134"/>
      <c r="WXT819" s="134"/>
      <c r="WXU819" s="135"/>
      <c r="WXV819" s="133"/>
      <c r="WXW819" s="134"/>
      <c r="WXX819" s="134"/>
      <c r="WXY819" s="134"/>
      <c r="WXZ819" s="135"/>
      <c r="WYA819" s="132"/>
      <c r="WYB819" s="132"/>
      <c r="WYC819" s="132"/>
      <c r="WYD819" s="133"/>
      <c r="WYE819" s="134"/>
      <c r="WYF819" s="134"/>
      <c r="WYG819" s="134"/>
      <c r="WYH819" s="135"/>
      <c r="WYI819" s="133"/>
      <c r="WYJ819" s="134"/>
      <c r="WYK819" s="134"/>
      <c r="WYL819" s="134"/>
      <c r="WYM819" s="135"/>
      <c r="WYN819" s="132"/>
      <c r="WYO819" s="132"/>
      <c r="WYP819" s="132"/>
      <c r="WYQ819" s="133"/>
      <c r="WYR819" s="134"/>
      <c r="WYS819" s="134"/>
      <c r="WYT819" s="134"/>
      <c r="WYU819" s="135"/>
      <c r="WYV819" s="133"/>
      <c r="WYW819" s="134"/>
      <c r="WYX819" s="134"/>
      <c r="WYY819" s="134"/>
      <c r="WYZ819" s="135"/>
      <c r="WZA819" s="132"/>
      <c r="WZB819" s="132"/>
      <c r="WZC819" s="132"/>
      <c r="WZD819" s="133"/>
      <c r="WZE819" s="134"/>
      <c r="WZF819" s="134"/>
      <c r="WZG819" s="134"/>
      <c r="WZH819" s="135"/>
      <c r="WZI819" s="133"/>
      <c r="WZJ819" s="134"/>
      <c r="WZK819" s="134"/>
      <c r="WZL819" s="134"/>
      <c r="WZM819" s="135"/>
      <c r="WZN819" s="132"/>
      <c r="WZO819" s="132"/>
      <c r="WZP819" s="132"/>
      <c r="WZQ819" s="133"/>
      <c r="WZR819" s="134"/>
      <c r="WZS819" s="134"/>
      <c r="WZT819" s="134"/>
      <c r="WZU819" s="135"/>
      <c r="WZV819" s="133"/>
      <c r="WZW819" s="134"/>
      <c r="WZX819" s="134"/>
      <c r="WZY819" s="134"/>
      <c r="WZZ819" s="135"/>
      <c r="XAA819" s="132"/>
      <c r="XAB819" s="132"/>
      <c r="XAC819" s="132"/>
      <c r="XAD819" s="133"/>
      <c r="XAE819" s="134"/>
      <c r="XAF819" s="134"/>
      <c r="XAG819" s="134"/>
      <c r="XAH819" s="135"/>
      <c r="XAI819" s="133"/>
      <c r="XAJ819" s="134"/>
      <c r="XAK819" s="134"/>
      <c r="XAL819" s="134"/>
      <c r="XAM819" s="135"/>
      <c r="XAN819" s="132"/>
      <c r="XAO819" s="132"/>
      <c r="XAP819" s="132"/>
      <c r="XAQ819" s="133"/>
      <c r="XAR819" s="134"/>
      <c r="XAS819" s="134"/>
      <c r="XAT819" s="134"/>
      <c r="XAU819" s="135"/>
      <c r="XAV819" s="133"/>
      <c r="XAW819" s="134"/>
      <c r="XAX819" s="134"/>
      <c r="XAY819" s="134"/>
      <c r="XAZ819" s="135"/>
      <c r="XBA819" s="132"/>
      <c r="XBB819" s="132"/>
      <c r="XBC819" s="132"/>
      <c r="XBD819" s="133"/>
      <c r="XBE819" s="134"/>
      <c r="XBF819" s="134"/>
      <c r="XBG819" s="134"/>
      <c r="XBH819" s="135"/>
      <c r="XBI819" s="133"/>
      <c r="XBJ819" s="134"/>
      <c r="XBK819" s="134"/>
      <c r="XBL819" s="134"/>
      <c r="XBM819" s="135"/>
      <c r="XBN819" s="132"/>
      <c r="XBO819" s="132"/>
      <c r="XBP819" s="132"/>
      <c r="XBQ819" s="133"/>
      <c r="XBR819" s="134"/>
      <c r="XBS819" s="134"/>
      <c r="XBT819" s="134"/>
      <c r="XBU819" s="135"/>
      <c r="XBV819" s="133"/>
      <c r="XBW819" s="134"/>
      <c r="XBX819" s="134"/>
      <c r="XBY819" s="134"/>
      <c r="XBZ819" s="135"/>
      <c r="XCA819" s="132"/>
      <c r="XCB819" s="132"/>
      <c r="XCC819" s="132"/>
      <c r="XCD819" s="133"/>
      <c r="XCE819" s="134"/>
      <c r="XCF819" s="134"/>
      <c r="XCG819" s="134"/>
      <c r="XCH819" s="135"/>
      <c r="XCI819" s="133"/>
      <c r="XCJ819" s="134"/>
      <c r="XCK819" s="134"/>
      <c r="XCL819" s="134"/>
      <c r="XCM819" s="135"/>
      <c r="XCN819" s="132"/>
      <c r="XCO819" s="132"/>
      <c r="XCP819" s="132"/>
      <c r="XCQ819" s="133"/>
      <c r="XCR819" s="134"/>
      <c r="XCS819" s="134"/>
      <c r="XCT819" s="134"/>
      <c r="XCU819" s="135"/>
      <c r="XCV819" s="133"/>
      <c r="XCW819" s="134"/>
      <c r="XCX819" s="134"/>
      <c r="XCY819" s="134"/>
      <c r="XCZ819" s="135"/>
      <c r="XDA819" s="132"/>
      <c r="XDB819" s="132"/>
      <c r="XDC819" s="132"/>
      <c r="XDD819" s="133"/>
      <c r="XDE819" s="134"/>
      <c r="XDF819" s="134"/>
      <c r="XDG819" s="134"/>
      <c r="XDH819" s="135"/>
      <c r="XDI819" s="133"/>
      <c r="XDJ819" s="134"/>
      <c r="XDK819" s="134"/>
      <c r="XDL819" s="134"/>
      <c r="XDM819" s="135"/>
      <c r="XDN819" s="132"/>
      <c r="XDO819" s="132"/>
      <c r="XDP819" s="132"/>
      <c r="XDQ819" s="133"/>
      <c r="XDR819" s="134"/>
      <c r="XDS819" s="134"/>
      <c r="XDT819" s="134"/>
      <c r="XDU819" s="135"/>
      <c r="XDV819" s="133"/>
      <c r="XDW819" s="134"/>
      <c r="XDX819" s="134"/>
      <c r="XDY819" s="134"/>
      <c r="XDZ819" s="135"/>
      <c r="XEA819" s="132"/>
      <c r="XEB819" s="132"/>
      <c r="XEC819" s="132"/>
      <c r="XED819" s="133"/>
      <c r="XEE819" s="134"/>
      <c r="XEF819" s="134"/>
      <c r="XEG819" s="134"/>
      <c r="XEH819" s="135"/>
      <c r="XEI819" s="133"/>
      <c r="XEJ819" s="134"/>
      <c r="XEK819" s="134"/>
      <c r="XEL819" s="134"/>
      <c r="XEM819" s="135"/>
      <c r="XEN819" s="132"/>
      <c r="XEO819" s="132"/>
      <c r="XEP819" s="132"/>
      <c r="XEQ819" s="133"/>
      <c r="XER819" s="134"/>
      <c r="XES819" s="134"/>
      <c r="XET819" s="134"/>
      <c r="XEU819" s="135"/>
      <c r="XEV819" s="133"/>
      <c r="XEW819" s="134"/>
      <c r="XEX819" s="134"/>
      <c r="XEY819" s="134"/>
      <c r="XEZ819" s="135"/>
      <c r="XFA819" s="132"/>
      <c r="XFB819" s="132"/>
      <c r="XFC819" s="132"/>
      <c r="XFD819" s="133"/>
    </row>
    <row r="820" spans="1:16384" x14ac:dyDescent="0.2">
      <c r="A820" s="113" t="s">
        <v>22</v>
      </c>
      <c r="B820" s="113" t="s">
        <v>109</v>
      </c>
      <c r="C820" s="113" t="s">
        <v>223</v>
      </c>
      <c r="D820" s="114">
        <v>32152.51</v>
      </c>
      <c r="E820" s="115">
        <v>32202.51</v>
      </c>
      <c r="F820" s="115">
        <v>32202.51</v>
      </c>
      <c r="G820" s="115"/>
      <c r="H820" s="116"/>
      <c r="I820" s="114">
        <v>12837</v>
      </c>
      <c r="J820" s="115">
        <v>16409.5</v>
      </c>
      <c r="K820" s="115">
        <v>19034.009999999998</v>
      </c>
      <c r="L820" s="115"/>
      <c r="M820" s="116"/>
    </row>
    <row r="821" spans="1:16384" x14ac:dyDescent="0.2">
      <c r="A821" t="s">
        <v>22</v>
      </c>
      <c r="B821" t="s">
        <v>109</v>
      </c>
      <c r="C821" t="s">
        <v>224</v>
      </c>
      <c r="D821" s="110">
        <v>6837.5</v>
      </c>
      <c r="E821" s="111">
        <v>6837.5</v>
      </c>
      <c r="F821" s="111"/>
      <c r="G821" s="111"/>
      <c r="H821" s="112"/>
      <c r="I821" s="110">
        <v>3762.5</v>
      </c>
      <c r="J821" s="111">
        <v>4836</v>
      </c>
      <c r="K821" s="111"/>
      <c r="L821" s="111"/>
      <c r="M821" s="112"/>
    </row>
    <row r="822" spans="1:16384" x14ac:dyDescent="0.2">
      <c r="A822" s="117" t="s">
        <v>22</v>
      </c>
      <c r="B822" s="117" t="s">
        <v>109</v>
      </c>
      <c r="C822" s="117" t="s">
        <v>225</v>
      </c>
      <c r="D822" s="118">
        <v>12216</v>
      </c>
      <c r="E822" s="119"/>
      <c r="F822" s="119"/>
      <c r="G822" s="119"/>
      <c r="H822" s="120"/>
      <c r="I822" s="118">
        <v>4231</v>
      </c>
      <c r="J822" s="119"/>
      <c r="K822" s="119"/>
      <c r="L822" s="119"/>
      <c r="M822" s="120"/>
    </row>
    <row r="823" spans="1:16384" x14ac:dyDescent="0.2">
      <c r="A823" t="s">
        <v>22</v>
      </c>
      <c r="B823" t="s">
        <v>106</v>
      </c>
      <c r="C823" t="s">
        <v>222</v>
      </c>
      <c r="D823" s="110">
        <v>6487</v>
      </c>
      <c r="E823" s="111">
        <v>6487</v>
      </c>
      <c r="F823" s="111">
        <v>6487</v>
      </c>
      <c r="G823" s="111">
        <v>6487</v>
      </c>
      <c r="H823" s="112"/>
      <c r="I823" s="110">
        <v>6087</v>
      </c>
      <c r="J823" s="111">
        <v>6487</v>
      </c>
      <c r="K823" s="111">
        <v>6487</v>
      </c>
      <c r="L823" s="111">
        <v>6487</v>
      </c>
      <c r="M823" s="112"/>
    </row>
    <row r="824" spans="1:16384" x14ac:dyDescent="0.2">
      <c r="A824" s="113" t="s">
        <v>22</v>
      </c>
      <c r="B824" s="113" t="s">
        <v>106</v>
      </c>
      <c r="C824" s="113" t="s">
        <v>223</v>
      </c>
      <c r="D824" s="114">
        <v>2835</v>
      </c>
      <c r="E824" s="115">
        <v>2435</v>
      </c>
      <c r="F824" s="115">
        <v>2435</v>
      </c>
      <c r="G824" s="115"/>
      <c r="H824" s="116"/>
      <c r="I824" s="114">
        <v>2435</v>
      </c>
      <c r="J824" s="115">
        <v>2435</v>
      </c>
      <c r="K824" s="115">
        <v>2435</v>
      </c>
      <c r="L824" s="115"/>
      <c r="M824" s="116"/>
    </row>
    <row r="825" spans="1:16384" x14ac:dyDescent="0.2">
      <c r="A825" t="s">
        <v>22</v>
      </c>
      <c r="B825" t="s">
        <v>106</v>
      </c>
      <c r="C825" t="s">
        <v>224</v>
      </c>
      <c r="D825" s="110">
        <v>3154</v>
      </c>
      <c r="E825" s="111">
        <v>3154</v>
      </c>
      <c r="F825" s="111"/>
      <c r="G825" s="111"/>
      <c r="H825" s="112"/>
      <c r="I825" s="110">
        <v>3154</v>
      </c>
      <c r="J825" s="111">
        <v>3154</v>
      </c>
      <c r="K825" s="111"/>
      <c r="L825" s="111"/>
      <c r="M825" s="112"/>
    </row>
    <row r="826" spans="1:16384" x14ac:dyDescent="0.2">
      <c r="A826" s="117" t="s">
        <v>22</v>
      </c>
      <c r="B826" s="117" t="s">
        <v>106</v>
      </c>
      <c r="C826" s="117" t="s">
        <v>225</v>
      </c>
      <c r="D826" s="118">
        <v>5711</v>
      </c>
      <c r="E826" s="119"/>
      <c r="F826" s="119"/>
      <c r="G826" s="119"/>
      <c r="H826" s="120"/>
      <c r="I826" s="118">
        <v>5711</v>
      </c>
      <c r="J826" s="119"/>
      <c r="K826" s="119"/>
      <c r="L826" s="119"/>
      <c r="M826" s="120"/>
    </row>
    <row r="827" spans="1:16384" x14ac:dyDescent="0.2">
      <c r="A827" t="s">
        <v>22</v>
      </c>
      <c r="B827" t="s">
        <v>107</v>
      </c>
      <c r="C827" t="s">
        <v>222</v>
      </c>
      <c r="D827" s="110">
        <v>4635.45</v>
      </c>
      <c r="E827" s="111">
        <v>4635.45</v>
      </c>
      <c r="F827" s="111">
        <v>4635.45</v>
      </c>
      <c r="G827" s="111">
        <v>4635.45</v>
      </c>
      <c r="H827" s="112"/>
      <c r="I827" s="110">
        <v>4635.45</v>
      </c>
      <c r="J827" s="111">
        <v>4635.45</v>
      </c>
      <c r="K827" s="111">
        <v>4635.45</v>
      </c>
      <c r="L827" s="111">
        <v>4635.45</v>
      </c>
      <c r="M827" s="112"/>
    </row>
    <row r="828" spans="1:16384" x14ac:dyDescent="0.2">
      <c r="A828" s="113" t="s">
        <v>22</v>
      </c>
      <c r="B828" s="113" t="s">
        <v>107</v>
      </c>
      <c r="C828" s="113" t="s">
        <v>223</v>
      </c>
      <c r="D828" s="114">
        <v>8079.98</v>
      </c>
      <c r="E828" s="115">
        <v>8079.98</v>
      </c>
      <c r="F828" s="115">
        <v>8079.98</v>
      </c>
      <c r="G828" s="115"/>
      <c r="H828" s="116"/>
      <c r="I828" s="114">
        <v>8035.37</v>
      </c>
      <c r="J828" s="115">
        <v>8035.37</v>
      </c>
      <c r="K828" s="115">
        <v>8035.37</v>
      </c>
      <c r="L828" s="115"/>
      <c r="M828" s="116"/>
    </row>
    <row r="829" spans="1:16384" x14ac:dyDescent="0.2">
      <c r="A829" t="s">
        <v>22</v>
      </c>
      <c r="B829" t="s">
        <v>107</v>
      </c>
      <c r="C829" t="s">
        <v>224</v>
      </c>
      <c r="D829" s="110">
        <v>4270.45</v>
      </c>
      <c r="E829" s="111">
        <v>4270.45</v>
      </c>
      <c r="F829" s="111"/>
      <c r="G829" s="111"/>
      <c r="H829" s="112"/>
      <c r="I829" s="110">
        <v>4035.45</v>
      </c>
      <c r="J829" s="111">
        <v>4220.45</v>
      </c>
      <c r="K829" s="111"/>
      <c r="L829" s="111"/>
      <c r="M829" s="112"/>
    </row>
    <row r="830" spans="1:16384" x14ac:dyDescent="0.2">
      <c r="A830" s="117" t="s">
        <v>22</v>
      </c>
      <c r="B830" s="117" t="s">
        <v>107</v>
      </c>
      <c r="C830" s="117" t="s">
        <v>225</v>
      </c>
      <c r="D830" s="118">
        <v>7192.95</v>
      </c>
      <c r="E830" s="119"/>
      <c r="F830" s="119"/>
      <c r="G830" s="119"/>
      <c r="H830" s="120"/>
      <c r="I830" s="118">
        <v>7182.95</v>
      </c>
      <c r="J830" s="119"/>
      <c r="K830" s="119"/>
      <c r="L830" s="119"/>
      <c r="M830" s="120"/>
    </row>
    <row r="831" spans="1:16384" x14ac:dyDescent="0.2">
      <c r="A831" t="s">
        <v>22</v>
      </c>
      <c r="B831" t="s">
        <v>108</v>
      </c>
      <c r="C831" t="s">
        <v>222</v>
      </c>
      <c r="D831" s="110">
        <v>5509</v>
      </c>
      <c r="E831" s="111">
        <v>5509</v>
      </c>
      <c r="F831" s="111">
        <v>5509</v>
      </c>
      <c r="G831" s="111">
        <v>5509</v>
      </c>
      <c r="H831" s="112"/>
      <c r="I831" s="110">
        <v>5509</v>
      </c>
      <c r="J831" s="111">
        <v>5509</v>
      </c>
      <c r="K831" s="111">
        <v>5509</v>
      </c>
      <c r="L831" s="111">
        <v>5509</v>
      </c>
      <c r="M831" s="112"/>
    </row>
    <row r="832" spans="1:16384" x14ac:dyDescent="0.2">
      <c r="A832" s="113" t="s">
        <v>22</v>
      </c>
      <c r="B832" s="113" t="s">
        <v>108</v>
      </c>
      <c r="C832" s="113" t="s">
        <v>223</v>
      </c>
      <c r="D832" s="114">
        <v>4280</v>
      </c>
      <c r="E832" s="115">
        <v>4280</v>
      </c>
      <c r="F832" s="115">
        <v>4280</v>
      </c>
      <c r="G832" s="115"/>
      <c r="H832" s="116"/>
      <c r="I832" s="114">
        <v>3935</v>
      </c>
      <c r="J832" s="115">
        <v>4280</v>
      </c>
      <c r="K832" s="115">
        <v>4280</v>
      </c>
      <c r="L832" s="115"/>
      <c r="M832" s="116"/>
    </row>
    <row r="833" spans="1:13" x14ac:dyDescent="0.2">
      <c r="A833" t="s">
        <v>22</v>
      </c>
      <c r="B833" t="s">
        <v>108</v>
      </c>
      <c r="C833" t="s">
        <v>224</v>
      </c>
      <c r="D833" s="110">
        <v>3894</v>
      </c>
      <c r="E833" s="111">
        <v>3725</v>
      </c>
      <c r="F833" s="111"/>
      <c r="G833" s="111"/>
      <c r="H833" s="112"/>
      <c r="I833" s="110">
        <v>3494</v>
      </c>
      <c r="J833" s="111">
        <v>3494</v>
      </c>
      <c r="K833" s="111"/>
      <c r="L833" s="111"/>
      <c r="M833" s="112"/>
    </row>
    <row r="834" spans="1:13" x14ac:dyDescent="0.2">
      <c r="A834" s="117" t="s">
        <v>22</v>
      </c>
      <c r="B834" s="117" t="s">
        <v>108</v>
      </c>
      <c r="C834" s="117" t="s">
        <v>225</v>
      </c>
      <c r="D834" s="118">
        <v>2988</v>
      </c>
      <c r="E834" s="119"/>
      <c r="F834" s="119"/>
      <c r="G834" s="119"/>
      <c r="H834" s="120"/>
      <c r="I834" s="118">
        <v>2988</v>
      </c>
      <c r="J834" s="119"/>
      <c r="K834" s="119"/>
      <c r="L834" s="119"/>
      <c r="M834" s="120"/>
    </row>
    <row r="835" spans="1:13" x14ac:dyDescent="0.2">
      <c r="A835" t="s">
        <v>22</v>
      </c>
      <c r="B835" t="s">
        <v>70</v>
      </c>
      <c r="C835" t="s">
        <v>222</v>
      </c>
      <c r="D835" s="110">
        <v>7150</v>
      </c>
      <c r="E835" s="111">
        <v>6742</v>
      </c>
      <c r="F835" s="111">
        <v>6742</v>
      </c>
      <c r="G835" s="111">
        <v>6742</v>
      </c>
      <c r="H835" s="112"/>
      <c r="I835" s="110">
        <v>6732</v>
      </c>
      <c r="J835" s="111">
        <v>6732</v>
      </c>
      <c r="K835" s="111">
        <v>6732</v>
      </c>
      <c r="L835" s="111">
        <v>6732</v>
      </c>
      <c r="M835" s="112"/>
    </row>
    <row r="836" spans="1:13" x14ac:dyDescent="0.2">
      <c r="A836" s="113" t="s">
        <v>22</v>
      </c>
      <c r="B836" s="113" t="s">
        <v>70</v>
      </c>
      <c r="C836" s="113" t="s">
        <v>223</v>
      </c>
      <c r="D836" s="114">
        <v>3844</v>
      </c>
      <c r="E836" s="115">
        <v>3844</v>
      </c>
      <c r="F836" s="115">
        <v>3844</v>
      </c>
      <c r="G836" s="115"/>
      <c r="H836" s="116"/>
      <c r="I836" s="114">
        <v>3694</v>
      </c>
      <c r="J836" s="115">
        <v>3694</v>
      </c>
      <c r="K836" s="115">
        <v>3694</v>
      </c>
      <c r="L836" s="115"/>
      <c r="M836" s="116"/>
    </row>
    <row r="837" spans="1:13" x14ac:dyDescent="0.2">
      <c r="A837" t="s">
        <v>22</v>
      </c>
      <c r="B837" t="s">
        <v>70</v>
      </c>
      <c r="C837" t="s">
        <v>224</v>
      </c>
      <c r="D837" s="110">
        <v>4157.5</v>
      </c>
      <c r="E837" s="111">
        <v>4157.5</v>
      </c>
      <c r="F837" s="111"/>
      <c r="G837" s="111"/>
      <c r="H837" s="112"/>
      <c r="I837" s="110">
        <v>3699.5</v>
      </c>
      <c r="J837" s="111">
        <v>3699.5</v>
      </c>
      <c r="K837" s="111"/>
      <c r="L837" s="111"/>
      <c r="M837" s="112"/>
    </row>
    <row r="838" spans="1:13" x14ac:dyDescent="0.2">
      <c r="A838" s="117" t="s">
        <v>22</v>
      </c>
      <c r="B838" s="117" t="s">
        <v>70</v>
      </c>
      <c r="C838" s="117" t="s">
        <v>225</v>
      </c>
      <c r="D838" s="118">
        <v>4026</v>
      </c>
      <c r="E838" s="119"/>
      <c r="F838" s="119"/>
      <c r="G838" s="119"/>
      <c r="H838" s="120"/>
      <c r="I838" s="118">
        <v>3558</v>
      </c>
      <c r="J838" s="119"/>
      <c r="K838" s="119"/>
      <c r="L838" s="119"/>
      <c r="M838" s="120"/>
    </row>
    <row r="839" spans="1:13" x14ac:dyDescent="0.2">
      <c r="A839" t="s">
        <v>22</v>
      </c>
      <c r="B839" t="s">
        <v>110</v>
      </c>
      <c r="C839" t="s">
        <v>222</v>
      </c>
      <c r="D839" s="110">
        <v>270615.96000000002</v>
      </c>
      <c r="E839" s="111">
        <v>274374.61</v>
      </c>
      <c r="F839" s="111">
        <v>273989.61</v>
      </c>
      <c r="G839" s="111">
        <v>273064.11</v>
      </c>
      <c r="H839" s="112"/>
      <c r="I839" s="110">
        <v>84788.21</v>
      </c>
      <c r="J839" s="111">
        <v>189006.11</v>
      </c>
      <c r="K839" s="111">
        <v>226421.11</v>
      </c>
      <c r="L839" s="111">
        <v>243082.36</v>
      </c>
      <c r="M839" s="112"/>
    </row>
    <row r="840" spans="1:13" x14ac:dyDescent="0.2">
      <c r="A840" s="113" t="s">
        <v>22</v>
      </c>
      <c r="B840" s="113" t="s">
        <v>110</v>
      </c>
      <c r="C840" s="113" t="s">
        <v>223</v>
      </c>
      <c r="D840" s="114">
        <v>198161.24</v>
      </c>
      <c r="E840" s="115">
        <v>201655.04000000001</v>
      </c>
      <c r="F840" s="115">
        <v>208407.87</v>
      </c>
      <c r="G840" s="115"/>
      <c r="H840" s="116"/>
      <c r="I840" s="114">
        <v>80102.740000000005</v>
      </c>
      <c r="J840" s="115">
        <v>115990.04</v>
      </c>
      <c r="K840" s="115">
        <v>165235.04</v>
      </c>
      <c r="L840" s="115"/>
      <c r="M840" s="116"/>
    </row>
    <row r="841" spans="1:13" x14ac:dyDescent="0.2">
      <c r="A841" t="s">
        <v>22</v>
      </c>
      <c r="B841" t="s">
        <v>110</v>
      </c>
      <c r="C841" t="s">
        <v>224</v>
      </c>
      <c r="D841" s="110">
        <v>125869.6</v>
      </c>
      <c r="E841" s="111">
        <v>138384.54999999999</v>
      </c>
      <c r="F841" s="111"/>
      <c r="G841" s="111"/>
      <c r="H841" s="112"/>
      <c r="I841" s="110">
        <v>43323.9</v>
      </c>
      <c r="J841" s="111">
        <v>76593.55</v>
      </c>
      <c r="K841" s="111"/>
      <c r="L841" s="111"/>
      <c r="M841" s="112"/>
    </row>
    <row r="842" spans="1:13" ht="13.5" thickBot="1" x14ac:dyDescent="0.25">
      <c r="A842" s="128" t="s">
        <v>22</v>
      </c>
      <c r="B842" s="128" t="s">
        <v>110</v>
      </c>
      <c r="C842" s="128" t="s">
        <v>225</v>
      </c>
      <c r="D842" s="129">
        <v>152728.79999999999</v>
      </c>
      <c r="E842" s="130"/>
      <c r="F842" s="130"/>
      <c r="G842" s="130"/>
      <c r="H842" s="131"/>
      <c r="I842" s="129">
        <v>50322.75</v>
      </c>
      <c r="J842" s="130"/>
      <c r="K842" s="130"/>
      <c r="L842" s="130"/>
      <c r="M842" s="131"/>
    </row>
    <row r="843" spans="1:13" x14ac:dyDescent="0.2">
      <c r="A843" s="132" t="s">
        <v>23</v>
      </c>
      <c r="B843" s="132" t="s">
        <v>104</v>
      </c>
      <c r="C843" s="132" t="s">
        <v>222</v>
      </c>
      <c r="D843" s="133">
        <v>57860.62</v>
      </c>
      <c r="E843" s="134">
        <v>57860.62</v>
      </c>
      <c r="F843" s="134">
        <v>57860.62</v>
      </c>
      <c r="G843" s="134">
        <v>57260.62</v>
      </c>
      <c r="H843" s="135"/>
      <c r="I843" s="133">
        <v>1910.26</v>
      </c>
      <c r="J843" s="134">
        <v>4446.42</v>
      </c>
      <c r="K843" s="134">
        <v>7591.44</v>
      </c>
      <c r="L843" s="134">
        <v>10841.25</v>
      </c>
      <c r="M843" s="135"/>
    </row>
    <row r="844" spans="1:13" x14ac:dyDescent="0.2">
      <c r="A844" s="113" t="s">
        <v>23</v>
      </c>
      <c r="B844" s="113" t="s">
        <v>104</v>
      </c>
      <c r="C844" s="113" t="s">
        <v>223</v>
      </c>
      <c r="D844" s="114">
        <v>62111.05</v>
      </c>
      <c r="E844" s="115">
        <v>62111.05</v>
      </c>
      <c r="F844" s="115">
        <v>61811.05</v>
      </c>
      <c r="G844" s="115"/>
      <c r="H844" s="116"/>
      <c r="I844" s="114">
        <v>1599.28</v>
      </c>
      <c r="J844" s="115">
        <v>2438.7600000000002</v>
      </c>
      <c r="K844" s="115">
        <v>4415.38</v>
      </c>
      <c r="L844" s="115"/>
      <c r="M844" s="116"/>
    </row>
    <row r="845" spans="1:13" x14ac:dyDescent="0.2">
      <c r="A845" t="s">
        <v>23</v>
      </c>
      <c r="B845" t="s">
        <v>104</v>
      </c>
      <c r="C845" t="s">
        <v>224</v>
      </c>
      <c r="D845" s="110">
        <v>17571.7</v>
      </c>
      <c r="E845" s="111">
        <v>17771.7</v>
      </c>
      <c r="F845" s="111"/>
      <c r="G845" s="111"/>
      <c r="H845" s="112"/>
      <c r="I845" s="110">
        <v>1152.7</v>
      </c>
      <c r="J845" s="111">
        <v>1609.64</v>
      </c>
      <c r="K845" s="111"/>
      <c r="L845" s="111"/>
      <c r="M845" s="112"/>
    </row>
    <row r="846" spans="1:13" x14ac:dyDescent="0.2">
      <c r="A846" s="117" t="s">
        <v>23</v>
      </c>
      <c r="B846" s="117" t="s">
        <v>104</v>
      </c>
      <c r="C846" s="117" t="s">
        <v>225</v>
      </c>
      <c r="D846" s="118">
        <v>41187</v>
      </c>
      <c r="E846" s="119"/>
      <c r="F846" s="119"/>
      <c r="G846" s="119"/>
      <c r="H846" s="120"/>
      <c r="I846" s="118">
        <v>3338.15</v>
      </c>
      <c r="J846" s="119"/>
      <c r="K846" s="119"/>
      <c r="L846" s="119"/>
      <c r="M846" s="120"/>
    </row>
    <row r="847" spans="1:13" x14ac:dyDescent="0.2">
      <c r="A847" t="s">
        <v>23</v>
      </c>
      <c r="B847" t="s">
        <v>140</v>
      </c>
      <c r="C847" t="s">
        <v>222</v>
      </c>
      <c r="D847" s="110"/>
      <c r="E847" s="111"/>
      <c r="F847" s="111"/>
      <c r="G847" s="111"/>
      <c r="H847" s="112"/>
      <c r="I847" s="110"/>
      <c r="J847" s="111"/>
      <c r="K847" s="111"/>
      <c r="L847" s="111"/>
      <c r="M847" s="112"/>
    </row>
    <row r="848" spans="1:13" x14ac:dyDescent="0.2">
      <c r="A848" s="113" t="s">
        <v>23</v>
      </c>
      <c r="B848" s="113" t="s">
        <v>140</v>
      </c>
      <c r="C848" s="113" t="s">
        <v>223</v>
      </c>
      <c r="D848" s="114"/>
      <c r="E848" s="115"/>
      <c r="F848" s="115"/>
      <c r="G848" s="115"/>
      <c r="H848" s="116"/>
      <c r="I848" s="114"/>
      <c r="J848" s="115"/>
      <c r="K848" s="115"/>
      <c r="L848" s="115"/>
      <c r="M848" s="116"/>
    </row>
    <row r="849" spans="1:13" x14ac:dyDescent="0.2">
      <c r="A849" t="s">
        <v>23</v>
      </c>
      <c r="B849" t="s">
        <v>140</v>
      </c>
      <c r="C849" t="s">
        <v>224</v>
      </c>
      <c r="D849" s="110"/>
      <c r="E849" s="111"/>
      <c r="F849" s="111"/>
      <c r="G849" s="111"/>
      <c r="H849" s="112"/>
      <c r="I849" s="110"/>
      <c r="J849" s="111"/>
      <c r="K849" s="111"/>
      <c r="L849" s="111"/>
      <c r="M849" s="112"/>
    </row>
    <row r="850" spans="1:13" x14ac:dyDescent="0.2">
      <c r="A850" s="117" t="s">
        <v>23</v>
      </c>
      <c r="B850" s="117" t="s">
        <v>140</v>
      </c>
      <c r="C850" s="117" t="s">
        <v>225</v>
      </c>
      <c r="D850" s="118"/>
      <c r="E850" s="119"/>
      <c r="F850" s="119"/>
      <c r="G850" s="119"/>
      <c r="H850" s="120"/>
      <c r="I850" s="118"/>
      <c r="J850" s="119"/>
      <c r="K850" s="119"/>
      <c r="L850" s="119"/>
      <c r="M850" s="120"/>
    </row>
    <row r="851" spans="1:13" x14ac:dyDescent="0.2">
      <c r="A851" t="s">
        <v>23</v>
      </c>
      <c r="B851" t="s">
        <v>105</v>
      </c>
      <c r="C851" t="s">
        <v>222</v>
      </c>
      <c r="D851" s="110">
        <v>28872.9</v>
      </c>
      <c r="E851" s="111">
        <v>28847.9</v>
      </c>
      <c r="F851" s="111">
        <v>28847.9</v>
      </c>
      <c r="G851" s="111">
        <v>28847.9</v>
      </c>
      <c r="H851" s="112"/>
      <c r="I851" s="110">
        <v>9283.5</v>
      </c>
      <c r="J851" s="111">
        <v>13794.5</v>
      </c>
      <c r="K851" s="111">
        <v>15532.5</v>
      </c>
      <c r="L851" s="111">
        <v>15532.5</v>
      </c>
      <c r="M851" s="112"/>
    </row>
    <row r="852" spans="1:13" x14ac:dyDescent="0.2">
      <c r="A852" s="113" t="s">
        <v>23</v>
      </c>
      <c r="B852" s="113" t="s">
        <v>105</v>
      </c>
      <c r="C852" s="113" t="s">
        <v>223</v>
      </c>
      <c r="D852" s="114">
        <v>27408.74</v>
      </c>
      <c r="E852" s="115">
        <v>27408.74</v>
      </c>
      <c r="F852" s="115">
        <v>27158.74</v>
      </c>
      <c r="G852" s="115"/>
      <c r="H852" s="116"/>
      <c r="I852" s="114">
        <v>8768</v>
      </c>
      <c r="J852" s="115">
        <v>13654.5</v>
      </c>
      <c r="K852" s="115">
        <v>16131</v>
      </c>
      <c r="L852" s="115"/>
      <c r="M852" s="116"/>
    </row>
    <row r="853" spans="1:13" x14ac:dyDescent="0.2">
      <c r="A853" t="s">
        <v>23</v>
      </c>
      <c r="B853" t="s">
        <v>105</v>
      </c>
      <c r="C853" t="s">
        <v>224</v>
      </c>
      <c r="D853" s="110">
        <v>11030</v>
      </c>
      <c r="E853" s="111">
        <v>9758</v>
      </c>
      <c r="F853" s="111"/>
      <c r="G853" s="111"/>
      <c r="H853" s="112"/>
      <c r="I853" s="110">
        <v>3344</v>
      </c>
      <c r="J853" s="111">
        <v>4270.5200000000004</v>
      </c>
      <c r="K853" s="111"/>
      <c r="L853" s="111"/>
      <c r="M853" s="112"/>
    </row>
    <row r="854" spans="1:13" x14ac:dyDescent="0.2">
      <c r="A854" s="117" t="s">
        <v>23</v>
      </c>
      <c r="B854" s="117" t="s">
        <v>105</v>
      </c>
      <c r="C854" s="117" t="s">
        <v>225</v>
      </c>
      <c r="D854" s="118">
        <v>25979.4</v>
      </c>
      <c r="E854" s="119"/>
      <c r="F854" s="119"/>
      <c r="G854" s="119"/>
      <c r="H854" s="120"/>
      <c r="I854" s="118">
        <v>12618.86</v>
      </c>
      <c r="J854" s="119"/>
      <c r="K854" s="119"/>
      <c r="L854" s="119"/>
      <c r="M854" s="120"/>
    </row>
    <row r="855" spans="1:13" x14ac:dyDescent="0.2">
      <c r="A855" t="s">
        <v>23</v>
      </c>
      <c r="B855" t="s">
        <v>111</v>
      </c>
      <c r="C855" t="s">
        <v>222</v>
      </c>
      <c r="D855" s="110">
        <v>360</v>
      </c>
      <c r="E855" s="111">
        <v>360</v>
      </c>
      <c r="F855" s="111">
        <v>360</v>
      </c>
      <c r="G855" s="111">
        <v>360</v>
      </c>
      <c r="H855" s="112"/>
      <c r="I855" s="110">
        <v>0</v>
      </c>
      <c r="J855" s="111">
        <v>0</v>
      </c>
      <c r="K855" s="111">
        <v>0</v>
      </c>
      <c r="L855" s="111">
        <v>0</v>
      </c>
      <c r="M855" s="112"/>
    </row>
    <row r="856" spans="1:13" x14ac:dyDescent="0.2">
      <c r="A856" s="113" t="s">
        <v>23</v>
      </c>
      <c r="B856" s="113" t="s">
        <v>111</v>
      </c>
      <c r="C856" s="113" t="s">
        <v>223</v>
      </c>
      <c r="D856" s="114">
        <v>0</v>
      </c>
      <c r="E856" s="115">
        <v>0</v>
      </c>
      <c r="F856" s="115">
        <v>0</v>
      </c>
      <c r="G856" s="115"/>
      <c r="H856" s="116"/>
      <c r="I856" s="114">
        <v>0</v>
      </c>
      <c r="J856" s="115">
        <v>0</v>
      </c>
      <c r="K856" s="115">
        <v>0</v>
      </c>
      <c r="L856" s="115"/>
      <c r="M856" s="116"/>
    </row>
    <row r="857" spans="1:13" x14ac:dyDescent="0.2">
      <c r="A857" t="s">
        <v>23</v>
      </c>
      <c r="B857" t="s">
        <v>111</v>
      </c>
      <c r="C857" t="s">
        <v>224</v>
      </c>
      <c r="D857" s="110">
        <v>0</v>
      </c>
      <c r="E857" s="111">
        <v>0</v>
      </c>
      <c r="F857" s="111"/>
      <c r="G857" s="111"/>
      <c r="H857" s="112"/>
      <c r="I857" s="110">
        <v>0</v>
      </c>
      <c r="J857" s="111">
        <v>0</v>
      </c>
      <c r="K857" s="111"/>
      <c r="L857" s="111"/>
      <c r="M857" s="112"/>
    </row>
    <row r="858" spans="1:13" x14ac:dyDescent="0.2">
      <c r="A858" s="117" t="s">
        <v>23</v>
      </c>
      <c r="B858" s="117" t="s">
        <v>111</v>
      </c>
      <c r="C858" s="117" t="s">
        <v>225</v>
      </c>
      <c r="D858" s="118">
        <v>420</v>
      </c>
      <c r="E858" s="119"/>
      <c r="F858" s="119"/>
      <c r="G858" s="119"/>
      <c r="H858" s="120"/>
      <c r="I858" s="118">
        <v>250</v>
      </c>
      <c r="J858" s="119"/>
      <c r="K858" s="119"/>
      <c r="L858" s="119"/>
      <c r="M858" s="120"/>
    </row>
    <row r="859" spans="1:13" x14ac:dyDescent="0.2">
      <c r="A859" s="124" t="s">
        <v>23</v>
      </c>
      <c r="B859" s="124" t="s">
        <v>109</v>
      </c>
      <c r="C859" s="124" t="s">
        <v>222</v>
      </c>
      <c r="D859" s="125">
        <v>11555</v>
      </c>
      <c r="E859" s="126">
        <v>11555</v>
      </c>
      <c r="F859" s="126">
        <v>11555</v>
      </c>
      <c r="G859" s="126">
        <v>11555</v>
      </c>
      <c r="H859" s="127"/>
      <c r="I859" s="125">
        <v>4112</v>
      </c>
      <c r="J859" s="126">
        <v>5148</v>
      </c>
      <c r="K859" s="126">
        <v>5206</v>
      </c>
      <c r="L859" s="126">
        <v>5206</v>
      </c>
      <c r="M859" s="127"/>
    </row>
    <row r="860" spans="1:13" x14ac:dyDescent="0.2">
      <c r="A860" s="113" t="s">
        <v>23</v>
      </c>
      <c r="B860" s="113" t="s">
        <v>109</v>
      </c>
      <c r="C860" s="113" t="s">
        <v>223</v>
      </c>
      <c r="D860" s="114">
        <v>18412.740000000002</v>
      </c>
      <c r="E860" s="115">
        <v>18412.740000000002</v>
      </c>
      <c r="F860" s="115">
        <v>18412.740000000002</v>
      </c>
      <c r="G860" s="115"/>
      <c r="H860" s="116"/>
      <c r="I860" s="114">
        <v>3288</v>
      </c>
      <c r="J860" s="115">
        <v>4696</v>
      </c>
      <c r="K860" s="115">
        <v>7257</v>
      </c>
      <c r="L860" s="115"/>
      <c r="M860" s="116"/>
    </row>
    <row r="861" spans="1:13" x14ac:dyDescent="0.2">
      <c r="A861" t="s">
        <v>23</v>
      </c>
      <c r="B861" t="s">
        <v>109</v>
      </c>
      <c r="C861" t="s">
        <v>224</v>
      </c>
      <c r="D861" s="110">
        <v>2008</v>
      </c>
      <c r="E861" s="111">
        <v>2008</v>
      </c>
      <c r="F861" s="111"/>
      <c r="G861" s="111"/>
      <c r="H861" s="112"/>
      <c r="I861" s="110">
        <v>300</v>
      </c>
      <c r="J861" s="111">
        <v>1200</v>
      </c>
      <c r="K861" s="111"/>
      <c r="L861" s="111"/>
      <c r="M861" s="112"/>
    </row>
    <row r="862" spans="1:13" x14ac:dyDescent="0.2">
      <c r="A862" s="117" t="s">
        <v>23</v>
      </c>
      <c r="B862" s="117" t="s">
        <v>109</v>
      </c>
      <c r="C862" s="117" t="s">
        <v>225</v>
      </c>
      <c r="D862" s="118">
        <v>7452</v>
      </c>
      <c r="E862" s="119"/>
      <c r="F862" s="119"/>
      <c r="G862" s="119"/>
      <c r="H862" s="120"/>
      <c r="I862" s="118">
        <v>3055.6</v>
      </c>
      <c r="J862" s="119"/>
      <c r="K862" s="119"/>
      <c r="L862" s="119"/>
      <c r="M862" s="120"/>
    </row>
    <row r="863" spans="1:13" x14ac:dyDescent="0.2">
      <c r="A863" t="s">
        <v>23</v>
      </c>
      <c r="B863" t="s">
        <v>106</v>
      </c>
      <c r="C863" t="s">
        <v>222</v>
      </c>
      <c r="D863" s="110">
        <v>33802.5</v>
      </c>
      <c r="E863" s="111">
        <v>33802.5</v>
      </c>
      <c r="F863" s="111">
        <v>33802.5</v>
      </c>
      <c r="G863" s="111">
        <v>33802.5</v>
      </c>
      <c r="H863" s="112"/>
      <c r="I863" s="110">
        <v>33752.5</v>
      </c>
      <c r="J863" s="111">
        <v>33752.5</v>
      </c>
      <c r="K863" s="111">
        <v>33752.5</v>
      </c>
      <c r="L863" s="111">
        <v>33752.5</v>
      </c>
      <c r="M863" s="112"/>
    </row>
    <row r="864" spans="1:13" x14ac:dyDescent="0.2">
      <c r="A864" s="113" t="s">
        <v>23</v>
      </c>
      <c r="B864" s="113" t="s">
        <v>106</v>
      </c>
      <c r="C864" s="113" t="s">
        <v>223</v>
      </c>
      <c r="D864" s="114">
        <v>26714.5</v>
      </c>
      <c r="E864" s="115">
        <v>26314.5</v>
      </c>
      <c r="F864" s="115">
        <v>26314.5</v>
      </c>
      <c r="G864" s="115"/>
      <c r="H864" s="116"/>
      <c r="I864" s="114">
        <v>24214.5</v>
      </c>
      <c r="J864" s="115">
        <v>24214.5</v>
      </c>
      <c r="K864" s="115">
        <v>24214.5</v>
      </c>
      <c r="L864" s="115"/>
      <c r="M864" s="116"/>
    </row>
    <row r="865" spans="1:13" x14ac:dyDescent="0.2">
      <c r="A865" t="s">
        <v>23</v>
      </c>
      <c r="B865" t="s">
        <v>106</v>
      </c>
      <c r="C865" t="s">
        <v>224</v>
      </c>
      <c r="D865" s="110">
        <v>22785.5</v>
      </c>
      <c r="E865" s="111">
        <v>22785.5</v>
      </c>
      <c r="F865" s="111"/>
      <c r="G865" s="111"/>
      <c r="H865" s="112"/>
      <c r="I865" s="110">
        <v>20780.5</v>
      </c>
      <c r="J865" s="111">
        <v>21190.5</v>
      </c>
      <c r="K865" s="111"/>
      <c r="L865" s="111"/>
      <c r="M865" s="112"/>
    </row>
    <row r="866" spans="1:13" x14ac:dyDescent="0.2">
      <c r="A866" s="117" t="s">
        <v>23</v>
      </c>
      <c r="B866" s="117" t="s">
        <v>106</v>
      </c>
      <c r="C866" s="117" t="s">
        <v>225</v>
      </c>
      <c r="D866" s="118">
        <v>8937</v>
      </c>
      <c r="E866" s="119"/>
      <c r="F866" s="119"/>
      <c r="G866" s="119"/>
      <c r="H866" s="120"/>
      <c r="I866" s="118">
        <v>8937</v>
      </c>
      <c r="J866" s="119"/>
      <c r="K866" s="119"/>
      <c r="L866" s="119"/>
      <c r="M866" s="120"/>
    </row>
    <row r="867" spans="1:13" x14ac:dyDescent="0.2">
      <c r="A867" t="s">
        <v>23</v>
      </c>
      <c r="B867" t="s">
        <v>107</v>
      </c>
      <c r="C867" t="s">
        <v>222</v>
      </c>
      <c r="D867" s="110">
        <v>16324</v>
      </c>
      <c r="E867" s="111">
        <v>16334</v>
      </c>
      <c r="F867" s="111">
        <v>16334</v>
      </c>
      <c r="G867" s="111">
        <v>16334</v>
      </c>
      <c r="H867" s="112"/>
      <c r="I867" s="110">
        <v>15944</v>
      </c>
      <c r="J867" s="111">
        <v>15964</v>
      </c>
      <c r="K867" s="111">
        <v>15964</v>
      </c>
      <c r="L867" s="111">
        <v>15964</v>
      </c>
      <c r="M867" s="112"/>
    </row>
    <row r="868" spans="1:13" x14ac:dyDescent="0.2">
      <c r="A868" s="113" t="s">
        <v>23</v>
      </c>
      <c r="B868" s="113" t="s">
        <v>107</v>
      </c>
      <c r="C868" s="113" t="s">
        <v>223</v>
      </c>
      <c r="D868" s="114">
        <v>16969.5</v>
      </c>
      <c r="E868" s="115">
        <v>16969.5</v>
      </c>
      <c r="F868" s="115">
        <v>16969.5</v>
      </c>
      <c r="G868" s="115"/>
      <c r="H868" s="116"/>
      <c r="I868" s="114">
        <v>16969.5</v>
      </c>
      <c r="J868" s="115">
        <v>16969.5</v>
      </c>
      <c r="K868" s="115">
        <v>16969.5</v>
      </c>
      <c r="L868" s="115"/>
      <c r="M868" s="116"/>
    </row>
    <row r="869" spans="1:13" x14ac:dyDescent="0.2">
      <c r="A869" t="s">
        <v>23</v>
      </c>
      <c r="B869" t="s">
        <v>107</v>
      </c>
      <c r="C869" t="s">
        <v>224</v>
      </c>
      <c r="D869" s="110">
        <v>10791</v>
      </c>
      <c r="E869" s="111">
        <v>10791</v>
      </c>
      <c r="F869" s="111"/>
      <c r="G869" s="111"/>
      <c r="H869" s="112"/>
      <c r="I869" s="110">
        <v>10791</v>
      </c>
      <c r="J869" s="111">
        <v>10791</v>
      </c>
      <c r="K869" s="111"/>
      <c r="L869" s="111"/>
      <c r="M869" s="112"/>
    </row>
    <row r="870" spans="1:13" x14ac:dyDescent="0.2">
      <c r="A870" s="117" t="s">
        <v>23</v>
      </c>
      <c r="B870" s="117" t="s">
        <v>107</v>
      </c>
      <c r="C870" s="117" t="s">
        <v>225</v>
      </c>
      <c r="D870" s="118">
        <v>10809.75</v>
      </c>
      <c r="E870" s="119"/>
      <c r="F870" s="119"/>
      <c r="G870" s="119"/>
      <c r="H870" s="120"/>
      <c r="I870" s="118">
        <v>10679.75</v>
      </c>
      <c r="J870" s="119"/>
      <c r="K870" s="119"/>
      <c r="L870" s="119"/>
      <c r="M870" s="120"/>
    </row>
    <row r="871" spans="1:13" x14ac:dyDescent="0.2">
      <c r="A871" t="s">
        <v>23</v>
      </c>
      <c r="B871" t="s">
        <v>108</v>
      </c>
      <c r="C871" t="s">
        <v>222</v>
      </c>
      <c r="D871" s="110">
        <v>6001.3</v>
      </c>
      <c r="E871" s="111">
        <v>6001.3</v>
      </c>
      <c r="F871" s="111">
        <v>6001.3</v>
      </c>
      <c r="G871" s="111">
        <v>6001.3</v>
      </c>
      <c r="H871" s="112"/>
      <c r="I871" s="110">
        <v>5997.3</v>
      </c>
      <c r="J871" s="111">
        <v>6001.3</v>
      </c>
      <c r="K871" s="111">
        <v>6001.3</v>
      </c>
      <c r="L871" s="111">
        <v>6001.3</v>
      </c>
      <c r="M871" s="112"/>
    </row>
    <row r="872" spans="1:13" x14ac:dyDescent="0.2">
      <c r="A872" s="113" t="s">
        <v>23</v>
      </c>
      <c r="B872" s="113" t="s">
        <v>108</v>
      </c>
      <c r="C872" s="113" t="s">
        <v>223</v>
      </c>
      <c r="D872" s="114">
        <v>5912</v>
      </c>
      <c r="E872" s="115">
        <v>5912</v>
      </c>
      <c r="F872" s="115">
        <v>5912</v>
      </c>
      <c r="G872" s="115"/>
      <c r="H872" s="116"/>
      <c r="I872" s="114">
        <v>5912</v>
      </c>
      <c r="J872" s="115">
        <v>5912</v>
      </c>
      <c r="K872" s="115">
        <v>5912</v>
      </c>
      <c r="L872" s="115"/>
      <c r="M872" s="116"/>
    </row>
    <row r="873" spans="1:13" x14ac:dyDescent="0.2">
      <c r="A873" t="s">
        <v>23</v>
      </c>
      <c r="B873" t="s">
        <v>108</v>
      </c>
      <c r="C873" t="s">
        <v>224</v>
      </c>
      <c r="D873" s="110">
        <v>8538.5</v>
      </c>
      <c r="E873" s="111">
        <v>8538.5</v>
      </c>
      <c r="F873" s="111"/>
      <c r="G873" s="111"/>
      <c r="H873" s="112"/>
      <c r="I873" s="110">
        <v>8538.5</v>
      </c>
      <c r="J873" s="111">
        <v>8538.5</v>
      </c>
      <c r="K873" s="111"/>
      <c r="L873" s="111"/>
      <c r="M873" s="112"/>
    </row>
    <row r="874" spans="1:13" x14ac:dyDescent="0.2">
      <c r="A874" s="117" t="s">
        <v>23</v>
      </c>
      <c r="B874" s="117" t="s">
        <v>108</v>
      </c>
      <c r="C874" s="117" t="s">
        <v>225</v>
      </c>
      <c r="D874" s="118">
        <v>9412</v>
      </c>
      <c r="E874" s="119"/>
      <c r="F874" s="119"/>
      <c r="G874" s="119"/>
      <c r="H874" s="120"/>
      <c r="I874" s="118">
        <v>9012</v>
      </c>
      <c r="J874" s="119"/>
      <c r="K874" s="119"/>
      <c r="L874" s="119"/>
      <c r="M874" s="120"/>
    </row>
    <row r="875" spans="1:13" x14ac:dyDescent="0.2">
      <c r="A875" t="s">
        <v>23</v>
      </c>
      <c r="B875" t="s">
        <v>70</v>
      </c>
      <c r="C875" t="s">
        <v>222</v>
      </c>
      <c r="D875" s="110">
        <v>6277</v>
      </c>
      <c r="E875" s="111">
        <v>5869</v>
      </c>
      <c r="F875" s="111">
        <v>5869</v>
      </c>
      <c r="G875" s="111">
        <v>5869</v>
      </c>
      <c r="H875" s="112"/>
      <c r="I875" s="110">
        <v>5859</v>
      </c>
      <c r="J875" s="111">
        <v>5869</v>
      </c>
      <c r="K875" s="111">
        <v>5869</v>
      </c>
      <c r="L875" s="111">
        <v>5869</v>
      </c>
      <c r="M875" s="112"/>
    </row>
    <row r="876" spans="1:13" x14ac:dyDescent="0.2">
      <c r="A876" s="113" t="s">
        <v>23</v>
      </c>
      <c r="B876" s="113" t="s">
        <v>70</v>
      </c>
      <c r="C876" s="113" t="s">
        <v>223</v>
      </c>
      <c r="D876" s="114">
        <v>3541</v>
      </c>
      <c r="E876" s="115">
        <v>3541</v>
      </c>
      <c r="F876" s="115">
        <v>3591</v>
      </c>
      <c r="G876" s="115"/>
      <c r="H876" s="116"/>
      <c r="I876" s="114">
        <v>3041</v>
      </c>
      <c r="J876" s="115">
        <v>3041</v>
      </c>
      <c r="K876" s="115">
        <v>3041</v>
      </c>
      <c r="L876" s="115"/>
      <c r="M876" s="116"/>
    </row>
    <row r="877" spans="1:13" x14ac:dyDescent="0.2">
      <c r="A877" t="s">
        <v>23</v>
      </c>
      <c r="B877" t="s">
        <v>70</v>
      </c>
      <c r="C877" t="s">
        <v>224</v>
      </c>
      <c r="D877" s="110">
        <v>9959</v>
      </c>
      <c r="E877" s="111">
        <v>9959</v>
      </c>
      <c r="F877" s="111"/>
      <c r="G877" s="111"/>
      <c r="H877" s="112"/>
      <c r="I877" s="110">
        <v>9551</v>
      </c>
      <c r="J877" s="111">
        <v>9959</v>
      </c>
      <c r="K877" s="111"/>
      <c r="L877" s="111"/>
      <c r="M877" s="112"/>
    </row>
    <row r="878" spans="1:13" x14ac:dyDescent="0.2">
      <c r="A878" s="117" t="s">
        <v>23</v>
      </c>
      <c r="B878" s="117" t="s">
        <v>70</v>
      </c>
      <c r="C878" s="117" t="s">
        <v>225</v>
      </c>
      <c r="D878" s="118">
        <v>13850.9</v>
      </c>
      <c r="E878" s="119"/>
      <c r="F878" s="119"/>
      <c r="G878" s="119"/>
      <c r="H878" s="120"/>
      <c r="I878" s="118">
        <v>13547.75</v>
      </c>
      <c r="J878" s="119"/>
      <c r="K878" s="119"/>
      <c r="L878" s="119"/>
      <c r="M878" s="120"/>
    </row>
    <row r="879" spans="1:13" x14ac:dyDescent="0.2">
      <c r="A879" t="s">
        <v>23</v>
      </c>
      <c r="B879" t="s">
        <v>110</v>
      </c>
      <c r="C879" t="s">
        <v>222</v>
      </c>
      <c r="D879" s="110">
        <v>11235.35</v>
      </c>
      <c r="E879" s="111">
        <v>11102.35</v>
      </c>
      <c r="F879" s="111">
        <v>11102.35</v>
      </c>
      <c r="G879" s="111">
        <v>11102.35</v>
      </c>
      <c r="H879" s="112"/>
      <c r="I879" s="110">
        <v>5030.8500000000004</v>
      </c>
      <c r="J879" s="111">
        <v>7890.85</v>
      </c>
      <c r="K879" s="111">
        <v>8271.85</v>
      </c>
      <c r="L879" s="111">
        <v>8317.85</v>
      </c>
      <c r="M879" s="112"/>
    </row>
    <row r="880" spans="1:13" x14ac:dyDescent="0.2">
      <c r="A880" s="113" t="s">
        <v>23</v>
      </c>
      <c r="B880" s="113" t="s">
        <v>110</v>
      </c>
      <c r="C880" s="113" t="s">
        <v>223</v>
      </c>
      <c r="D880" s="114">
        <v>17058.55</v>
      </c>
      <c r="E880" s="115">
        <v>17027.05</v>
      </c>
      <c r="F880" s="115">
        <v>16771.05</v>
      </c>
      <c r="G880" s="115"/>
      <c r="H880" s="116"/>
      <c r="I880" s="114">
        <v>8173.55</v>
      </c>
      <c r="J880" s="115">
        <v>11353.05</v>
      </c>
      <c r="K880" s="115">
        <v>12703.05</v>
      </c>
      <c r="L880" s="115"/>
      <c r="M880" s="116"/>
    </row>
    <row r="881" spans="1:13" x14ac:dyDescent="0.2">
      <c r="A881" t="s">
        <v>23</v>
      </c>
      <c r="B881" t="s">
        <v>110</v>
      </c>
      <c r="C881" t="s">
        <v>224</v>
      </c>
      <c r="D881" s="110">
        <v>13187.4</v>
      </c>
      <c r="E881" s="111">
        <v>12728.9</v>
      </c>
      <c r="F881" s="111"/>
      <c r="G881" s="111"/>
      <c r="H881" s="112"/>
      <c r="I881" s="110">
        <v>4596.3999999999996</v>
      </c>
      <c r="J881" s="111">
        <v>9071.9</v>
      </c>
      <c r="K881" s="111"/>
      <c r="L881" s="111"/>
      <c r="M881" s="112"/>
    </row>
    <row r="882" spans="1:13" ht="13.5" thickBot="1" x14ac:dyDescent="0.25">
      <c r="A882" s="128" t="s">
        <v>23</v>
      </c>
      <c r="B882" s="128" t="s">
        <v>110</v>
      </c>
      <c r="C882" s="128" t="s">
        <v>225</v>
      </c>
      <c r="D882" s="129">
        <v>22173.9</v>
      </c>
      <c r="E882" s="130"/>
      <c r="F882" s="130"/>
      <c r="G882" s="130"/>
      <c r="H882" s="131"/>
      <c r="I882" s="129">
        <v>8000.9</v>
      </c>
      <c r="J882" s="130"/>
      <c r="K882" s="130"/>
      <c r="L882" s="130"/>
      <c r="M882" s="131"/>
    </row>
    <row r="883" spans="1:13" x14ac:dyDescent="0.2">
      <c r="A883" s="132" t="s">
        <v>24</v>
      </c>
      <c r="B883" s="132" t="s">
        <v>104</v>
      </c>
      <c r="C883" s="132" t="s">
        <v>222</v>
      </c>
      <c r="D883" s="133">
        <v>101368</v>
      </c>
      <c r="E883" s="134">
        <v>101368</v>
      </c>
      <c r="F883" s="134">
        <v>101368</v>
      </c>
      <c r="G883" s="134">
        <v>101368</v>
      </c>
      <c r="H883" s="135"/>
      <c r="I883" s="133">
        <v>13564.58</v>
      </c>
      <c r="J883" s="134">
        <v>19281.37</v>
      </c>
      <c r="K883" s="134">
        <v>24907.279999999999</v>
      </c>
      <c r="L883" s="134">
        <v>27489.78</v>
      </c>
      <c r="M883" s="135"/>
    </row>
    <row r="884" spans="1:13" x14ac:dyDescent="0.2">
      <c r="A884" s="113" t="s">
        <v>24</v>
      </c>
      <c r="B884" s="113" t="s">
        <v>104</v>
      </c>
      <c r="C884" s="113" t="s">
        <v>223</v>
      </c>
      <c r="D884" s="114">
        <v>165290.5</v>
      </c>
      <c r="E884" s="115">
        <v>165281.5</v>
      </c>
      <c r="F884" s="115">
        <v>165281.5</v>
      </c>
      <c r="G884" s="115"/>
      <c r="H884" s="116"/>
      <c r="I884" s="114">
        <v>14929.45</v>
      </c>
      <c r="J884" s="115">
        <v>20850.61</v>
      </c>
      <c r="K884" s="115">
        <v>24316.15</v>
      </c>
      <c r="L884" s="115"/>
      <c r="M884" s="116"/>
    </row>
    <row r="885" spans="1:13" x14ac:dyDescent="0.2">
      <c r="A885" t="s">
        <v>24</v>
      </c>
      <c r="B885" t="s">
        <v>104</v>
      </c>
      <c r="C885" t="s">
        <v>224</v>
      </c>
      <c r="D885" s="110">
        <v>20891</v>
      </c>
      <c r="E885" s="111">
        <v>20891</v>
      </c>
      <c r="F885" s="111"/>
      <c r="G885" s="111"/>
      <c r="H885" s="112"/>
      <c r="I885" s="110">
        <v>3841.96</v>
      </c>
      <c r="J885" s="111">
        <v>4465.18</v>
      </c>
      <c r="K885" s="111"/>
      <c r="L885" s="111"/>
      <c r="M885" s="112"/>
    </row>
    <row r="886" spans="1:13" x14ac:dyDescent="0.2">
      <c r="A886" s="117" t="s">
        <v>24</v>
      </c>
      <c r="B886" s="117" t="s">
        <v>104</v>
      </c>
      <c r="C886" s="117" t="s">
        <v>225</v>
      </c>
      <c r="D886" s="118">
        <v>18901</v>
      </c>
      <c r="E886" s="119"/>
      <c r="F886" s="119"/>
      <c r="G886" s="119"/>
      <c r="H886" s="120"/>
      <c r="I886" s="118">
        <v>134.93</v>
      </c>
      <c r="J886" s="119"/>
      <c r="K886" s="119"/>
      <c r="L886" s="119"/>
      <c r="M886" s="120"/>
    </row>
    <row r="887" spans="1:13" x14ac:dyDescent="0.2">
      <c r="A887" t="s">
        <v>24</v>
      </c>
      <c r="B887" t="s">
        <v>140</v>
      </c>
      <c r="C887" t="s">
        <v>222</v>
      </c>
      <c r="D887" s="110">
        <v>0</v>
      </c>
      <c r="E887" s="111">
        <v>0</v>
      </c>
      <c r="F887" s="111">
        <v>0</v>
      </c>
      <c r="G887" s="111">
        <v>0</v>
      </c>
      <c r="H887" s="112"/>
      <c r="I887" s="110">
        <v>0</v>
      </c>
      <c r="J887" s="111">
        <v>0</v>
      </c>
      <c r="K887" s="111">
        <v>0</v>
      </c>
      <c r="L887" s="111"/>
      <c r="M887" s="112"/>
    </row>
    <row r="888" spans="1:13" x14ac:dyDescent="0.2">
      <c r="A888" s="113" t="s">
        <v>24</v>
      </c>
      <c r="B888" s="113" t="s">
        <v>140</v>
      </c>
      <c r="C888" s="113" t="s">
        <v>223</v>
      </c>
      <c r="D888" s="114">
        <v>0</v>
      </c>
      <c r="E888" s="115">
        <v>0</v>
      </c>
      <c r="F888" s="115">
        <v>0</v>
      </c>
      <c r="G888" s="115"/>
      <c r="H888" s="116"/>
      <c r="I888" s="114">
        <v>0</v>
      </c>
      <c r="J888" s="115">
        <v>0</v>
      </c>
      <c r="K888" s="115">
        <v>0</v>
      </c>
      <c r="L888" s="115"/>
      <c r="M888" s="116"/>
    </row>
    <row r="889" spans="1:13" x14ac:dyDescent="0.2">
      <c r="A889" t="s">
        <v>24</v>
      </c>
      <c r="B889" t="s">
        <v>140</v>
      </c>
      <c r="C889" t="s">
        <v>224</v>
      </c>
      <c r="D889" s="110">
        <v>0</v>
      </c>
      <c r="E889" s="111">
        <v>0</v>
      </c>
      <c r="F889" s="111"/>
      <c r="G889" s="111"/>
      <c r="H889" s="112"/>
      <c r="I889" s="110">
        <v>0</v>
      </c>
      <c r="J889" s="111">
        <v>0</v>
      </c>
      <c r="K889" s="111"/>
      <c r="L889" s="111"/>
      <c r="M889" s="112"/>
    </row>
    <row r="890" spans="1:13" x14ac:dyDescent="0.2">
      <c r="A890" s="117" t="s">
        <v>24</v>
      </c>
      <c r="B890" s="117" t="s">
        <v>140</v>
      </c>
      <c r="C890" s="117" t="s">
        <v>225</v>
      </c>
      <c r="D890" s="118">
        <v>0</v>
      </c>
      <c r="E890" s="119"/>
      <c r="F890" s="119"/>
      <c r="G890" s="119"/>
      <c r="H890" s="120"/>
      <c r="I890" s="118">
        <v>0</v>
      </c>
      <c r="J890" s="119"/>
      <c r="K890" s="119"/>
      <c r="L890" s="119"/>
      <c r="M890" s="120"/>
    </row>
    <row r="891" spans="1:13" x14ac:dyDescent="0.2">
      <c r="A891" t="s">
        <v>24</v>
      </c>
      <c r="B891" t="s">
        <v>105</v>
      </c>
      <c r="C891" t="s">
        <v>222</v>
      </c>
      <c r="D891" s="110">
        <v>16617</v>
      </c>
      <c r="E891" s="111">
        <v>16617</v>
      </c>
      <c r="F891" s="111">
        <v>16617</v>
      </c>
      <c r="G891" s="111">
        <v>16617</v>
      </c>
      <c r="H891" s="112"/>
      <c r="I891" s="110">
        <v>10796</v>
      </c>
      <c r="J891" s="111">
        <v>11128</v>
      </c>
      <c r="K891" s="111">
        <v>11486</v>
      </c>
      <c r="L891" s="111">
        <v>12100</v>
      </c>
      <c r="M891" s="112"/>
    </row>
    <row r="892" spans="1:13" x14ac:dyDescent="0.2">
      <c r="A892" s="113" t="s">
        <v>24</v>
      </c>
      <c r="B892" s="113" t="s">
        <v>105</v>
      </c>
      <c r="C892" s="113" t="s">
        <v>223</v>
      </c>
      <c r="D892" s="114">
        <v>25797</v>
      </c>
      <c r="E892" s="115">
        <v>25797</v>
      </c>
      <c r="F892" s="115">
        <v>25797</v>
      </c>
      <c r="G892" s="115"/>
      <c r="H892" s="116"/>
      <c r="I892" s="114">
        <v>22083</v>
      </c>
      <c r="J892" s="115">
        <v>22083</v>
      </c>
      <c r="K892" s="115">
        <v>22183</v>
      </c>
      <c r="L892" s="115"/>
      <c r="M892" s="116"/>
    </row>
    <row r="893" spans="1:13" x14ac:dyDescent="0.2">
      <c r="A893" t="s">
        <v>24</v>
      </c>
      <c r="B893" t="s">
        <v>105</v>
      </c>
      <c r="C893" t="s">
        <v>224</v>
      </c>
      <c r="D893" s="110">
        <v>4213</v>
      </c>
      <c r="E893" s="111">
        <v>4213</v>
      </c>
      <c r="F893" s="111"/>
      <c r="G893" s="111"/>
      <c r="H893" s="112"/>
      <c r="I893" s="110">
        <v>2977</v>
      </c>
      <c r="J893" s="111">
        <v>3142</v>
      </c>
      <c r="K893" s="111"/>
      <c r="L893" s="111"/>
      <c r="M893" s="112"/>
    </row>
    <row r="894" spans="1:13" x14ac:dyDescent="0.2">
      <c r="A894" s="117" t="s">
        <v>24</v>
      </c>
      <c r="B894" s="117" t="s">
        <v>105</v>
      </c>
      <c r="C894" s="117" t="s">
        <v>225</v>
      </c>
      <c r="D894" s="118">
        <v>2963</v>
      </c>
      <c r="E894" s="119"/>
      <c r="F894" s="119"/>
      <c r="G894" s="119"/>
      <c r="H894" s="120"/>
      <c r="I894" s="118">
        <v>1088</v>
      </c>
      <c r="J894" s="119"/>
      <c r="K894" s="119"/>
      <c r="L894" s="119"/>
      <c r="M894" s="120"/>
    </row>
    <row r="895" spans="1:13" x14ac:dyDescent="0.2">
      <c r="A895" t="s">
        <v>24</v>
      </c>
      <c r="B895" t="s">
        <v>111</v>
      </c>
      <c r="C895" t="s">
        <v>222</v>
      </c>
      <c r="D895" s="110">
        <v>0</v>
      </c>
      <c r="E895" s="111">
        <v>0</v>
      </c>
      <c r="F895" s="111">
        <v>0</v>
      </c>
      <c r="G895" s="111">
        <v>0</v>
      </c>
      <c r="H895" s="112"/>
      <c r="I895" s="110">
        <v>0</v>
      </c>
      <c r="J895" s="111">
        <v>0</v>
      </c>
      <c r="K895" s="111">
        <v>0</v>
      </c>
      <c r="L895" s="111">
        <v>0</v>
      </c>
      <c r="M895" s="112"/>
    </row>
    <row r="896" spans="1:13" x14ac:dyDescent="0.2">
      <c r="A896" s="113" t="s">
        <v>24</v>
      </c>
      <c r="B896" s="113" t="s">
        <v>111</v>
      </c>
      <c r="C896" s="113" t="s">
        <v>223</v>
      </c>
      <c r="D896" s="114">
        <v>0</v>
      </c>
      <c r="E896" s="115">
        <v>0</v>
      </c>
      <c r="F896" s="115">
        <v>0</v>
      </c>
      <c r="G896" s="115"/>
      <c r="H896" s="116"/>
      <c r="I896" s="114">
        <v>0</v>
      </c>
      <c r="J896" s="115">
        <v>0</v>
      </c>
      <c r="K896" s="115">
        <v>0</v>
      </c>
      <c r="L896" s="115"/>
      <c r="M896" s="116"/>
    </row>
    <row r="897" spans="1:13" x14ac:dyDescent="0.2">
      <c r="A897" t="s">
        <v>24</v>
      </c>
      <c r="B897" t="s">
        <v>111</v>
      </c>
      <c r="C897" t="s">
        <v>224</v>
      </c>
      <c r="D897" s="110">
        <v>0</v>
      </c>
      <c r="E897" s="111">
        <v>0</v>
      </c>
      <c r="F897" s="111"/>
      <c r="G897" s="111"/>
      <c r="H897" s="112"/>
      <c r="I897" s="110">
        <v>0</v>
      </c>
      <c r="J897" s="111">
        <v>0</v>
      </c>
      <c r="K897" s="111"/>
      <c r="L897" s="111"/>
      <c r="M897" s="112"/>
    </row>
    <row r="898" spans="1:13" x14ac:dyDescent="0.2">
      <c r="A898" s="117" t="s">
        <v>24</v>
      </c>
      <c r="B898" s="117" t="s">
        <v>111</v>
      </c>
      <c r="C898" s="117" t="s">
        <v>225</v>
      </c>
      <c r="D898" s="118">
        <v>0</v>
      </c>
      <c r="E898" s="119"/>
      <c r="F898" s="119"/>
      <c r="G898" s="119"/>
      <c r="H898" s="120"/>
      <c r="I898" s="118">
        <v>0</v>
      </c>
      <c r="J898" s="119"/>
      <c r="K898" s="119"/>
      <c r="L898" s="119"/>
      <c r="M898" s="120"/>
    </row>
    <row r="899" spans="1:13" x14ac:dyDescent="0.2">
      <c r="A899" s="124" t="s">
        <v>24</v>
      </c>
      <c r="B899" s="124" t="s">
        <v>109</v>
      </c>
      <c r="C899" s="124" t="s">
        <v>222</v>
      </c>
      <c r="D899" s="125">
        <v>26420</v>
      </c>
      <c r="E899" s="126">
        <v>26420</v>
      </c>
      <c r="F899" s="126">
        <v>24420</v>
      </c>
      <c r="G899" s="126">
        <v>24420</v>
      </c>
      <c r="H899" s="127"/>
      <c r="I899" s="125">
        <v>16838</v>
      </c>
      <c r="J899" s="126">
        <v>18139</v>
      </c>
      <c r="K899" s="126">
        <v>18639</v>
      </c>
      <c r="L899" s="126">
        <v>20059</v>
      </c>
      <c r="M899" s="127"/>
    </row>
    <row r="900" spans="1:13" x14ac:dyDescent="0.2">
      <c r="A900" s="113" t="s">
        <v>24</v>
      </c>
      <c r="B900" s="113" t="s">
        <v>109</v>
      </c>
      <c r="C900" s="113" t="s">
        <v>223</v>
      </c>
      <c r="D900" s="114">
        <v>54886</v>
      </c>
      <c r="E900" s="115">
        <v>54886</v>
      </c>
      <c r="F900" s="115">
        <v>54886</v>
      </c>
      <c r="G900" s="115"/>
      <c r="H900" s="116"/>
      <c r="I900" s="114">
        <v>42913</v>
      </c>
      <c r="J900" s="115">
        <v>43995</v>
      </c>
      <c r="K900" s="115">
        <v>50833</v>
      </c>
      <c r="L900" s="115"/>
      <c r="M900" s="116"/>
    </row>
    <row r="901" spans="1:13" x14ac:dyDescent="0.2">
      <c r="A901" t="s">
        <v>24</v>
      </c>
      <c r="B901" t="s">
        <v>109</v>
      </c>
      <c r="C901" t="s">
        <v>224</v>
      </c>
      <c r="D901" s="110">
        <v>6271.5</v>
      </c>
      <c r="E901" s="111">
        <v>6271.5</v>
      </c>
      <c r="F901" s="111"/>
      <c r="G901" s="111"/>
      <c r="H901" s="112"/>
      <c r="I901" s="110">
        <v>3803.5</v>
      </c>
      <c r="J901" s="111">
        <v>3872.5</v>
      </c>
      <c r="K901" s="111"/>
      <c r="L901" s="111"/>
      <c r="M901" s="112"/>
    </row>
    <row r="902" spans="1:13" x14ac:dyDescent="0.2">
      <c r="A902" s="117" t="s">
        <v>24</v>
      </c>
      <c r="B902" s="117" t="s">
        <v>109</v>
      </c>
      <c r="C902" s="117" t="s">
        <v>225</v>
      </c>
      <c r="D902" s="118">
        <v>11045</v>
      </c>
      <c r="E902" s="119"/>
      <c r="F902" s="119"/>
      <c r="G902" s="119"/>
      <c r="H902" s="120"/>
      <c r="I902" s="118">
        <v>6080</v>
      </c>
      <c r="J902" s="119"/>
      <c r="K902" s="119"/>
      <c r="L902" s="119"/>
      <c r="M902" s="120"/>
    </row>
    <row r="903" spans="1:13" x14ac:dyDescent="0.2">
      <c r="A903" t="s">
        <v>24</v>
      </c>
      <c r="B903" t="s">
        <v>106</v>
      </c>
      <c r="C903" t="s">
        <v>222</v>
      </c>
      <c r="D903" s="110">
        <v>9987.5</v>
      </c>
      <c r="E903" s="111">
        <v>9987.5</v>
      </c>
      <c r="F903" s="111">
        <v>9987.5</v>
      </c>
      <c r="G903" s="111">
        <v>9567.5</v>
      </c>
      <c r="H903" s="112"/>
      <c r="I903" s="110">
        <v>9127.5</v>
      </c>
      <c r="J903" s="111">
        <v>9537.5</v>
      </c>
      <c r="K903" s="111">
        <v>9567.5</v>
      </c>
      <c r="L903" s="111">
        <v>9567.5</v>
      </c>
      <c r="M903" s="112"/>
    </row>
    <row r="904" spans="1:13" x14ac:dyDescent="0.2">
      <c r="A904" s="113" t="s">
        <v>24</v>
      </c>
      <c r="B904" s="113" t="s">
        <v>106</v>
      </c>
      <c r="C904" s="113" t="s">
        <v>223</v>
      </c>
      <c r="D904" s="114">
        <v>8345</v>
      </c>
      <c r="E904" s="115">
        <v>8345</v>
      </c>
      <c r="F904" s="115">
        <v>8345</v>
      </c>
      <c r="G904" s="115"/>
      <c r="H904" s="116"/>
      <c r="I904" s="114">
        <v>7545</v>
      </c>
      <c r="J904" s="115">
        <v>7545</v>
      </c>
      <c r="K904" s="115">
        <v>7545</v>
      </c>
      <c r="L904" s="115"/>
      <c r="M904" s="116"/>
    </row>
    <row r="905" spans="1:13" x14ac:dyDescent="0.2">
      <c r="A905" t="s">
        <v>24</v>
      </c>
      <c r="B905" t="s">
        <v>106</v>
      </c>
      <c r="C905" t="s">
        <v>224</v>
      </c>
      <c r="D905" s="110">
        <v>3565</v>
      </c>
      <c r="E905" s="111">
        <v>3565</v>
      </c>
      <c r="F905" s="111"/>
      <c r="G905" s="111"/>
      <c r="H905" s="112"/>
      <c r="I905" s="110">
        <v>2365</v>
      </c>
      <c r="J905" s="111">
        <v>2765</v>
      </c>
      <c r="K905" s="111"/>
      <c r="L905" s="111"/>
      <c r="M905" s="112"/>
    </row>
    <row r="906" spans="1:13" x14ac:dyDescent="0.2">
      <c r="A906" s="117" t="s">
        <v>24</v>
      </c>
      <c r="B906" s="117" t="s">
        <v>106</v>
      </c>
      <c r="C906" s="117" t="s">
        <v>225</v>
      </c>
      <c r="D906" s="118">
        <v>9991.5</v>
      </c>
      <c r="E906" s="119"/>
      <c r="F906" s="119"/>
      <c r="G906" s="119"/>
      <c r="H906" s="120"/>
      <c r="I906" s="118">
        <v>9984</v>
      </c>
      <c r="J906" s="119"/>
      <c r="K906" s="119"/>
      <c r="L906" s="119"/>
      <c r="M906" s="120"/>
    </row>
    <row r="907" spans="1:13" x14ac:dyDescent="0.2">
      <c r="A907" t="s">
        <v>24</v>
      </c>
      <c r="B907" t="s">
        <v>107</v>
      </c>
      <c r="C907" t="s">
        <v>222</v>
      </c>
      <c r="D907" s="110">
        <v>20140</v>
      </c>
      <c r="E907" s="111">
        <v>20140</v>
      </c>
      <c r="F907" s="111">
        <v>20140</v>
      </c>
      <c r="G907" s="111">
        <v>20140</v>
      </c>
      <c r="H907" s="112"/>
      <c r="I907" s="110">
        <v>19165</v>
      </c>
      <c r="J907" s="111">
        <v>20140</v>
      </c>
      <c r="K907" s="111">
        <v>20140</v>
      </c>
      <c r="L907" s="111">
        <v>20140</v>
      </c>
      <c r="M907" s="112"/>
    </row>
    <row r="908" spans="1:13" x14ac:dyDescent="0.2">
      <c r="A908" s="113" t="s">
        <v>24</v>
      </c>
      <c r="B908" s="113" t="s">
        <v>107</v>
      </c>
      <c r="C908" s="113" t="s">
        <v>223</v>
      </c>
      <c r="D908" s="114">
        <v>16410</v>
      </c>
      <c r="E908" s="115">
        <v>16410</v>
      </c>
      <c r="F908" s="115">
        <v>16410</v>
      </c>
      <c r="G908" s="115"/>
      <c r="H908" s="116"/>
      <c r="I908" s="114">
        <v>16110</v>
      </c>
      <c r="J908" s="115">
        <v>16410</v>
      </c>
      <c r="K908" s="115">
        <v>16410</v>
      </c>
      <c r="L908" s="115"/>
      <c r="M908" s="116"/>
    </row>
    <row r="909" spans="1:13" x14ac:dyDescent="0.2">
      <c r="A909" t="s">
        <v>24</v>
      </c>
      <c r="B909" t="s">
        <v>107</v>
      </c>
      <c r="C909" t="s">
        <v>224</v>
      </c>
      <c r="D909" s="110">
        <v>6998</v>
      </c>
      <c r="E909" s="111">
        <v>6998</v>
      </c>
      <c r="F909" s="111"/>
      <c r="G909" s="111"/>
      <c r="H909" s="112"/>
      <c r="I909" s="110">
        <v>6503</v>
      </c>
      <c r="J909" s="111">
        <v>6998</v>
      </c>
      <c r="K909" s="111"/>
      <c r="L909" s="111"/>
      <c r="M909" s="112"/>
    </row>
    <row r="910" spans="1:13" x14ac:dyDescent="0.2">
      <c r="A910" s="117" t="s">
        <v>24</v>
      </c>
      <c r="B910" s="117" t="s">
        <v>107</v>
      </c>
      <c r="C910" s="117" t="s">
        <v>225</v>
      </c>
      <c r="D910" s="118">
        <v>9769.75</v>
      </c>
      <c r="E910" s="119"/>
      <c r="F910" s="119"/>
      <c r="G910" s="119"/>
      <c r="H910" s="120"/>
      <c r="I910" s="118">
        <v>9759.75</v>
      </c>
      <c r="J910" s="119"/>
      <c r="K910" s="119"/>
      <c r="L910" s="119"/>
      <c r="M910" s="120"/>
    </row>
    <row r="911" spans="1:13" x14ac:dyDescent="0.2">
      <c r="A911" t="s">
        <v>24</v>
      </c>
      <c r="B911" t="s">
        <v>108</v>
      </c>
      <c r="C911" t="s">
        <v>222</v>
      </c>
      <c r="D911" s="110">
        <v>3957</v>
      </c>
      <c r="E911" s="111">
        <v>3957</v>
      </c>
      <c r="F911" s="111">
        <v>3957</v>
      </c>
      <c r="G911" s="111">
        <v>3957</v>
      </c>
      <c r="H911" s="112"/>
      <c r="I911" s="110">
        <v>3557</v>
      </c>
      <c r="J911" s="111">
        <v>3557</v>
      </c>
      <c r="K911" s="111">
        <v>3557</v>
      </c>
      <c r="L911" s="111">
        <v>3557</v>
      </c>
      <c r="M911" s="112"/>
    </row>
    <row r="912" spans="1:13" x14ac:dyDescent="0.2">
      <c r="A912" s="113" t="s">
        <v>24</v>
      </c>
      <c r="B912" s="113" t="s">
        <v>108</v>
      </c>
      <c r="C912" s="113" t="s">
        <v>223</v>
      </c>
      <c r="D912" s="114">
        <v>5312</v>
      </c>
      <c r="E912" s="115">
        <v>5312</v>
      </c>
      <c r="F912" s="115">
        <v>5312</v>
      </c>
      <c r="G912" s="115"/>
      <c r="H912" s="116"/>
      <c r="I912" s="114">
        <v>4912</v>
      </c>
      <c r="J912" s="115">
        <v>5312</v>
      </c>
      <c r="K912" s="115">
        <v>5312</v>
      </c>
      <c r="L912" s="115"/>
      <c r="M912" s="116"/>
    </row>
    <row r="913" spans="1:13" x14ac:dyDescent="0.2">
      <c r="A913" t="s">
        <v>24</v>
      </c>
      <c r="B913" t="s">
        <v>108</v>
      </c>
      <c r="C913" t="s">
        <v>224</v>
      </c>
      <c r="D913" s="110">
        <v>7387</v>
      </c>
      <c r="E913" s="111">
        <v>7387</v>
      </c>
      <c r="F913" s="111"/>
      <c r="G913" s="111"/>
      <c r="H913" s="112"/>
      <c r="I913" s="110">
        <v>7387</v>
      </c>
      <c r="J913" s="111">
        <v>7387</v>
      </c>
      <c r="K913" s="111"/>
      <c r="L913" s="111"/>
      <c r="M913" s="112"/>
    </row>
    <row r="914" spans="1:13" x14ac:dyDescent="0.2">
      <c r="A914" s="117" t="s">
        <v>24</v>
      </c>
      <c r="B914" s="117" t="s">
        <v>108</v>
      </c>
      <c r="C914" s="117" t="s">
        <v>225</v>
      </c>
      <c r="D914" s="118">
        <v>3708</v>
      </c>
      <c r="E914" s="119"/>
      <c r="F914" s="119"/>
      <c r="G914" s="119"/>
      <c r="H914" s="120"/>
      <c r="I914" s="118">
        <v>3667</v>
      </c>
      <c r="J914" s="119"/>
      <c r="K914" s="119"/>
      <c r="L914" s="119"/>
      <c r="M914" s="120"/>
    </row>
    <row r="915" spans="1:13" x14ac:dyDescent="0.2">
      <c r="A915" t="s">
        <v>24</v>
      </c>
      <c r="B915" t="s">
        <v>70</v>
      </c>
      <c r="C915" t="s">
        <v>222</v>
      </c>
      <c r="D915" s="110">
        <v>5036</v>
      </c>
      <c r="E915" s="111">
        <v>5036</v>
      </c>
      <c r="F915" s="111">
        <v>5036</v>
      </c>
      <c r="G915" s="111">
        <v>5036</v>
      </c>
      <c r="H915" s="112"/>
      <c r="I915" s="110">
        <v>4220</v>
      </c>
      <c r="J915" s="111">
        <v>4220</v>
      </c>
      <c r="K915" s="111">
        <v>4220</v>
      </c>
      <c r="L915" s="111">
        <v>4220</v>
      </c>
      <c r="M915" s="112"/>
    </row>
    <row r="916" spans="1:13" x14ac:dyDescent="0.2">
      <c r="A916" s="113" t="s">
        <v>24</v>
      </c>
      <c r="B916" s="113" t="s">
        <v>70</v>
      </c>
      <c r="C916" s="113" t="s">
        <v>223</v>
      </c>
      <c r="D916" s="114">
        <v>7060</v>
      </c>
      <c r="E916" s="115">
        <v>7060</v>
      </c>
      <c r="F916" s="115">
        <v>7060</v>
      </c>
      <c r="G916" s="115"/>
      <c r="H916" s="116"/>
      <c r="I916" s="114">
        <v>6652</v>
      </c>
      <c r="J916" s="115">
        <v>7060</v>
      </c>
      <c r="K916" s="115">
        <v>7060</v>
      </c>
      <c r="L916" s="115"/>
      <c r="M916" s="116"/>
    </row>
    <row r="917" spans="1:13" x14ac:dyDescent="0.2">
      <c r="A917" t="s">
        <v>24</v>
      </c>
      <c r="B917" t="s">
        <v>70</v>
      </c>
      <c r="C917" t="s">
        <v>224</v>
      </c>
      <c r="D917" s="110">
        <v>4748</v>
      </c>
      <c r="E917" s="111">
        <v>4748</v>
      </c>
      <c r="F917" s="111"/>
      <c r="G917" s="111"/>
      <c r="H917" s="112"/>
      <c r="I917" s="110">
        <v>4738</v>
      </c>
      <c r="J917" s="111">
        <v>4748</v>
      </c>
      <c r="K917" s="111"/>
      <c r="L917" s="111"/>
      <c r="M917" s="112"/>
    </row>
    <row r="918" spans="1:13" x14ac:dyDescent="0.2">
      <c r="A918" s="117" t="s">
        <v>24</v>
      </c>
      <c r="B918" s="117" t="s">
        <v>70</v>
      </c>
      <c r="C918" s="117" t="s">
        <v>225</v>
      </c>
      <c r="D918" s="118">
        <v>6666</v>
      </c>
      <c r="E918" s="119"/>
      <c r="F918" s="119"/>
      <c r="G918" s="119"/>
      <c r="H918" s="120"/>
      <c r="I918" s="118">
        <v>6228</v>
      </c>
      <c r="J918" s="119"/>
      <c r="K918" s="119"/>
      <c r="L918" s="119"/>
      <c r="M918" s="120"/>
    </row>
    <row r="919" spans="1:13" x14ac:dyDescent="0.2">
      <c r="A919" t="s">
        <v>24</v>
      </c>
      <c r="B919" t="s">
        <v>110</v>
      </c>
      <c r="C919" t="s">
        <v>222</v>
      </c>
      <c r="D919" s="110">
        <v>62265.75</v>
      </c>
      <c r="E919" s="111">
        <v>62265.75</v>
      </c>
      <c r="F919" s="111">
        <v>62265.75</v>
      </c>
      <c r="G919" s="111">
        <v>62265.75</v>
      </c>
      <c r="H919" s="112"/>
      <c r="I919" s="110">
        <v>18281.75</v>
      </c>
      <c r="J919" s="111">
        <v>35345.160000000003</v>
      </c>
      <c r="K919" s="111">
        <v>39143.660000000003</v>
      </c>
      <c r="L919" s="111">
        <v>42594.21</v>
      </c>
      <c r="M919" s="112"/>
    </row>
    <row r="920" spans="1:13" x14ac:dyDescent="0.2">
      <c r="A920" s="113" t="s">
        <v>24</v>
      </c>
      <c r="B920" s="113" t="s">
        <v>110</v>
      </c>
      <c r="C920" s="113" t="s">
        <v>223</v>
      </c>
      <c r="D920" s="114">
        <v>68995.5</v>
      </c>
      <c r="E920" s="115">
        <v>68937.600000000006</v>
      </c>
      <c r="F920" s="115">
        <v>68937.5</v>
      </c>
      <c r="G920" s="115"/>
      <c r="H920" s="116"/>
      <c r="I920" s="114">
        <v>28974.5</v>
      </c>
      <c r="J920" s="115">
        <v>44859.6</v>
      </c>
      <c r="K920" s="115">
        <v>52528.9</v>
      </c>
      <c r="L920" s="115"/>
      <c r="M920" s="116"/>
    </row>
    <row r="921" spans="1:13" x14ac:dyDescent="0.2">
      <c r="A921" t="s">
        <v>24</v>
      </c>
      <c r="B921" t="s">
        <v>110</v>
      </c>
      <c r="C921" t="s">
        <v>224</v>
      </c>
      <c r="D921" s="110">
        <v>78668.2</v>
      </c>
      <c r="E921" s="111">
        <v>78668.2</v>
      </c>
      <c r="F921" s="111"/>
      <c r="G921" s="111"/>
      <c r="H921" s="112"/>
      <c r="I921" s="110">
        <v>20594.7</v>
      </c>
      <c r="J921" s="111">
        <v>51518.400000000001</v>
      </c>
      <c r="K921" s="111"/>
      <c r="L921" s="111"/>
      <c r="M921" s="112"/>
    </row>
    <row r="922" spans="1:13" ht="13.5" thickBot="1" x14ac:dyDescent="0.25">
      <c r="A922" s="128" t="s">
        <v>24</v>
      </c>
      <c r="B922" s="128" t="s">
        <v>110</v>
      </c>
      <c r="C922" s="128" t="s">
        <v>225</v>
      </c>
      <c r="D922" s="129">
        <v>136510.39999999999</v>
      </c>
      <c r="E922" s="130"/>
      <c r="F922" s="130"/>
      <c r="G922" s="130"/>
      <c r="H922" s="131"/>
      <c r="I922" s="129">
        <v>48774.400000000001</v>
      </c>
      <c r="J922" s="130"/>
      <c r="K922" s="130"/>
      <c r="L922" s="130"/>
      <c r="M922" s="131"/>
    </row>
    <row r="923" spans="1:13" x14ac:dyDescent="0.2">
      <c r="A923" s="132" t="s">
        <v>25</v>
      </c>
      <c r="B923" s="132" t="s">
        <v>104</v>
      </c>
      <c r="C923" s="132" t="s">
        <v>222</v>
      </c>
      <c r="D923" s="133">
        <v>178393.7</v>
      </c>
      <c r="E923" s="134">
        <v>178293.7</v>
      </c>
      <c r="F923" s="134">
        <v>178293.7</v>
      </c>
      <c r="G923" s="134">
        <v>178293.7</v>
      </c>
      <c r="H923" s="135"/>
      <c r="I923" s="133">
        <v>4307.67</v>
      </c>
      <c r="J923" s="134">
        <v>5319.05</v>
      </c>
      <c r="K923" s="134">
        <v>7216.03</v>
      </c>
      <c r="L923" s="134">
        <v>8833.09</v>
      </c>
      <c r="M923" s="135"/>
    </row>
    <row r="924" spans="1:13" x14ac:dyDescent="0.2">
      <c r="A924" s="113" t="s">
        <v>25</v>
      </c>
      <c r="B924" s="113" t="s">
        <v>104</v>
      </c>
      <c r="C924" s="113" t="s">
        <v>223</v>
      </c>
      <c r="D924" s="114">
        <v>1079500.25</v>
      </c>
      <c r="E924" s="115">
        <v>1079500.25</v>
      </c>
      <c r="F924" s="115">
        <v>1079500.25</v>
      </c>
      <c r="G924" s="115"/>
      <c r="H924" s="116"/>
      <c r="I924" s="114">
        <v>3329.84</v>
      </c>
      <c r="J924" s="115">
        <v>4616.66</v>
      </c>
      <c r="K924" s="115">
        <v>6797.87</v>
      </c>
      <c r="L924" s="115"/>
      <c r="M924" s="116"/>
    </row>
    <row r="925" spans="1:13" x14ac:dyDescent="0.2">
      <c r="A925" t="s">
        <v>25</v>
      </c>
      <c r="B925" t="s">
        <v>104</v>
      </c>
      <c r="C925" t="s">
        <v>224</v>
      </c>
      <c r="D925" s="110">
        <v>47880.82</v>
      </c>
      <c r="E925" s="111">
        <v>48180.82</v>
      </c>
      <c r="F925" s="111"/>
      <c r="G925" s="111"/>
      <c r="H925" s="112"/>
      <c r="I925" s="110">
        <v>500</v>
      </c>
      <c r="J925" s="111">
        <v>1603.08</v>
      </c>
      <c r="K925" s="111"/>
      <c r="L925" s="111"/>
      <c r="M925" s="112"/>
    </row>
    <row r="926" spans="1:13" x14ac:dyDescent="0.2">
      <c r="A926" s="117" t="s">
        <v>25</v>
      </c>
      <c r="B926" s="117" t="s">
        <v>104</v>
      </c>
      <c r="C926" s="117" t="s">
        <v>225</v>
      </c>
      <c r="D926" s="118">
        <v>55240.72</v>
      </c>
      <c r="E926" s="119"/>
      <c r="F926" s="119"/>
      <c r="G926" s="119"/>
      <c r="H926" s="120"/>
      <c r="I926" s="118">
        <v>3744.74</v>
      </c>
      <c r="J926" s="119"/>
      <c r="K926" s="119"/>
      <c r="L926" s="119"/>
      <c r="M926" s="120"/>
    </row>
    <row r="927" spans="1:13" x14ac:dyDescent="0.2">
      <c r="A927" t="s">
        <v>25</v>
      </c>
      <c r="B927" t="s">
        <v>140</v>
      </c>
      <c r="C927" t="s">
        <v>222</v>
      </c>
      <c r="D927" s="110">
        <v>105455</v>
      </c>
      <c r="E927" s="111">
        <v>105505</v>
      </c>
      <c r="F927" s="111">
        <v>105505</v>
      </c>
      <c r="G927" s="111">
        <v>105505</v>
      </c>
      <c r="H927" s="112"/>
      <c r="I927" s="110">
        <v>0</v>
      </c>
      <c r="J927" s="111">
        <v>0</v>
      </c>
      <c r="K927" s="111">
        <v>0</v>
      </c>
      <c r="L927" s="111">
        <v>0</v>
      </c>
      <c r="M927" s="112"/>
    </row>
    <row r="928" spans="1:13" x14ac:dyDescent="0.2">
      <c r="A928" s="113" t="s">
        <v>25</v>
      </c>
      <c r="B928" s="113" t="s">
        <v>140</v>
      </c>
      <c r="C928" s="113" t="s">
        <v>223</v>
      </c>
      <c r="D928" s="114">
        <v>1003205</v>
      </c>
      <c r="E928" s="115">
        <v>1003205</v>
      </c>
      <c r="F928" s="115">
        <v>1003205</v>
      </c>
      <c r="G928" s="115"/>
      <c r="H928" s="116"/>
      <c r="I928" s="114">
        <v>0</v>
      </c>
      <c r="J928" s="115">
        <v>0</v>
      </c>
      <c r="K928" s="115">
        <v>0</v>
      </c>
      <c r="L928" s="115"/>
      <c r="M928" s="116"/>
    </row>
    <row r="929" spans="1:13" x14ac:dyDescent="0.2">
      <c r="A929" t="s">
        <v>25</v>
      </c>
      <c r="B929" t="s">
        <v>140</v>
      </c>
      <c r="C929" t="s">
        <v>224</v>
      </c>
      <c r="D929" s="110">
        <v>0</v>
      </c>
      <c r="E929" s="111">
        <v>0</v>
      </c>
      <c r="F929" s="111"/>
      <c r="G929" s="111"/>
      <c r="H929" s="112"/>
      <c r="I929" s="110">
        <v>0</v>
      </c>
      <c r="J929" s="111">
        <v>0</v>
      </c>
      <c r="K929" s="111"/>
      <c r="L929" s="111"/>
      <c r="M929" s="112"/>
    </row>
    <row r="930" spans="1:13" x14ac:dyDescent="0.2">
      <c r="A930" s="117" t="s">
        <v>25</v>
      </c>
      <c r="B930" s="117" t="s">
        <v>140</v>
      </c>
      <c r="C930" s="117" t="s">
        <v>225</v>
      </c>
      <c r="D930" s="118">
        <v>0</v>
      </c>
      <c r="E930" s="119"/>
      <c r="F930" s="119"/>
      <c r="G930" s="119"/>
      <c r="H930" s="120"/>
      <c r="I930" s="118">
        <v>0</v>
      </c>
      <c r="J930" s="119"/>
      <c r="K930" s="119"/>
      <c r="L930" s="119"/>
      <c r="M930" s="120"/>
    </row>
    <row r="931" spans="1:13" x14ac:dyDescent="0.2">
      <c r="A931" t="s">
        <v>25</v>
      </c>
      <c r="B931" t="s">
        <v>105</v>
      </c>
      <c r="C931" t="s">
        <v>222</v>
      </c>
      <c r="D931" s="110">
        <v>25688.63</v>
      </c>
      <c r="E931" s="111">
        <v>25613.63</v>
      </c>
      <c r="F931" s="111">
        <v>25058.63</v>
      </c>
      <c r="G931" s="111">
        <v>25058.63</v>
      </c>
      <c r="H931" s="112"/>
      <c r="I931" s="110">
        <v>3223</v>
      </c>
      <c r="J931" s="111">
        <v>5186</v>
      </c>
      <c r="K931" s="111">
        <v>6363.29</v>
      </c>
      <c r="L931" s="111">
        <v>6863.29</v>
      </c>
      <c r="M931" s="112"/>
    </row>
    <row r="932" spans="1:13" x14ac:dyDescent="0.2">
      <c r="A932" s="113" t="s">
        <v>25</v>
      </c>
      <c r="B932" s="113" t="s">
        <v>105</v>
      </c>
      <c r="C932" s="113" t="s">
        <v>223</v>
      </c>
      <c r="D932" s="114">
        <v>27639.49</v>
      </c>
      <c r="E932" s="115">
        <v>27639.49</v>
      </c>
      <c r="F932" s="115">
        <v>27254.49</v>
      </c>
      <c r="G932" s="115"/>
      <c r="H932" s="116"/>
      <c r="I932" s="114">
        <v>4762.5</v>
      </c>
      <c r="J932" s="115">
        <v>6171</v>
      </c>
      <c r="K932" s="115">
        <v>6763</v>
      </c>
      <c r="L932" s="115"/>
      <c r="M932" s="116"/>
    </row>
    <row r="933" spans="1:13" x14ac:dyDescent="0.2">
      <c r="A933" t="s">
        <v>25</v>
      </c>
      <c r="B933" t="s">
        <v>105</v>
      </c>
      <c r="C933" t="s">
        <v>224</v>
      </c>
      <c r="D933" s="110">
        <v>12808.79</v>
      </c>
      <c r="E933" s="111">
        <v>12736.79</v>
      </c>
      <c r="F933" s="111"/>
      <c r="G933" s="111"/>
      <c r="H933" s="112"/>
      <c r="I933" s="110">
        <v>2330</v>
      </c>
      <c r="J933" s="111">
        <v>3585</v>
      </c>
      <c r="K933" s="111"/>
      <c r="L933" s="111"/>
      <c r="M933" s="112"/>
    </row>
    <row r="934" spans="1:13" x14ac:dyDescent="0.2">
      <c r="A934" s="117" t="s">
        <v>25</v>
      </c>
      <c r="B934" s="117" t="s">
        <v>105</v>
      </c>
      <c r="C934" s="117" t="s">
        <v>225</v>
      </c>
      <c r="D934" s="118">
        <v>24722.32</v>
      </c>
      <c r="E934" s="119"/>
      <c r="F934" s="119"/>
      <c r="G934" s="119"/>
      <c r="H934" s="120"/>
      <c r="I934" s="118">
        <v>3883.29</v>
      </c>
      <c r="J934" s="119"/>
      <c r="K934" s="119"/>
      <c r="L934" s="119"/>
      <c r="M934" s="120"/>
    </row>
    <row r="935" spans="1:13" x14ac:dyDescent="0.2">
      <c r="A935" t="s">
        <v>25</v>
      </c>
      <c r="B935" t="s">
        <v>111</v>
      </c>
      <c r="C935" t="s">
        <v>222</v>
      </c>
      <c r="D935" s="110">
        <v>4877</v>
      </c>
      <c r="E935" s="111">
        <v>4877</v>
      </c>
      <c r="F935" s="111">
        <v>4877</v>
      </c>
      <c r="G935" s="111">
        <v>4927</v>
      </c>
      <c r="H935" s="112"/>
      <c r="I935" s="110">
        <v>47</v>
      </c>
      <c r="J935" s="111">
        <v>87</v>
      </c>
      <c r="K935" s="111">
        <v>87</v>
      </c>
      <c r="L935" s="111">
        <v>207</v>
      </c>
      <c r="M935" s="112"/>
    </row>
    <row r="936" spans="1:13" x14ac:dyDescent="0.2">
      <c r="A936" s="113" t="s">
        <v>25</v>
      </c>
      <c r="B936" s="113" t="s">
        <v>111</v>
      </c>
      <c r="C936" s="113" t="s">
        <v>223</v>
      </c>
      <c r="D936" s="114">
        <v>330.53</v>
      </c>
      <c r="E936" s="115">
        <v>330.53</v>
      </c>
      <c r="F936" s="115">
        <v>330.53</v>
      </c>
      <c r="G936" s="115"/>
      <c r="H936" s="116"/>
      <c r="I936" s="114">
        <v>90.53</v>
      </c>
      <c r="J936" s="115">
        <v>90.53</v>
      </c>
      <c r="K936" s="115">
        <v>90.53</v>
      </c>
      <c r="L936" s="115"/>
      <c r="M936" s="116"/>
    </row>
    <row r="937" spans="1:13" x14ac:dyDescent="0.2">
      <c r="A937" t="s">
        <v>25</v>
      </c>
      <c r="B937" t="s">
        <v>111</v>
      </c>
      <c r="C937" t="s">
        <v>224</v>
      </c>
      <c r="D937" s="110">
        <v>490</v>
      </c>
      <c r="E937" s="111">
        <v>490</v>
      </c>
      <c r="F937" s="111"/>
      <c r="G937" s="111"/>
      <c r="H937" s="112"/>
      <c r="I937" s="110">
        <v>240</v>
      </c>
      <c r="J937" s="111">
        <v>240</v>
      </c>
      <c r="K937" s="111"/>
      <c r="L937" s="111"/>
      <c r="M937" s="112"/>
    </row>
    <row r="938" spans="1:13" x14ac:dyDescent="0.2">
      <c r="A938" s="117" t="s">
        <v>25</v>
      </c>
      <c r="B938" s="117" t="s">
        <v>111</v>
      </c>
      <c r="C938" s="117" t="s">
        <v>225</v>
      </c>
      <c r="D938" s="118">
        <v>10511</v>
      </c>
      <c r="E938" s="119"/>
      <c r="F938" s="119"/>
      <c r="G938" s="119"/>
      <c r="H938" s="120"/>
      <c r="I938" s="118">
        <v>71</v>
      </c>
      <c r="J938" s="119"/>
      <c r="K938" s="119"/>
      <c r="L938" s="119"/>
      <c r="M938" s="120"/>
    </row>
    <row r="939" spans="1:13" x14ac:dyDescent="0.2">
      <c r="A939" s="124" t="s">
        <v>25</v>
      </c>
      <c r="B939" s="124" t="s">
        <v>109</v>
      </c>
      <c r="C939" s="124" t="s">
        <v>222</v>
      </c>
      <c r="D939" s="125">
        <v>57069.58</v>
      </c>
      <c r="E939" s="126">
        <v>56102.31</v>
      </c>
      <c r="F939" s="126">
        <v>56102.31</v>
      </c>
      <c r="G939" s="126">
        <v>56102.31</v>
      </c>
      <c r="H939" s="127"/>
      <c r="I939" s="125">
        <v>24321.57</v>
      </c>
      <c r="J939" s="126">
        <v>33508.57</v>
      </c>
      <c r="K939" s="126">
        <v>38263.06</v>
      </c>
      <c r="L939" s="126">
        <v>42273.17</v>
      </c>
      <c r="M939" s="127"/>
    </row>
    <row r="940" spans="1:13" x14ac:dyDescent="0.2">
      <c r="A940" s="113" t="s">
        <v>25</v>
      </c>
      <c r="B940" s="113" t="s">
        <v>109</v>
      </c>
      <c r="C940" s="113" t="s">
        <v>223</v>
      </c>
      <c r="D940" s="114">
        <v>55593.89</v>
      </c>
      <c r="E940" s="115">
        <v>55268.89</v>
      </c>
      <c r="F940" s="115">
        <v>54058.89</v>
      </c>
      <c r="G940" s="115"/>
      <c r="H940" s="116"/>
      <c r="I940" s="114">
        <v>25272.26</v>
      </c>
      <c r="J940" s="115">
        <v>32635.05</v>
      </c>
      <c r="K940" s="115">
        <v>35541.050000000003</v>
      </c>
      <c r="L940" s="115"/>
      <c r="M940" s="116"/>
    </row>
    <row r="941" spans="1:13" x14ac:dyDescent="0.2">
      <c r="A941" t="s">
        <v>25</v>
      </c>
      <c r="B941" t="s">
        <v>109</v>
      </c>
      <c r="C941" t="s">
        <v>224</v>
      </c>
      <c r="D941" s="110">
        <v>25970.14</v>
      </c>
      <c r="E941" s="111">
        <v>25836.46</v>
      </c>
      <c r="F941" s="111"/>
      <c r="G941" s="111"/>
      <c r="H941" s="112"/>
      <c r="I941" s="110">
        <v>15840.13</v>
      </c>
      <c r="J941" s="111">
        <v>18141.89</v>
      </c>
      <c r="K941" s="111"/>
      <c r="L941" s="111"/>
      <c r="M941" s="112"/>
    </row>
    <row r="942" spans="1:13" x14ac:dyDescent="0.2">
      <c r="A942" s="117" t="s">
        <v>25</v>
      </c>
      <c r="B942" s="117" t="s">
        <v>109</v>
      </c>
      <c r="C942" s="117" t="s">
        <v>225</v>
      </c>
      <c r="D942" s="118">
        <v>53044.36</v>
      </c>
      <c r="E942" s="119"/>
      <c r="F942" s="119"/>
      <c r="G942" s="119"/>
      <c r="H942" s="120"/>
      <c r="I942" s="118">
        <v>23239.599999999999</v>
      </c>
      <c r="J942" s="119"/>
      <c r="K942" s="119"/>
      <c r="L942" s="119"/>
      <c r="M942" s="120"/>
    </row>
    <row r="943" spans="1:13" x14ac:dyDescent="0.2">
      <c r="A943" t="s">
        <v>25</v>
      </c>
      <c r="B943" t="s">
        <v>106</v>
      </c>
      <c r="C943" t="s">
        <v>222</v>
      </c>
      <c r="D943" s="110">
        <v>45904.57</v>
      </c>
      <c r="E943" s="111">
        <v>45904.57</v>
      </c>
      <c r="F943" s="111">
        <v>45904.57</v>
      </c>
      <c r="G943" s="111">
        <v>45904.57</v>
      </c>
      <c r="H943" s="112"/>
      <c r="I943" s="110">
        <v>45320.57</v>
      </c>
      <c r="J943" s="111">
        <v>45803.24</v>
      </c>
      <c r="K943" s="111">
        <v>45803.24</v>
      </c>
      <c r="L943" s="111">
        <v>45895.57</v>
      </c>
      <c r="M943" s="112"/>
    </row>
    <row r="944" spans="1:13" x14ac:dyDescent="0.2">
      <c r="A944" s="113" t="s">
        <v>25</v>
      </c>
      <c r="B944" s="113" t="s">
        <v>106</v>
      </c>
      <c r="C944" s="113" t="s">
        <v>223</v>
      </c>
      <c r="D944" s="114">
        <v>16811.5</v>
      </c>
      <c r="E944" s="115">
        <v>16811.5</v>
      </c>
      <c r="F944" s="115">
        <v>16811.5</v>
      </c>
      <c r="G944" s="115"/>
      <c r="H944" s="116"/>
      <c r="I944" s="114">
        <v>15006.5</v>
      </c>
      <c r="J944" s="115">
        <v>15006.5</v>
      </c>
      <c r="K944" s="115">
        <v>15006.5</v>
      </c>
      <c r="L944" s="115"/>
      <c r="M944" s="116"/>
    </row>
    <row r="945" spans="1:13" x14ac:dyDescent="0.2">
      <c r="A945" t="s">
        <v>25</v>
      </c>
      <c r="B945" t="s">
        <v>106</v>
      </c>
      <c r="C945" t="s">
        <v>224</v>
      </c>
      <c r="D945" s="110">
        <v>9800</v>
      </c>
      <c r="E945" s="111">
        <v>9800</v>
      </c>
      <c r="F945" s="111"/>
      <c r="G945" s="111"/>
      <c r="H945" s="112"/>
      <c r="I945" s="110">
        <v>8674.74</v>
      </c>
      <c r="J945" s="111">
        <v>8850</v>
      </c>
      <c r="K945" s="111"/>
      <c r="L945" s="111"/>
      <c r="M945" s="112"/>
    </row>
    <row r="946" spans="1:13" x14ac:dyDescent="0.2">
      <c r="A946" s="117" t="s">
        <v>25</v>
      </c>
      <c r="B946" s="117" t="s">
        <v>106</v>
      </c>
      <c r="C946" s="117" t="s">
        <v>225</v>
      </c>
      <c r="D946" s="118">
        <v>194895.9</v>
      </c>
      <c r="E946" s="119"/>
      <c r="F946" s="119"/>
      <c r="G946" s="119"/>
      <c r="H946" s="120"/>
      <c r="I946" s="118">
        <v>193590.9</v>
      </c>
      <c r="J946" s="119"/>
      <c r="K946" s="119"/>
      <c r="L946" s="119"/>
      <c r="M946" s="120"/>
    </row>
    <row r="947" spans="1:13" x14ac:dyDescent="0.2">
      <c r="A947" t="s">
        <v>25</v>
      </c>
      <c r="B947" t="s">
        <v>107</v>
      </c>
      <c r="C947" t="s">
        <v>222</v>
      </c>
      <c r="D947" s="110">
        <v>22360.3</v>
      </c>
      <c r="E947" s="111">
        <v>22360.3</v>
      </c>
      <c r="F947" s="111">
        <v>22360.3</v>
      </c>
      <c r="G947" s="111">
        <v>22360.3</v>
      </c>
      <c r="H947" s="112"/>
      <c r="I947" s="110">
        <v>22175.3</v>
      </c>
      <c r="J947" s="111">
        <v>22175.3</v>
      </c>
      <c r="K947" s="111">
        <v>22175.3</v>
      </c>
      <c r="L947" s="111">
        <v>22175.3</v>
      </c>
      <c r="M947" s="112"/>
    </row>
    <row r="948" spans="1:13" x14ac:dyDescent="0.2">
      <c r="A948" s="113" t="s">
        <v>25</v>
      </c>
      <c r="B948" s="113" t="s">
        <v>107</v>
      </c>
      <c r="C948" s="113" t="s">
        <v>223</v>
      </c>
      <c r="D948" s="114">
        <v>22666.03</v>
      </c>
      <c r="E948" s="115">
        <v>22666.03</v>
      </c>
      <c r="F948" s="115">
        <v>22666.03</v>
      </c>
      <c r="G948" s="115"/>
      <c r="H948" s="116"/>
      <c r="I948" s="114">
        <v>22481.03</v>
      </c>
      <c r="J948" s="115">
        <v>22666.03</v>
      </c>
      <c r="K948" s="115">
        <v>22666.03</v>
      </c>
      <c r="L948" s="115"/>
      <c r="M948" s="116"/>
    </row>
    <row r="949" spans="1:13" x14ac:dyDescent="0.2">
      <c r="A949" t="s">
        <v>25</v>
      </c>
      <c r="B949" t="s">
        <v>107</v>
      </c>
      <c r="C949" t="s">
        <v>224</v>
      </c>
      <c r="D949" s="110">
        <v>5985</v>
      </c>
      <c r="E949" s="111">
        <v>5985</v>
      </c>
      <c r="F949" s="111"/>
      <c r="G949" s="111"/>
      <c r="H949" s="112"/>
      <c r="I949" s="110">
        <v>5590</v>
      </c>
      <c r="J949" s="111">
        <v>5775</v>
      </c>
      <c r="K949" s="111"/>
      <c r="L949" s="111"/>
      <c r="M949" s="112"/>
    </row>
    <row r="950" spans="1:13" x14ac:dyDescent="0.2">
      <c r="A950" s="117" t="s">
        <v>25</v>
      </c>
      <c r="B950" s="117" t="s">
        <v>107</v>
      </c>
      <c r="C950" s="117" t="s">
        <v>225</v>
      </c>
      <c r="D950" s="118">
        <v>12640</v>
      </c>
      <c r="E950" s="119"/>
      <c r="F950" s="119"/>
      <c r="G950" s="119"/>
      <c r="H950" s="120"/>
      <c r="I950" s="118">
        <v>12180</v>
      </c>
      <c r="J950" s="119"/>
      <c r="K950" s="119"/>
      <c r="L950" s="119"/>
      <c r="M950" s="120"/>
    </row>
    <row r="951" spans="1:13" x14ac:dyDescent="0.2">
      <c r="A951" t="s">
        <v>25</v>
      </c>
      <c r="B951" t="s">
        <v>108</v>
      </c>
      <c r="C951" t="s">
        <v>222</v>
      </c>
      <c r="D951" s="110">
        <v>5128</v>
      </c>
      <c r="E951" s="111">
        <v>5128</v>
      </c>
      <c r="F951" s="111">
        <v>5128</v>
      </c>
      <c r="G951" s="111">
        <v>5128</v>
      </c>
      <c r="H951" s="112"/>
      <c r="I951" s="110">
        <v>4666</v>
      </c>
      <c r="J951" s="111">
        <v>4666</v>
      </c>
      <c r="K951" s="111">
        <v>4666</v>
      </c>
      <c r="L951" s="111">
        <v>4666</v>
      </c>
      <c r="M951" s="112"/>
    </row>
    <row r="952" spans="1:13" x14ac:dyDescent="0.2">
      <c r="A952" s="113" t="s">
        <v>25</v>
      </c>
      <c r="B952" s="113" t="s">
        <v>108</v>
      </c>
      <c r="C952" s="113" t="s">
        <v>223</v>
      </c>
      <c r="D952" s="114">
        <v>5708.5</v>
      </c>
      <c r="E952" s="115">
        <v>5708.5</v>
      </c>
      <c r="F952" s="115">
        <v>5708.5</v>
      </c>
      <c r="G952" s="115"/>
      <c r="H952" s="116"/>
      <c r="I952" s="114">
        <v>5708.5</v>
      </c>
      <c r="J952" s="115">
        <v>5708.5</v>
      </c>
      <c r="K952" s="115">
        <v>5708.5</v>
      </c>
      <c r="L952" s="115"/>
      <c r="M952" s="116"/>
    </row>
    <row r="953" spans="1:13" x14ac:dyDescent="0.2">
      <c r="A953" t="s">
        <v>25</v>
      </c>
      <c r="B953" t="s">
        <v>108</v>
      </c>
      <c r="C953" t="s">
        <v>224</v>
      </c>
      <c r="D953" s="110">
        <v>4821</v>
      </c>
      <c r="E953" s="111">
        <v>4821</v>
      </c>
      <c r="F953" s="111"/>
      <c r="G953" s="111"/>
      <c r="H953" s="112"/>
      <c r="I953" s="110">
        <v>4821</v>
      </c>
      <c r="J953" s="111">
        <v>4821</v>
      </c>
      <c r="K953" s="111"/>
      <c r="L953" s="111"/>
      <c r="M953" s="112"/>
    </row>
    <row r="954" spans="1:13" x14ac:dyDescent="0.2">
      <c r="A954" s="117" t="s">
        <v>25</v>
      </c>
      <c r="B954" s="117" t="s">
        <v>108</v>
      </c>
      <c r="C954" s="117" t="s">
        <v>225</v>
      </c>
      <c r="D954" s="118">
        <v>7541</v>
      </c>
      <c r="E954" s="119"/>
      <c r="F954" s="119"/>
      <c r="G954" s="119"/>
      <c r="H954" s="120"/>
      <c r="I954" s="118">
        <v>7541</v>
      </c>
      <c r="J954" s="119"/>
      <c r="K954" s="119"/>
      <c r="L954" s="119"/>
      <c r="M954" s="120"/>
    </row>
    <row r="955" spans="1:13" x14ac:dyDescent="0.2">
      <c r="A955" t="s">
        <v>25</v>
      </c>
      <c r="B955" t="s">
        <v>70</v>
      </c>
      <c r="C955" t="s">
        <v>222</v>
      </c>
      <c r="D955" s="110">
        <v>11121</v>
      </c>
      <c r="E955" s="111">
        <v>11071</v>
      </c>
      <c r="F955" s="111">
        <v>11071</v>
      </c>
      <c r="G955" s="111">
        <v>11071</v>
      </c>
      <c r="H955" s="112"/>
      <c r="I955" s="110">
        <v>10621</v>
      </c>
      <c r="J955" s="111">
        <v>10671</v>
      </c>
      <c r="K955" s="111">
        <v>10671</v>
      </c>
      <c r="L955" s="111">
        <v>10671</v>
      </c>
      <c r="M955" s="112"/>
    </row>
    <row r="956" spans="1:13" x14ac:dyDescent="0.2">
      <c r="A956" s="113" t="s">
        <v>25</v>
      </c>
      <c r="B956" s="113" t="s">
        <v>70</v>
      </c>
      <c r="C956" s="113" t="s">
        <v>223</v>
      </c>
      <c r="D956" s="114">
        <v>8721.5</v>
      </c>
      <c r="E956" s="115">
        <v>8721.5</v>
      </c>
      <c r="F956" s="115">
        <v>8721.5</v>
      </c>
      <c r="G956" s="115"/>
      <c r="H956" s="116"/>
      <c r="I956" s="114">
        <v>7227.5</v>
      </c>
      <c r="J956" s="115">
        <v>7522.5</v>
      </c>
      <c r="K956" s="115">
        <v>7522.5</v>
      </c>
      <c r="L956" s="115"/>
      <c r="M956" s="116"/>
    </row>
    <row r="957" spans="1:13" x14ac:dyDescent="0.2">
      <c r="A957" t="s">
        <v>25</v>
      </c>
      <c r="B957" t="s">
        <v>70</v>
      </c>
      <c r="C957" t="s">
        <v>224</v>
      </c>
      <c r="D957" s="110">
        <v>8170.1</v>
      </c>
      <c r="E957" s="111">
        <v>8170.1</v>
      </c>
      <c r="F957" s="111"/>
      <c r="G957" s="111"/>
      <c r="H957" s="112"/>
      <c r="I957" s="110">
        <v>7952.2</v>
      </c>
      <c r="J957" s="111">
        <v>8002.2</v>
      </c>
      <c r="K957" s="111"/>
      <c r="L957" s="111"/>
      <c r="M957" s="112"/>
    </row>
    <row r="958" spans="1:13" x14ac:dyDescent="0.2">
      <c r="A958" s="117" t="s">
        <v>25</v>
      </c>
      <c r="B958" s="117" t="s">
        <v>70</v>
      </c>
      <c r="C958" s="117" t="s">
        <v>225</v>
      </c>
      <c r="D958" s="118">
        <v>10186</v>
      </c>
      <c r="E958" s="119"/>
      <c r="F958" s="119"/>
      <c r="G958" s="119"/>
      <c r="H958" s="120"/>
      <c r="I958" s="118">
        <v>9025</v>
      </c>
      <c r="J958" s="119"/>
      <c r="K958" s="119"/>
      <c r="L958" s="119"/>
      <c r="M958" s="120"/>
    </row>
    <row r="959" spans="1:13" x14ac:dyDescent="0.2">
      <c r="A959" t="s">
        <v>25</v>
      </c>
      <c r="B959" t="s">
        <v>110</v>
      </c>
      <c r="C959" t="s">
        <v>222</v>
      </c>
      <c r="D959" s="110">
        <v>230270.35</v>
      </c>
      <c r="E959" s="111">
        <v>221522.55</v>
      </c>
      <c r="F959" s="111">
        <v>221480.15</v>
      </c>
      <c r="G959" s="111">
        <v>221223.15</v>
      </c>
      <c r="H959" s="112"/>
      <c r="I959" s="110">
        <v>112743.85</v>
      </c>
      <c r="J959" s="111">
        <v>186554.25</v>
      </c>
      <c r="K959" s="111">
        <v>199662.5</v>
      </c>
      <c r="L959" s="111">
        <v>206492.65</v>
      </c>
      <c r="M959" s="112"/>
    </row>
    <row r="960" spans="1:13" x14ac:dyDescent="0.2">
      <c r="A960" s="113" t="s">
        <v>25</v>
      </c>
      <c r="B960" s="113" t="s">
        <v>110</v>
      </c>
      <c r="C960" s="113" t="s">
        <v>223</v>
      </c>
      <c r="D960" s="114">
        <v>156235.79999999999</v>
      </c>
      <c r="E960" s="115">
        <v>150292.15</v>
      </c>
      <c r="F960" s="115">
        <v>148861.45000000001</v>
      </c>
      <c r="G960" s="115"/>
      <c r="H960" s="116"/>
      <c r="I960" s="114">
        <v>80728.75</v>
      </c>
      <c r="J960" s="115">
        <v>111671.95</v>
      </c>
      <c r="K960" s="115">
        <v>128652.05</v>
      </c>
      <c r="L960" s="115"/>
      <c r="M960" s="116"/>
    </row>
    <row r="961" spans="1:13" x14ac:dyDescent="0.2">
      <c r="A961" t="s">
        <v>25</v>
      </c>
      <c r="B961" t="s">
        <v>110</v>
      </c>
      <c r="C961" t="s">
        <v>224</v>
      </c>
      <c r="D961" s="110">
        <v>77785.5</v>
      </c>
      <c r="E961" s="111">
        <v>73359.100000000006</v>
      </c>
      <c r="F961" s="111"/>
      <c r="G961" s="111"/>
      <c r="H961" s="112"/>
      <c r="I961" s="110">
        <v>31402.2</v>
      </c>
      <c r="J961" s="111">
        <v>57034</v>
      </c>
      <c r="K961" s="111"/>
      <c r="L961" s="111"/>
      <c r="M961" s="112"/>
    </row>
    <row r="962" spans="1:13" ht="13.5" thickBot="1" x14ac:dyDescent="0.25">
      <c r="A962" s="128" t="s">
        <v>25</v>
      </c>
      <c r="B962" s="128" t="s">
        <v>110</v>
      </c>
      <c r="C962" s="128" t="s">
        <v>225</v>
      </c>
      <c r="D962" s="129">
        <v>145389.35</v>
      </c>
      <c r="E962" s="130"/>
      <c r="F962" s="130"/>
      <c r="G962" s="130"/>
      <c r="H962" s="131"/>
      <c r="I962" s="129">
        <v>60908.85</v>
      </c>
      <c r="J962" s="130"/>
      <c r="K962" s="130"/>
      <c r="L962" s="130"/>
      <c r="M962" s="131"/>
    </row>
    <row r="963" spans="1:13" x14ac:dyDescent="0.2">
      <c r="A963" s="132" t="s">
        <v>26</v>
      </c>
      <c r="B963" s="132" t="s">
        <v>104</v>
      </c>
      <c r="C963" s="132" t="s">
        <v>222</v>
      </c>
      <c r="D963" s="133">
        <v>71285.77</v>
      </c>
      <c r="E963" s="134">
        <v>71285.77</v>
      </c>
      <c r="F963" s="134">
        <v>71285.77</v>
      </c>
      <c r="G963" s="134">
        <v>71285.77</v>
      </c>
      <c r="H963" s="135"/>
      <c r="I963" s="133">
        <v>2236.15</v>
      </c>
      <c r="J963" s="134">
        <v>4590.01</v>
      </c>
      <c r="K963" s="134">
        <v>21846.01</v>
      </c>
      <c r="L963" s="134">
        <v>27544.39</v>
      </c>
      <c r="M963" s="135"/>
    </row>
    <row r="964" spans="1:13" x14ac:dyDescent="0.2">
      <c r="A964" s="113" t="s">
        <v>26</v>
      </c>
      <c r="B964" s="113" t="s">
        <v>104</v>
      </c>
      <c r="C964" s="113" t="s">
        <v>223</v>
      </c>
      <c r="D964" s="114">
        <v>99799.44</v>
      </c>
      <c r="E964" s="115">
        <v>99799.44</v>
      </c>
      <c r="F964" s="115">
        <v>99799.44</v>
      </c>
      <c r="G964" s="115"/>
      <c r="H964" s="116"/>
      <c r="I964" s="114">
        <v>1185.6300000000001</v>
      </c>
      <c r="J964" s="115">
        <v>13258.63</v>
      </c>
      <c r="K964" s="115">
        <v>16892.02</v>
      </c>
      <c r="L964" s="115"/>
      <c r="M964" s="116"/>
    </row>
    <row r="965" spans="1:13" x14ac:dyDescent="0.2">
      <c r="A965" t="s">
        <v>26</v>
      </c>
      <c r="B965" t="s">
        <v>104</v>
      </c>
      <c r="C965" t="s">
        <v>224</v>
      </c>
      <c r="D965" s="110">
        <v>28052.46</v>
      </c>
      <c r="E965" s="111">
        <v>28052.46</v>
      </c>
      <c r="F965" s="111"/>
      <c r="G965" s="111"/>
      <c r="H965" s="112"/>
      <c r="I965" s="110">
        <v>2960.69</v>
      </c>
      <c r="J965" s="111">
        <v>5321.47</v>
      </c>
      <c r="K965" s="111"/>
      <c r="L965" s="111"/>
      <c r="M965" s="112"/>
    </row>
    <row r="966" spans="1:13" x14ac:dyDescent="0.2">
      <c r="A966" s="117" t="s">
        <v>26</v>
      </c>
      <c r="B966" s="117" t="s">
        <v>104</v>
      </c>
      <c r="C966" s="117" t="s">
        <v>225</v>
      </c>
      <c r="D966" s="118">
        <v>148785.17000000001</v>
      </c>
      <c r="E966" s="119"/>
      <c r="F966" s="119"/>
      <c r="G966" s="119"/>
      <c r="H966" s="120"/>
      <c r="I966" s="118">
        <v>84010.65</v>
      </c>
      <c r="J966" s="119"/>
      <c r="K966" s="119"/>
      <c r="L966" s="119"/>
      <c r="M966" s="120"/>
    </row>
    <row r="967" spans="1:13" x14ac:dyDescent="0.2">
      <c r="A967" t="s">
        <v>26</v>
      </c>
      <c r="B967" t="s">
        <v>140</v>
      </c>
      <c r="C967" t="s">
        <v>222</v>
      </c>
      <c r="D967" s="110">
        <v>0</v>
      </c>
      <c r="E967" s="111">
        <v>0</v>
      </c>
      <c r="F967" s="111">
        <v>0</v>
      </c>
      <c r="G967" s="111">
        <v>0</v>
      </c>
      <c r="H967" s="112"/>
      <c r="I967" s="110">
        <v>0</v>
      </c>
      <c r="J967" s="111">
        <v>0</v>
      </c>
      <c r="K967" s="111">
        <v>0</v>
      </c>
      <c r="L967" s="111">
        <v>0</v>
      </c>
      <c r="M967" s="112"/>
    </row>
    <row r="968" spans="1:13" x14ac:dyDescent="0.2">
      <c r="A968" s="113" t="s">
        <v>26</v>
      </c>
      <c r="B968" s="113" t="s">
        <v>140</v>
      </c>
      <c r="C968" s="113" t="s">
        <v>223</v>
      </c>
      <c r="D968" s="114">
        <v>0</v>
      </c>
      <c r="E968" s="115">
        <v>0</v>
      </c>
      <c r="F968" s="115">
        <v>0</v>
      </c>
      <c r="G968" s="115"/>
      <c r="H968" s="116"/>
      <c r="I968" s="114">
        <v>0</v>
      </c>
      <c r="J968" s="115">
        <v>0</v>
      </c>
      <c r="K968" s="115">
        <v>0</v>
      </c>
      <c r="L968" s="115"/>
      <c r="M968" s="116"/>
    </row>
    <row r="969" spans="1:13" x14ac:dyDescent="0.2">
      <c r="A969" t="s">
        <v>26</v>
      </c>
      <c r="B969" t="s">
        <v>140</v>
      </c>
      <c r="C969" t="s">
        <v>224</v>
      </c>
      <c r="D969" s="110">
        <v>0</v>
      </c>
      <c r="E969" s="111">
        <v>0</v>
      </c>
      <c r="F969" s="111"/>
      <c r="G969" s="111"/>
      <c r="H969" s="112"/>
      <c r="I969" s="110">
        <v>0</v>
      </c>
      <c r="J969" s="111">
        <v>0</v>
      </c>
      <c r="K969" s="111"/>
      <c r="L969" s="111"/>
      <c r="M969" s="112"/>
    </row>
    <row r="970" spans="1:13" x14ac:dyDescent="0.2">
      <c r="A970" s="117" t="s">
        <v>26</v>
      </c>
      <c r="B970" s="117" t="s">
        <v>140</v>
      </c>
      <c r="C970" s="117" t="s">
        <v>225</v>
      </c>
      <c r="D970" s="118">
        <v>3750</v>
      </c>
      <c r="E970" s="119"/>
      <c r="F970" s="119"/>
      <c r="G970" s="119"/>
      <c r="H970" s="120"/>
      <c r="I970" s="118">
        <v>3750</v>
      </c>
      <c r="J970" s="119"/>
      <c r="K970" s="119"/>
      <c r="L970" s="119"/>
      <c r="M970" s="120"/>
    </row>
    <row r="971" spans="1:13" x14ac:dyDescent="0.2">
      <c r="A971" t="s">
        <v>26</v>
      </c>
      <c r="B971" t="s">
        <v>105</v>
      </c>
      <c r="C971" t="s">
        <v>222</v>
      </c>
      <c r="D971" s="110">
        <v>44618.02</v>
      </c>
      <c r="E971" s="111">
        <v>44618.02</v>
      </c>
      <c r="F971" s="111">
        <v>44618.02</v>
      </c>
      <c r="G971" s="111">
        <v>44618.02</v>
      </c>
      <c r="H971" s="112"/>
      <c r="I971" s="110">
        <v>10238.52</v>
      </c>
      <c r="J971" s="111">
        <v>13325.89</v>
      </c>
      <c r="K971" s="111">
        <v>16217.52</v>
      </c>
      <c r="L971" s="111">
        <v>17056.02</v>
      </c>
      <c r="M971" s="112"/>
    </row>
    <row r="972" spans="1:13" x14ac:dyDescent="0.2">
      <c r="A972" s="113" t="s">
        <v>26</v>
      </c>
      <c r="B972" s="113" t="s">
        <v>105</v>
      </c>
      <c r="C972" s="113" t="s">
        <v>223</v>
      </c>
      <c r="D972" s="114">
        <v>45727.5</v>
      </c>
      <c r="E972" s="115">
        <v>45727.5</v>
      </c>
      <c r="F972" s="115">
        <v>45727.5</v>
      </c>
      <c r="G972" s="115"/>
      <c r="H972" s="116"/>
      <c r="I972" s="114">
        <v>8484.77</v>
      </c>
      <c r="J972" s="115">
        <v>14875.11</v>
      </c>
      <c r="K972" s="115">
        <v>17476.900000000001</v>
      </c>
      <c r="L972" s="115"/>
      <c r="M972" s="116"/>
    </row>
    <row r="973" spans="1:13" x14ac:dyDescent="0.2">
      <c r="A973" t="s">
        <v>26</v>
      </c>
      <c r="B973" t="s">
        <v>105</v>
      </c>
      <c r="C973" t="s">
        <v>224</v>
      </c>
      <c r="D973" s="110">
        <v>21595.45</v>
      </c>
      <c r="E973" s="111">
        <v>21595.45</v>
      </c>
      <c r="F973" s="111"/>
      <c r="G973" s="111"/>
      <c r="H973" s="112"/>
      <c r="I973" s="110">
        <v>6743</v>
      </c>
      <c r="J973" s="111">
        <v>10793</v>
      </c>
      <c r="K973" s="111"/>
      <c r="L973" s="111"/>
      <c r="M973" s="112"/>
    </row>
    <row r="974" spans="1:13" x14ac:dyDescent="0.2">
      <c r="A974" s="117" t="s">
        <v>26</v>
      </c>
      <c r="B974" s="117" t="s">
        <v>105</v>
      </c>
      <c r="C974" s="117" t="s">
        <v>225</v>
      </c>
      <c r="D974" s="118">
        <v>77848.56</v>
      </c>
      <c r="E974" s="119"/>
      <c r="F974" s="119"/>
      <c r="G974" s="119"/>
      <c r="H974" s="120"/>
      <c r="I974" s="118">
        <v>56497.440000000002</v>
      </c>
      <c r="J974" s="119"/>
      <c r="K974" s="119"/>
      <c r="L974" s="119"/>
      <c r="M974" s="120"/>
    </row>
    <row r="975" spans="1:13" x14ac:dyDescent="0.2">
      <c r="A975" t="s">
        <v>26</v>
      </c>
      <c r="B975" t="s">
        <v>111</v>
      </c>
      <c r="C975" t="s">
        <v>222</v>
      </c>
      <c r="D975" s="110">
        <v>400</v>
      </c>
      <c r="E975" s="111">
        <v>400</v>
      </c>
      <c r="F975" s="111">
        <v>400</v>
      </c>
      <c r="G975" s="111">
        <v>400</v>
      </c>
      <c r="H975" s="112"/>
      <c r="I975" s="110">
        <v>0</v>
      </c>
      <c r="J975" s="111">
        <v>0</v>
      </c>
      <c r="K975" s="111">
        <v>0</v>
      </c>
      <c r="L975" s="111">
        <v>0</v>
      </c>
      <c r="M975" s="112"/>
    </row>
    <row r="976" spans="1:13" x14ac:dyDescent="0.2">
      <c r="A976" s="113" t="s">
        <v>26</v>
      </c>
      <c r="B976" s="113" t="s">
        <v>111</v>
      </c>
      <c r="C976" s="113" t="s">
        <v>223</v>
      </c>
      <c r="D976" s="114">
        <v>400</v>
      </c>
      <c r="E976" s="115">
        <v>400</v>
      </c>
      <c r="F976" s="115">
        <v>400</v>
      </c>
      <c r="G976" s="115"/>
      <c r="H976" s="116"/>
      <c r="I976" s="114">
        <v>0</v>
      </c>
      <c r="J976" s="115">
        <v>0</v>
      </c>
      <c r="K976" s="115">
        <v>0</v>
      </c>
      <c r="L976" s="115"/>
      <c r="M976" s="116"/>
    </row>
    <row r="977" spans="1:13" x14ac:dyDescent="0.2">
      <c r="A977" t="s">
        <v>26</v>
      </c>
      <c r="B977" t="s">
        <v>111</v>
      </c>
      <c r="C977" t="s">
        <v>224</v>
      </c>
      <c r="D977" s="110">
        <v>650</v>
      </c>
      <c r="E977" s="111">
        <v>650</v>
      </c>
      <c r="F977" s="111"/>
      <c r="G977" s="111"/>
      <c r="H977" s="112"/>
      <c r="I977" s="110">
        <v>0</v>
      </c>
      <c r="J977" s="111">
        <v>0</v>
      </c>
      <c r="K977" s="111"/>
      <c r="L977" s="111"/>
      <c r="M977" s="112"/>
    </row>
    <row r="978" spans="1:13" x14ac:dyDescent="0.2">
      <c r="A978" s="117" t="s">
        <v>26</v>
      </c>
      <c r="B978" s="117" t="s">
        <v>111</v>
      </c>
      <c r="C978" s="117" t="s">
        <v>225</v>
      </c>
      <c r="D978" s="118">
        <v>353</v>
      </c>
      <c r="E978" s="119"/>
      <c r="F978" s="119"/>
      <c r="G978" s="119"/>
      <c r="H978" s="120"/>
      <c r="I978" s="118">
        <v>153</v>
      </c>
      <c r="J978" s="119"/>
      <c r="K978" s="119"/>
      <c r="L978" s="119"/>
      <c r="M978" s="120"/>
    </row>
    <row r="979" spans="1:13" x14ac:dyDescent="0.2">
      <c r="A979" s="124" t="s">
        <v>26</v>
      </c>
      <c r="B979" s="124" t="s">
        <v>109</v>
      </c>
      <c r="C979" s="124" t="s">
        <v>222</v>
      </c>
      <c r="D979" s="125">
        <v>111978.5</v>
      </c>
      <c r="E979" s="126">
        <v>111117</v>
      </c>
      <c r="F979" s="126">
        <v>110903.97</v>
      </c>
      <c r="G979" s="126">
        <v>110539.27</v>
      </c>
      <c r="H979" s="127"/>
      <c r="I979" s="125">
        <v>24334.59</v>
      </c>
      <c r="J979" s="126">
        <v>47760.47</v>
      </c>
      <c r="K979" s="126">
        <v>68832.259999999995</v>
      </c>
      <c r="L979" s="126">
        <v>75555.850000000006</v>
      </c>
      <c r="M979" s="127"/>
    </row>
    <row r="980" spans="1:13" x14ac:dyDescent="0.2">
      <c r="A980" s="113" t="s">
        <v>26</v>
      </c>
      <c r="B980" s="113" t="s">
        <v>109</v>
      </c>
      <c r="C980" s="113" t="s">
        <v>223</v>
      </c>
      <c r="D980" s="114">
        <v>140351.45000000001</v>
      </c>
      <c r="E980" s="115">
        <v>140351.45000000001</v>
      </c>
      <c r="F980" s="115">
        <v>140351.45000000001</v>
      </c>
      <c r="G980" s="115"/>
      <c r="H980" s="116"/>
      <c r="I980" s="114">
        <v>28907.07</v>
      </c>
      <c r="J980" s="115">
        <v>52706.63</v>
      </c>
      <c r="K980" s="115">
        <v>68014.98</v>
      </c>
      <c r="L980" s="115"/>
      <c r="M980" s="116"/>
    </row>
    <row r="981" spans="1:13" x14ac:dyDescent="0.2">
      <c r="A981" t="s">
        <v>26</v>
      </c>
      <c r="B981" t="s">
        <v>109</v>
      </c>
      <c r="C981" t="s">
        <v>224</v>
      </c>
      <c r="D981" s="110">
        <v>56968.36</v>
      </c>
      <c r="E981" s="111">
        <v>56968.36</v>
      </c>
      <c r="F981" s="111"/>
      <c r="G981" s="111"/>
      <c r="H981" s="112"/>
      <c r="I981" s="110">
        <v>10824.74</v>
      </c>
      <c r="J981" s="111">
        <v>25228.36</v>
      </c>
      <c r="K981" s="111"/>
      <c r="L981" s="111"/>
      <c r="M981" s="112"/>
    </row>
    <row r="982" spans="1:13" x14ac:dyDescent="0.2">
      <c r="A982" s="117" t="s">
        <v>26</v>
      </c>
      <c r="B982" s="117" t="s">
        <v>109</v>
      </c>
      <c r="C982" s="117" t="s">
        <v>225</v>
      </c>
      <c r="D982" s="118">
        <v>191570.19</v>
      </c>
      <c r="E982" s="119"/>
      <c r="F982" s="119"/>
      <c r="G982" s="119"/>
      <c r="H982" s="120"/>
      <c r="I982" s="118">
        <v>104282.07</v>
      </c>
      <c r="J982" s="119"/>
      <c r="K982" s="119"/>
      <c r="L982" s="119"/>
      <c r="M982" s="120"/>
    </row>
    <row r="983" spans="1:13" x14ac:dyDescent="0.2">
      <c r="A983" t="s">
        <v>26</v>
      </c>
      <c r="B983" t="s">
        <v>106</v>
      </c>
      <c r="C983" t="s">
        <v>222</v>
      </c>
      <c r="D983" s="110">
        <v>43468.5</v>
      </c>
      <c r="E983" s="111">
        <v>43468.5</v>
      </c>
      <c r="F983" s="111">
        <v>43468.5</v>
      </c>
      <c r="G983" s="111">
        <v>43468.5</v>
      </c>
      <c r="H983" s="112"/>
      <c r="I983" s="110">
        <v>41798.5</v>
      </c>
      <c r="J983" s="111">
        <v>43068.5</v>
      </c>
      <c r="K983" s="111">
        <v>43068.5</v>
      </c>
      <c r="L983" s="111">
        <v>43068.5</v>
      </c>
      <c r="M983" s="112"/>
    </row>
    <row r="984" spans="1:13" x14ac:dyDescent="0.2">
      <c r="A984" s="113" t="s">
        <v>26</v>
      </c>
      <c r="B984" s="113" t="s">
        <v>106</v>
      </c>
      <c r="C984" s="113" t="s">
        <v>223</v>
      </c>
      <c r="D984" s="114">
        <v>21039</v>
      </c>
      <c r="E984" s="115">
        <v>21039</v>
      </c>
      <c r="F984" s="115">
        <v>21039</v>
      </c>
      <c r="G984" s="115"/>
      <c r="H984" s="116"/>
      <c r="I984" s="114">
        <v>21039</v>
      </c>
      <c r="J984" s="115">
        <v>21039</v>
      </c>
      <c r="K984" s="115">
        <v>21039</v>
      </c>
      <c r="L984" s="115"/>
      <c r="M984" s="116"/>
    </row>
    <row r="985" spans="1:13" x14ac:dyDescent="0.2">
      <c r="A985" t="s">
        <v>26</v>
      </c>
      <c r="B985" t="s">
        <v>106</v>
      </c>
      <c r="C985" t="s">
        <v>224</v>
      </c>
      <c r="D985" s="110">
        <v>11842.5</v>
      </c>
      <c r="E985" s="111">
        <v>11842.5</v>
      </c>
      <c r="F985" s="111"/>
      <c r="G985" s="111"/>
      <c r="H985" s="112"/>
      <c r="I985" s="110">
        <v>10970.5</v>
      </c>
      <c r="J985" s="111">
        <v>11842.5</v>
      </c>
      <c r="K985" s="111"/>
      <c r="L985" s="111"/>
      <c r="M985" s="112"/>
    </row>
    <row r="986" spans="1:13" x14ac:dyDescent="0.2">
      <c r="A986" s="117" t="s">
        <v>26</v>
      </c>
      <c r="B986" s="117" t="s">
        <v>106</v>
      </c>
      <c r="C986" s="117" t="s">
        <v>225</v>
      </c>
      <c r="D986" s="118">
        <v>21460.5</v>
      </c>
      <c r="E986" s="119"/>
      <c r="F986" s="119"/>
      <c r="G986" s="119"/>
      <c r="H986" s="120"/>
      <c r="I986" s="118">
        <v>21460.5</v>
      </c>
      <c r="J986" s="119"/>
      <c r="K986" s="119"/>
      <c r="L986" s="119"/>
      <c r="M986" s="120"/>
    </row>
    <row r="987" spans="1:13" x14ac:dyDescent="0.2">
      <c r="A987" t="s">
        <v>26</v>
      </c>
      <c r="B987" t="s">
        <v>107</v>
      </c>
      <c r="C987" t="s">
        <v>222</v>
      </c>
      <c r="D987" s="110">
        <v>36924</v>
      </c>
      <c r="E987" s="111">
        <v>36924</v>
      </c>
      <c r="F987" s="111">
        <v>36924</v>
      </c>
      <c r="G987" s="111">
        <v>36924</v>
      </c>
      <c r="H987" s="112"/>
      <c r="I987" s="110">
        <v>36739</v>
      </c>
      <c r="J987" s="111">
        <v>36924</v>
      </c>
      <c r="K987" s="111">
        <v>36924</v>
      </c>
      <c r="L987" s="111">
        <v>36924</v>
      </c>
      <c r="M987" s="112"/>
    </row>
    <row r="988" spans="1:13" x14ac:dyDescent="0.2">
      <c r="A988" s="113" t="s">
        <v>26</v>
      </c>
      <c r="B988" s="113" t="s">
        <v>107</v>
      </c>
      <c r="C988" s="113" t="s">
        <v>223</v>
      </c>
      <c r="D988" s="114">
        <v>40981</v>
      </c>
      <c r="E988" s="115">
        <v>40981</v>
      </c>
      <c r="F988" s="115">
        <v>40981</v>
      </c>
      <c r="G988" s="115"/>
      <c r="H988" s="116"/>
      <c r="I988" s="114">
        <v>36395</v>
      </c>
      <c r="J988" s="115">
        <v>40668.5</v>
      </c>
      <c r="K988" s="115">
        <v>40668.5</v>
      </c>
      <c r="L988" s="115"/>
      <c r="M988" s="116"/>
    </row>
    <row r="989" spans="1:13" x14ac:dyDescent="0.2">
      <c r="A989" t="s">
        <v>26</v>
      </c>
      <c r="B989" t="s">
        <v>107</v>
      </c>
      <c r="C989" t="s">
        <v>224</v>
      </c>
      <c r="D989" s="110">
        <v>26319</v>
      </c>
      <c r="E989" s="111">
        <v>26319</v>
      </c>
      <c r="F989" s="111"/>
      <c r="G989" s="111"/>
      <c r="H989" s="112"/>
      <c r="I989" s="110">
        <v>22634</v>
      </c>
      <c r="J989" s="111">
        <v>26319</v>
      </c>
      <c r="K989" s="111"/>
      <c r="L989" s="111"/>
      <c r="M989" s="112"/>
    </row>
    <row r="990" spans="1:13" x14ac:dyDescent="0.2">
      <c r="A990" s="117" t="s">
        <v>26</v>
      </c>
      <c r="B990" s="117" t="s">
        <v>107</v>
      </c>
      <c r="C990" s="117" t="s">
        <v>225</v>
      </c>
      <c r="D990" s="118">
        <v>28901.5</v>
      </c>
      <c r="E990" s="119"/>
      <c r="F990" s="119"/>
      <c r="G990" s="119"/>
      <c r="H990" s="120"/>
      <c r="I990" s="118">
        <v>28901.5</v>
      </c>
      <c r="J990" s="119"/>
      <c r="K990" s="119"/>
      <c r="L990" s="119"/>
      <c r="M990" s="120"/>
    </row>
    <row r="991" spans="1:13" x14ac:dyDescent="0.2">
      <c r="A991" t="s">
        <v>26</v>
      </c>
      <c r="B991" t="s">
        <v>108</v>
      </c>
      <c r="C991" t="s">
        <v>222</v>
      </c>
      <c r="D991" s="110">
        <v>13134.6</v>
      </c>
      <c r="E991" s="111">
        <v>13134.6</v>
      </c>
      <c r="F991" s="111">
        <v>13134.6</v>
      </c>
      <c r="G991" s="111">
        <v>13134.6</v>
      </c>
      <c r="H991" s="112"/>
      <c r="I991" s="110">
        <v>13134.6</v>
      </c>
      <c r="J991" s="111">
        <v>13134.6</v>
      </c>
      <c r="K991" s="111">
        <v>13134.6</v>
      </c>
      <c r="L991" s="111">
        <v>13134.6</v>
      </c>
      <c r="M991" s="112"/>
    </row>
    <row r="992" spans="1:13" x14ac:dyDescent="0.2">
      <c r="A992" s="113" t="s">
        <v>26</v>
      </c>
      <c r="B992" s="113" t="s">
        <v>108</v>
      </c>
      <c r="C992" s="113" t="s">
        <v>223</v>
      </c>
      <c r="D992" s="114">
        <v>7382.5</v>
      </c>
      <c r="E992" s="115">
        <v>7382.5</v>
      </c>
      <c r="F992" s="115">
        <v>7382.5</v>
      </c>
      <c r="G992" s="115"/>
      <c r="H992" s="116"/>
      <c r="I992" s="114">
        <v>7037.5</v>
      </c>
      <c r="J992" s="115">
        <v>7382.5</v>
      </c>
      <c r="K992" s="115">
        <v>7382.5</v>
      </c>
      <c r="L992" s="115"/>
      <c r="M992" s="116"/>
    </row>
    <row r="993" spans="1:13" x14ac:dyDescent="0.2">
      <c r="A993" t="s">
        <v>26</v>
      </c>
      <c r="B993" t="s">
        <v>108</v>
      </c>
      <c r="C993" t="s">
        <v>224</v>
      </c>
      <c r="D993" s="110">
        <v>8329</v>
      </c>
      <c r="E993" s="111">
        <v>8329</v>
      </c>
      <c r="F993" s="111"/>
      <c r="G993" s="111"/>
      <c r="H993" s="112"/>
      <c r="I993" s="110">
        <v>8329</v>
      </c>
      <c r="J993" s="111">
        <v>8329</v>
      </c>
      <c r="K993" s="111"/>
      <c r="L993" s="111"/>
      <c r="M993" s="112"/>
    </row>
    <row r="994" spans="1:13" x14ac:dyDescent="0.2">
      <c r="A994" s="117" t="s">
        <v>26</v>
      </c>
      <c r="B994" s="117" t="s">
        <v>108</v>
      </c>
      <c r="C994" s="117" t="s">
        <v>225</v>
      </c>
      <c r="D994" s="118">
        <v>11939</v>
      </c>
      <c r="E994" s="119"/>
      <c r="F994" s="119"/>
      <c r="G994" s="119"/>
      <c r="H994" s="120"/>
      <c r="I994" s="118">
        <v>11939</v>
      </c>
      <c r="J994" s="119"/>
      <c r="K994" s="119"/>
      <c r="L994" s="119"/>
      <c r="M994" s="120"/>
    </row>
    <row r="995" spans="1:13" x14ac:dyDescent="0.2">
      <c r="A995" t="s">
        <v>26</v>
      </c>
      <c r="B995" t="s">
        <v>70</v>
      </c>
      <c r="C995" t="s">
        <v>222</v>
      </c>
      <c r="D995" s="110">
        <v>22649</v>
      </c>
      <c r="E995" s="111">
        <v>21833</v>
      </c>
      <c r="F995" s="111">
        <v>21833</v>
      </c>
      <c r="G995" s="111">
        <v>21833</v>
      </c>
      <c r="H995" s="112"/>
      <c r="I995" s="110">
        <v>21390.5</v>
      </c>
      <c r="J995" s="111">
        <v>21833</v>
      </c>
      <c r="K995" s="111">
        <v>21833</v>
      </c>
      <c r="L995" s="111">
        <v>21833</v>
      </c>
      <c r="M995" s="112"/>
    </row>
    <row r="996" spans="1:13" x14ac:dyDescent="0.2">
      <c r="A996" s="113" t="s">
        <v>26</v>
      </c>
      <c r="B996" s="113" t="s">
        <v>70</v>
      </c>
      <c r="C996" s="113" t="s">
        <v>223</v>
      </c>
      <c r="D996" s="114">
        <v>20787.900000000001</v>
      </c>
      <c r="E996" s="115">
        <v>20487.900000000001</v>
      </c>
      <c r="F996" s="115">
        <v>20487.900000000001</v>
      </c>
      <c r="G996" s="115"/>
      <c r="H996" s="116"/>
      <c r="I996" s="114">
        <v>19419.900000000001</v>
      </c>
      <c r="J996" s="115">
        <v>19419.900000000001</v>
      </c>
      <c r="K996" s="115">
        <v>19419.900000000001</v>
      </c>
      <c r="L996" s="115"/>
      <c r="M996" s="116"/>
    </row>
    <row r="997" spans="1:13" x14ac:dyDescent="0.2">
      <c r="A997" t="s">
        <v>26</v>
      </c>
      <c r="B997" t="s">
        <v>70</v>
      </c>
      <c r="C997" t="s">
        <v>224</v>
      </c>
      <c r="D997" s="110">
        <v>12164</v>
      </c>
      <c r="E997" s="111">
        <v>12164</v>
      </c>
      <c r="F997" s="111"/>
      <c r="G997" s="111"/>
      <c r="H997" s="112"/>
      <c r="I997" s="110">
        <v>10959</v>
      </c>
      <c r="J997" s="111">
        <v>11864</v>
      </c>
      <c r="K997" s="111"/>
      <c r="L997" s="111"/>
      <c r="M997" s="112"/>
    </row>
    <row r="998" spans="1:13" x14ac:dyDescent="0.2">
      <c r="A998" s="117" t="s">
        <v>26</v>
      </c>
      <c r="B998" s="117" t="s">
        <v>70</v>
      </c>
      <c r="C998" s="117" t="s">
        <v>225</v>
      </c>
      <c r="D998" s="118">
        <v>26366.5</v>
      </c>
      <c r="E998" s="119"/>
      <c r="F998" s="119"/>
      <c r="G998" s="119"/>
      <c r="H998" s="120"/>
      <c r="I998" s="118">
        <v>25588.5</v>
      </c>
      <c r="J998" s="119"/>
      <c r="K998" s="119"/>
      <c r="L998" s="119"/>
      <c r="M998" s="120"/>
    </row>
    <row r="999" spans="1:13" x14ac:dyDescent="0.2">
      <c r="A999" t="s">
        <v>26</v>
      </c>
      <c r="B999" t="s">
        <v>110</v>
      </c>
      <c r="C999" t="s">
        <v>222</v>
      </c>
      <c r="D999" s="110">
        <v>262789.75</v>
      </c>
      <c r="E999" s="111">
        <v>262340.45</v>
      </c>
      <c r="F999" s="111">
        <v>261657.45</v>
      </c>
      <c r="G999" s="111">
        <v>261085.45</v>
      </c>
      <c r="H999" s="112"/>
      <c r="I999" s="110">
        <v>96477.65</v>
      </c>
      <c r="J999" s="111">
        <v>182746.69</v>
      </c>
      <c r="K999" s="111">
        <v>218654.73</v>
      </c>
      <c r="L999" s="111">
        <v>226528.23</v>
      </c>
      <c r="M999" s="112"/>
    </row>
    <row r="1000" spans="1:13" x14ac:dyDescent="0.2">
      <c r="A1000" s="113" t="s">
        <v>26</v>
      </c>
      <c r="B1000" s="113" t="s">
        <v>110</v>
      </c>
      <c r="C1000" s="113" t="s">
        <v>223</v>
      </c>
      <c r="D1000" s="114">
        <v>207278.45</v>
      </c>
      <c r="E1000" s="115">
        <v>207278.45</v>
      </c>
      <c r="F1000" s="115">
        <v>207278.45</v>
      </c>
      <c r="G1000" s="115"/>
      <c r="H1000" s="116"/>
      <c r="I1000" s="114">
        <v>74870.95</v>
      </c>
      <c r="J1000" s="115">
        <v>117235.25</v>
      </c>
      <c r="K1000" s="115">
        <v>148028.25</v>
      </c>
      <c r="L1000" s="115"/>
      <c r="M1000" s="116"/>
    </row>
    <row r="1001" spans="1:13" x14ac:dyDescent="0.2">
      <c r="A1001" t="s">
        <v>26</v>
      </c>
      <c r="B1001" t="s">
        <v>110</v>
      </c>
      <c r="C1001" t="s">
        <v>224</v>
      </c>
      <c r="D1001" s="110">
        <v>153293.29999999999</v>
      </c>
      <c r="E1001" s="111">
        <v>153293.29999999999</v>
      </c>
      <c r="F1001" s="111"/>
      <c r="G1001" s="111"/>
      <c r="H1001" s="112"/>
      <c r="I1001" s="110">
        <v>56812.639999999999</v>
      </c>
      <c r="J1001" s="111">
        <v>88300.14</v>
      </c>
      <c r="K1001" s="111"/>
      <c r="L1001" s="111"/>
      <c r="M1001" s="112"/>
    </row>
    <row r="1002" spans="1:13" ht="13.5" thickBot="1" x14ac:dyDescent="0.25">
      <c r="A1002" s="128" t="s">
        <v>26</v>
      </c>
      <c r="B1002" s="128" t="s">
        <v>110</v>
      </c>
      <c r="C1002" s="128" t="s">
        <v>225</v>
      </c>
      <c r="D1002" s="129">
        <v>171081.8</v>
      </c>
      <c r="E1002" s="130"/>
      <c r="F1002" s="130"/>
      <c r="G1002" s="130"/>
      <c r="H1002" s="131"/>
      <c r="I1002" s="129">
        <v>55121.98</v>
      </c>
      <c r="J1002" s="130"/>
      <c r="K1002" s="130"/>
      <c r="L1002" s="130"/>
      <c r="M1002" s="131"/>
    </row>
    <row r="1003" spans="1:13" x14ac:dyDescent="0.2">
      <c r="A1003" s="132" t="s">
        <v>27</v>
      </c>
      <c r="B1003" s="132" t="s">
        <v>104</v>
      </c>
      <c r="C1003" s="132" t="s">
        <v>222</v>
      </c>
      <c r="D1003" s="133">
        <v>1217682.08</v>
      </c>
      <c r="E1003" s="134">
        <v>1220440.08</v>
      </c>
      <c r="F1003" s="134">
        <v>1217907.08</v>
      </c>
      <c r="G1003" s="134">
        <v>1215036.08</v>
      </c>
      <c r="H1003" s="135"/>
      <c r="I1003" s="133">
        <v>31898.06</v>
      </c>
      <c r="J1003" s="134">
        <v>58344.5</v>
      </c>
      <c r="K1003" s="134">
        <v>71186.84</v>
      </c>
      <c r="L1003" s="134">
        <v>88479.13</v>
      </c>
      <c r="M1003" s="135"/>
    </row>
    <row r="1004" spans="1:13" x14ac:dyDescent="0.2">
      <c r="A1004" s="113" t="s">
        <v>27</v>
      </c>
      <c r="B1004" s="113" t="s">
        <v>104</v>
      </c>
      <c r="C1004" s="113" t="s">
        <v>223</v>
      </c>
      <c r="D1004" s="114">
        <v>1303424.69</v>
      </c>
      <c r="E1004" s="115">
        <v>1299476.69</v>
      </c>
      <c r="F1004" s="115">
        <v>1297809.69</v>
      </c>
      <c r="G1004" s="115"/>
      <c r="H1004" s="116"/>
      <c r="I1004" s="114">
        <v>42282.83</v>
      </c>
      <c r="J1004" s="115">
        <v>61575.76</v>
      </c>
      <c r="K1004" s="115">
        <v>73812.240000000005</v>
      </c>
      <c r="L1004" s="115"/>
      <c r="M1004" s="116"/>
    </row>
    <row r="1005" spans="1:13" x14ac:dyDescent="0.2">
      <c r="A1005" t="s">
        <v>27</v>
      </c>
      <c r="B1005" t="s">
        <v>104</v>
      </c>
      <c r="C1005" t="s">
        <v>224</v>
      </c>
      <c r="D1005" s="110">
        <v>290068.84000000003</v>
      </c>
      <c r="E1005" s="111">
        <v>293806.84000000003</v>
      </c>
      <c r="F1005" s="111"/>
      <c r="G1005" s="111"/>
      <c r="H1005" s="112"/>
      <c r="I1005" s="110">
        <v>31267.599999999999</v>
      </c>
      <c r="J1005" s="111">
        <v>35697.58</v>
      </c>
      <c r="K1005" s="111"/>
      <c r="L1005" s="111"/>
      <c r="M1005" s="112"/>
    </row>
    <row r="1006" spans="1:13" x14ac:dyDescent="0.2">
      <c r="A1006" s="117" t="s">
        <v>27</v>
      </c>
      <c r="B1006" s="117" t="s">
        <v>104</v>
      </c>
      <c r="C1006" s="117" t="s">
        <v>225</v>
      </c>
      <c r="D1006" s="118">
        <v>414561.2</v>
      </c>
      <c r="E1006" s="119"/>
      <c r="F1006" s="119"/>
      <c r="G1006" s="119"/>
      <c r="H1006" s="120"/>
      <c r="I1006" s="118">
        <v>41722.03</v>
      </c>
      <c r="J1006" s="119"/>
      <c r="K1006" s="119"/>
      <c r="L1006" s="119"/>
      <c r="M1006" s="120"/>
    </row>
    <row r="1007" spans="1:13" x14ac:dyDescent="0.2">
      <c r="A1007" t="s">
        <v>27</v>
      </c>
      <c r="B1007" t="s">
        <v>140</v>
      </c>
      <c r="C1007" t="s">
        <v>222</v>
      </c>
      <c r="D1007" s="110">
        <v>482541.6</v>
      </c>
      <c r="E1007" s="111">
        <v>482591.6</v>
      </c>
      <c r="F1007" s="111">
        <v>482641.6</v>
      </c>
      <c r="G1007" s="111">
        <v>482641.6</v>
      </c>
      <c r="H1007" s="112"/>
      <c r="I1007" s="110">
        <v>196</v>
      </c>
      <c r="J1007" s="111">
        <v>203</v>
      </c>
      <c r="K1007" s="111">
        <v>203</v>
      </c>
      <c r="L1007" s="111">
        <v>203</v>
      </c>
      <c r="M1007" s="112"/>
    </row>
    <row r="1008" spans="1:13" x14ac:dyDescent="0.2">
      <c r="A1008" s="113" t="s">
        <v>27</v>
      </c>
      <c r="B1008" s="113" t="s">
        <v>140</v>
      </c>
      <c r="C1008" s="113" t="s">
        <v>223</v>
      </c>
      <c r="D1008" s="114">
        <v>595994.69999999995</v>
      </c>
      <c r="E1008" s="115">
        <v>595962.69999999995</v>
      </c>
      <c r="F1008" s="115">
        <v>595962.69999999995</v>
      </c>
      <c r="G1008" s="115"/>
      <c r="H1008" s="116"/>
      <c r="I1008" s="114">
        <v>82</v>
      </c>
      <c r="J1008" s="115">
        <v>96</v>
      </c>
      <c r="K1008" s="115">
        <v>96</v>
      </c>
      <c r="L1008" s="115"/>
      <c r="M1008" s="116"/>
    </row>
    <row r="1009" spans="1:13" x14ac:dyDescent="0.2">
      <c r="A1009" t="s">
        <v>27</v>
      </c>
      <c r="B1009" t="s">
        <v>140</v>
      </c>
      <c r="C1009" t="s">
        <v>224</v>
      </c>
      <c r="D1009" s="110">
        <v>53977</v>
      </c>
      <c r="E1009" s="111">
        <v>53977</v>
      </c>
      <c r="F1009" s="111"/>
      <c r="G1009" s="111"/>
      <c r="H1009" s="112"/>
      <c r="I1009" s="110">
        <v>53</v>
      </c>
      <c r="J1009" s="111">
        <v>60</v>
      </c>
      <c r="K1009" s="111"/>
      <c r="L1009" s="111"/>
      <c r="M1009" s="112"/>
    </row>
    <row r="1010" spans="1:13" x14ac:dyDescent="0.2">
      <c r="A1010" s="117" t="s">
        <v>27</v>
      </c>
      <c r="B1010" s="117" t="s">
        <v>140</v>
      </c>
      <c r="C1010" s="117" t="s">
        <v>225</v>
      </c>
      <c r="D1010" s="118">
        <v>53550</v>
      </c>
      <c r="E1010" s="119"/>
      <c r="F1010" s="119"/>
      <c r="G1010" s="119"/>
      <c r="H1010" s="120"/>
      <c r="I1010" s="118">
        <v>90</v>
      </c>
      <c r="J1010" s="119"/>
      <c r="K1010" s="119"/>
      <c r="L1010" s="119"/>
      <c r="M1010" s="120"/>
    </row>
    <row r="1011" spans="1:13" x14ac:dyDescent="0.2">
      <c r="A1011" t="s">
        <v>27</v>
      </c>
      <c r="B1011" t="s">
        <v>105</v>
      </c>
      <c r="C1011" t="s">
        <v>222</v>
      </c>
      <c r="D1011" s="110">
        <v>315855.94</v>
      </c>
      <c r="E1011" s="111">
        <v>314610.94</v>
      </c>
      <c r="F1011" s="111">
        <v>314360.94</v>
      </c>
      <c r="G1011" s="111">
        <v>314157.94</v>
      </c>
      <c r="H1011" s="112"/>
      <c r="I1011" s="110">
        <v>65021.48</v>
      </c>
      <c r="J1011" s="111">
        <v>96491.18</v>
      </c>
      <c r="K1011" s="111">
        <v>116197.88</v>
      </c>
      <c r="L1011" s="111">
        <v>129095.12</v>
      </c>
      <c r="M1011" s="112"/>
    </row>
    <row r="1012" spans="1:13" x14ac:dyDescent="0.2">
      <c r="A1012" s="113" t="s">
        <v>27</v>
      </c>
      <c r="B1012" s="113" t="s">
        <v>105</v>
      </c>
      <c r="C1012" s="113" t="s">
        <v>223</v>
      </c>
      <c r="D1012" s="114">
        <v>300752.38</v>
      </c>
      <c r="E1012" s="115">
        <v>300664.38</v>
      </c>
      <c r="F1012" s="115">
        <v>300108.38</v>
      </c>
      <c r="G1012" s="115"/>
      <c r="H1012" s="116"/>
      <c r="I1012" s="114">
        <v>68105.289999999994</v>
      </c>
      <c r="J1012" s="115">
        <v>101983.53</v>
      </c>
      <c r="K1012" s="115">
        <v>121180.87</v>
      </c>
      <c r="L1012" s="115"/>
      <c r="M1012" s="116"/>
    </row>
    <row r="1013" spans="1:13" x14ac:dyDescent="0.2">
      <c r="A1013" t="s">
        <v>27</v>
      </c>
      <c r="B1013" t="s">
        <v>105</v>
      </c>
      <c r="C1013" t="s">
        <v>224</v>
      </c>
      <c r="D1013" s="110">
        <v>190500.46</v>
      </c>
      <c r="E1013" s="111">
        <v>190348.46</v>
      </c>
      <c r="F1013" s="111"/>
      <c r="G1013" s="111"/>
      <c r="H1013" s="112"/>
      <c r="I1013" s="110">
        <v>37327.5</v>
      </c>
      <c r="J1013" s="111">
        <v>57551.56</v>
      </c>
      <c r="K1013" s="111"/>
      <c r="L1013" s="111"/>
      <c r="M1013" s="112"/>
    </row>
    <row r="1014" spans="1:13" x14ac:dyDescent="0.2">
      <c r="A1014" s="117" t="s">
        <v>27</v>
      </c>
      <c r="B1014" s="117" t="s">
        <v>105</v>
      </c>
      <c r="C1014" s="117" t="s">
        <v>225</v>
      </c>
      <c r="D1014" s="118">
        <v>307175.44</v>
      </c>
      <c r="E1014" s="119"/>
      <c r="F1014" s="119"/>
      <c r="G1014" s="119"/>
      <c r="H1014" s="120"/>
      <c r="I1014" s="118">
        <v>73378.81</v>
      </c>
      <c r="J1014" s="119"/>
      <c r="K1014" s="119"/>
      <c r="L1014" s="119"/>
      <c r="M1014" s="120"/>
    </row>
    <row r="1015" spans="1:13" x14ac:dyDescent="0.2">
      <c r="A1015" t="s">
        <v>27</v>
      </c>
      <c r="B1015" t="s">
        <v>111</v>
      </c>
      <c r="C1015" t="s">
        <v>222</v>
      </c>
      <c r="D1015" s="110">
        <v>12441</v>
      </c>
      <c r="E1015" s="111">
        <v>12732</v>
      </c>
      <c r="F1015" s="111">
        <v>12732</v>
      </c>
      <c r="G1015" s="111">
        <v>12732</v>
      </c>
      <c r="H1015" s="112"/>
      <c r="I1015" s="110">
        <v>405</v>
      </c>
      <c r="J1015" s="111">
        <v>555</v>
      </c>
      <c r="K1015" s="111">
        <v>555</v>
      </c>
      <c r="L1015" s="111">
        <v>555</v>
      </c>
      <c r="M1015" s="112"/>
    </row>
    <row r="1016" spans="1:13" x14ac:dyDescent="0.2">
      <c r="A1016" s="113" t="s">
        <v>27</v>
      </c>
      <c r="B1016" s="113" t="s">
        <v>111</v>
      </c>
      <c r="C1016" s="113" t="s">
        <v>223</v>
      </c>
      <c r="D1016" s="114">
        <v>14127.5</v>
      </c>
      <c r="E1016" s="115">
        <v>14127.5</v>
      </c>
      <c r="F1016" s="115">
        <v>14127.5</v>
      </c>
      <c r="G1016" s="115"/>
      <c r="H1016" s="116"/>
      <c r="I1016" s="114">
        <v>700.5</v>
      </c>
      <c r="J1016" s="115">
        <v>1221.5</v>
      </c>
      <c r="K1016" s="115">
        <v>1681.5</v>
      </c>
      <c r="L1016" s="115"/>
      <c r="M1016" s="116"/>
    </row>
    <row r="1017" spans="1:13" x14ac:dyDescent="0.2">
      <c r="A1017" t="s">
        <v>27</v>
      </c>
      <c r="B1017" t="s">
        <v>111</v>
      </c>
      <c r="C1017" t="s">
        <v>224</v>
      </c>
      <c r="D1017" s="110">
        <v>9331.23</v>
      </c>
      <c r="E1017" s="111">
        <v>9331.23</v>
      </c>
      <c r="F1017" s="111"/>
      <c r="G1017" s="111"/>
      <c r="H1017" s="112"/>
      <c r="I1017" s="110">
        <v>65.5</v>
      </c>
      <c r="J1017" s="111">
        <v>1160.9000000000001</v>
      </c>
      <c r="K1017" s="111"/>
      <c r="L1017" s="111"/>
      <c r="M1017" s="112"/>
    </row>
    <row r="1018" spans="1:13" x14ac:dyDescent="0.2">
      <c r="A1018" s="117" t="s">
        <v>27</v>
      </c>
      <c r="B1018" s="117" t="s">
        <v>111</v>
      </c>
      <c r="C1018" s="117" t="s">
        <v>225</v>
      </c>
      <c r="D1018" s="118">
        <v>13546.25</v>
      </c>
      <c r="E1018" s="119"/>
      <c r="F1018" s="119"/>
      <c r="G1018" s="119"/>
      <c r="H1018" s="120"/>
      <c r="I1018" s="118">
        <v>3957.8</v>
      </c>
      <c r="J1018" s="119"/>
      <c r="K1018" s="119"/>
      <c r="L1018" s="119"/>
      <c r="M1018" s="120"/>
    </row>
    <row r="1019" spans="1:13" x14ac:dyDescent="0.2">
      <c r="A1019" s="124" t="s">
        <v>27</v>
      </c>
      <c r="B1019" s="124" t="s">
        <v>109</v>
      </c>
      <c r="C1019" s="124" t="s">
        <v>222</v>
      </c>
      <c r="D1019" s="125">
        <v>215204.33</v>
      </c>
      <c r="E1019" s="126">
        <v>214254.33</v>
      </c>
      <c r="F1019" s="126">
        <v>214204.33</v>
      </c>
      <c r="G1019" s="126">
        <v>214204.33</v>
      </c>
      <c r="H1019" s="127"/>
      <c r="I1019" s="125">
        <v>58940.800000000003</v>
      </c>
      <c r="J1019" s="126">
        <v>88824.57</v>
      </c>
      <c r="K1019" s="126">
        <v>109850.36</v>
      </c>
      <c r="L1019" s="126">
        <v>120336.45</v>
      </c>
      <c r="M1019" s="127"/>
    </row>
    <row r="1020" spans="1:13" x14ac:dyDescent="0.2">
      <c r="A1020" s="113" t="s">
        <v>27</v>
      </c>
      <c r="B1020" s="113" t="s">
        <v>109</v>
      </c>
      <c r="C1020" s="113" t="s">
        <v>223</v>
      </c>
      <c r="D1020" s="114">
        <v>147706.54999999999</v>
      </c>
      <c r="E1020" s="115">
        <v>147406.54999999999</v>
      </c>
      <c r="F1020" s="115">
        <v>147206.54999999999</v>
      </c>
      <c r="G1020" s="115"/>
      <c r="H1020" s="116"/>
      <c r="I1020" s="114">
        <v>45303.51</v>
      </c>
      <c r="J1020" s="115">
        <v>62795.39</v>
      </c>
      <c r="K1020" s="115">
        <v>74633.320000000007</v>
      </c>
      <c r="L1020" s="115"/>
      <c r="M1020" s="116"/>
    </row>
    <row r="1021" spans="1:13" x14ac:dyDescent="0.2">
      <c r="A1021" t="s">
        <v>27</v>
      </c>
      <c r="B1021" t="s">
        <v>109</v>
      </c>
      <c r="C1021" t="s">
        <v>224</v>
      </c>
      <c r="D1021" s="110">
        <v>69830.98</v>
      </c>
      <c r="E1021" s="111">
        <v>69748.98</v>
      </c>
      <c r="F1021" s="111"/>
      <c r="G1021" s="111"/>
      <c r="H1021" s="112"/>
      <c r="I1021" s="110">
        <v>26647.51</v>
      </c>
      <c r="J1021" s="111">
        <v>32618.6</v>
      </c>
      <c r="K1021" s="111"/>
      <c r="L1021" s="111"/>
      <c r="M1021" s="112"/>
    </row>
    <row r="1022" spans="1:13" x14ac:dyDescent="0.2">
      <c r="A1022" s="117" t="s">
        <v>27</v>
      </c>
      <c r="B1022" s="117" t="s">
        <v>109</v>
      </c>
      <c r="C1022" s="117" t="s">
        <v>225</v>
      </c>
      <c r="D1022" s="118">
        <v>187419</v>
      </c>
      <c r="E1022" s="119"/>
      <c r="F1022" s="119"/>
      <c r="G1022" s="119"/>
      <c r="H1022" s="120"/>
      <c r="I1022" s="118">
        <v>46420.87</v>
      </c>
      <c r="J1022" s="119"/>
      <c r="K1022" s="119"/>
      <c r="L1022" s="119"/>
      <c r="M1022" s="120"/>
    </row>
    <row r="1023" spans="1:13" x14ac:dyDescent="0.2">
      <c r="A1023" t="s">
        <v>27</v>
      </c>
      <c r="B1023" t="s">
        <v>106</v>
      </c>
      <c r="C1023" t="s">
        <v>222</v>
      </c>
      <c r="D1023" s="110">
        <v>250577.9</v>
      </c>
      <c r="E1023" s="111">
        <v>247065.9</v>
      </c>
      <c r="F1023" s="111">
        <v>247065.9</v>
      </c>
      <c r="G1023" s="111">
        <v>246120.9</v>
      </c>
      <c r="H1023" s="112"/>
      <c r="I1023" s="110">
        <v>247412.4</v>
      </c>
      <c r="J1023" s="111">
        <v>245865.4</v>
      </c>
      <c r="K1023" s="111">
        <v>245865.4</v>
      </c>
      <c r="L1023" s="111">
        <v>245100.9</v>
      </c>
      <c r="M1023" s="112"/>
    </row>
    <row r="1024" spans="1:13" x14ac:dyDescent="0.2">
      <c r="A1024" s="113" t="s">
        <v>27</v>
      </c>
      <c r="B1024" s="113" t="s">
        <v>106</v>
      </c>
      <c r="C1024" s="113" t="s">
        <v>223</v>
      </c>
      <c r="D1024" s="114">
        <v>249520</v>
      </c>
      <c r="E1024" s="115">
        <v>249520</v>
      </c>
      <c r="F1024" s="115">
        <v>249090</v>
      </c>
      <c r="G1024" s="115"/>
      <c r="H1024" s="116"/>
      <c r="I1024" s="114">
        <v>244812</v>
      </c>
      <c r="J1024" s="115">
        <v>247874</v>
      </c>
      <c r="K1024" s="115">
        <v>247544</v>
      </c>
      <c r="L1024" s="115"/>
      <c r="M1024" s="116"/>
    </row>
    <row r="1025" spans="1:13" x14ac:dyDescent="0.2">
      <c r="A1025" t="s">
        <v>27</v>
      </c>
      <c r="B1025" t="s">
        <v>106</v>
      </c>
      <c r="C1025" t="s">
        <v>224</v>
      </c>
      <c r="D1025" s="110">
        <v>96480</v>
      </c>
      <c r="E1025" s="111">
        <v>96100</v>
      </c>
      <c r="F1025" s="111"/>
      <c r="G1025" s="111"/>
      <c r="H1025" s="112"/>
      <c r="I1025" s="110">
        <v>88491</v>
      </c>
      <c r="J1025" s="111">
        <v>92300</v>
      </c>
      <c r="K1025" s="111"/>
      <c r="L1025" s="111"/>
      <c r="M1025" s="112"/>
    </row>
    <row r="1026" spans="1:13" x14ac:dyDescent="0.2">
      <c r="A1026" s="117" t="s">
        <v>27</v>
      </c>
      <c r="B1026" s="117" t="s">
        <v>106</v>
      </c>
      <c r="C1026" s="117" t="s">
        <v>225</v>
      </c>
      <c r="D1026" s="118">
        <v>146466.06</v>
      </c>
      <c r="E1026" s="119"/>
      <c r="F1026" s="119"/>
      <c r="G1026" s="119"/>
      <c r="H1026" s="120"/>
      <c r="I1026" s="118">
        <v>142949.06</v>
      </c>
      <c r="J1026" s="119"/>
      <c r="K1026" s="119"/>
      <c r="L1026" s="119"/>
      <c r="M1026" s="120"/>
    </row>
    <row r="1027" spans="1:13" x14ac:dyDescent="0.2">
      <c r="A1027" t="s">
        <v>27</v>
      </c>
      <c r="B1027" t="s">
        <v>107</v>
      </c>
      <c r="C1027" t="s">
        <v>222</v>
      </c>
      <c r="D1027" s="110">
        <v>310670.7</v>
      </c>
      <c r="E1027" s="111">
        <v>310091.7</v>
      </c>
      <c r="F1027" s="111">
        <v>310091.7</v>
      </c>
      <c r="G1027" s="111">
        <v>310091.7</v>
      </c>
      <c r="H1027" s="112"/>
      <c r="I1027" s="110">
        <v>307070.7</v>
      </c>
      <c r="J1027" s="111">
        <v>308479.7</v>
      </c>
      <c r="K1027" s="111">
        <v>308479.7</v>
      </c>
      <c r="L1027" s="111">
        <v>308479.7</v>
      </c>
      <c r="M1027" s="112"/>
    </row>
    <row r="1028" spans="1:13" x14ac:dyDescent="0.2">
      <c r="A1028" s="113" t="s">
        <v>27</v>
      </c>
      <c r="B1028" s="113" t="s">
        <v>107</v>
      </c>
      <c r="C1028" s="113" t="s">
        <v>223</v>
      </c>
      <c r="D1028" s="114">
        <v>315161.36</v>
      </c>
      <c r="E1028" s="115">
        <v>314958.36</v>
      </c>
      <c r="F1028" s="115">
        <v>313365.36</v>
      </c>
      <c r="G1028" s="115"/>
      <c r="H1028" s="116"/>
      <c r="I1028" s="114">
        <v>311811.36</v>
      </c>
      <c r="J1028" s="115">
        <v>313181.36</v>
      </c>
      <c r="K1028" s="115">
        <v>313188.36</v>
      </c>
      <c r="L1028" s="115"/>
      <c r="M1028" s="116"/>
    </row>
    <row r="1029" spans="1:13" x14ac:dyDescent="0.2">
      <c r="A1029" t="s">
        <v>27</v>
      </c>
      <c r="B1029" t="s">
        <v>107</v>
      </c>
      <c r="C1029" t="s">
        <v>224</v>
      </c>
      <c r="D1029" s="110">
        <v>185972.5</v>
      </c>
      <c r="E1029" s="111">
        <v>185323.5</v>
      </c>
      <c r="F1029" s="111"/>
      <c r="G1029" s="111"/>
      <c r="H1029" s="112"/>
      <c r="I1029" s="110">
        <v>181594.5</v>
      </c>
      <c r="J1029" s="111">
        <v>184806.5</v>
      </c>
      <c r="K1029" s="111"/>
      <c r="L1029" s="111"/>
      <c r="M1029" s="112"/>
    </row>
    <row r="1030" spans="1:13" x14ac:dyDescent="0.2">
      <c r="A1030" s="117" t="s">
        <v>27</v>
      </c>
      <c r="B1030" s="117" t="s">
        <v>107</v>
      </c>
      <c r="C1030" s="117" t="s">
        <v>225</v>
      </c>
      <c r="D1030" s="118">
        <v>262560.65000000002</v>
      </c>
      <c r="E1030" s="119"/>
      <c r="F1030" s="119"/>
      <c r="G1030" s="119"/>
      <c r="H1030" s="120"/>
      <c r="I1030" s="118">
        <v>259253.65</v>
      </c>
      <c r="J1030" s="119"/>
      <c r="K1030" s="119"/>
      <c r="L1030" s="119"/>
      <c r="M1030" s="120"/>
    </row>
    <row r="1031" spans="1:13" x14ac:dyDescent="0.2">
      <c r="A1031" t="s">
        <v>27</v>
      </c>
      <c r="B1031" t="s">
        <v>108</v>
      </c>
      <c r="C1031" t="s">
        <v>222</v>
      </c>
      <c r="D1031" s="110">
        <v>84193.33</v>
      </c>
      <c r="E1031" s="111">
        <v>84424.33</v>
      </c>
      <c r="F1031" s="111">
        <v>84424.33</v>
      </c>
      <c r="G1031" s="111">
        <v>84424.33</v>
      </c>
      <c r="H1031" s="112"/>
      <c r="I1031" s="110">
        <v>79819.33</v>
      </c>
      <c r="J1031" s="111">
        <v>83074.33</v>
      </c>
      <c r="K1031" s="111">
        <v>83074.33</v>
      </c>
      <c r="L1031" s="111">
        <v>83095.33</v>
      </c>
      <c r="M1031" s="112"/>
    </row>
    <row r="1032" spans="1:13" x14ac:dyDescent="0.2">
      <c r="A1032" s="113" t="s">
        <v>27</v>
      </c>
      <c r="B1032" s="113" t="s">
        <v>108</v>
      </c>
      <c r="C1032" s="113" t="s">
        <v>223</v>
      </c>
      <c r="D1032" s="114">
        <v>92171.5</v>
      </c>
      <c r="E1032" s="115">
        <v>92571.5</v>
      </c>
      <c r="F1032" s="115">
        <v>92326.5</v>
      </c>
      <c r="G1032" s="115"/>
      <c r="H1032" s="116"/>
      <c r="I1032" s="114">
        <v>86099</v>
      </c>
      <c r="J1032" s="115">
        <v>88906</v>
      </c>
      <c r="K1032" s="115">
        <v>89324</v>
      </c>
      <c r="L1032" s="115"/>
      <c r="M1032" s="116"/>
    </row>
    <row r="1033" spans="1:13" x14ac:dyDescent="0.2">
      <c r="A1033" t="s">
        <v>27</v>
      </c>
      <c r="B1033" t="s">
        <v>108</v>
      </c>
      <c r="C1033" t="s">
        <v>224</v>
      </c>
      <c r="D1033" s="110">
        <v>88327.5</v>
      </c>
      <c r="E1033" s="111">
        <v>88092.5</v>
      </c>
      <c r="F1033" s="111"/>
      <c r="G1033" s="111"/>
      <c r="H1033" s="112"/>
      <c r="I1033" s="110">
        <v>85946.5</v>
      </c>
      <c r="J1033" s="111">
        <v>87013.5</v>
      </c>
      <c r="K1033" s="111"/>
      <c r="L1033" s="111"/>
      <c r="M1033" s="112"/>
    </row>
    <row r="1034" spans="1:13" x14ac:dyDescent="0.2">
      <c r="A1034" s="117" t="s">
        <v>27</v>
      </c>
      <c r="B1034" s="117" t="s">
        <v>108</v>
      </c>
      <c r="C1034" s="117" t="s">
        <v>225</v>
      </c>
      <c r="D1034" s="118">
        <v>114022.3</v>
      </c>
      <c r="E1034" s="119"/>
      <c r="F1034" s="119"/>
      <c r="G1034" s="119"/>
      <c r="H1034" s="120"/>
      <c r="I1034" s="118">
        <v>110580.3</v>
      </c>
      <c r="J1034" s="119"/>
      <c r="K1034" s="119"/>
      <c r="L1034" s="119"/>
      <c r="M1034" s="120"/>
    </row>
    <row r="1035" spans="1:13" x14ac:dyDescent="0.2">
      <c r="A1035" t="s">
        <v>27</v>
      </c>
      <c r="B1035" t="s">
        <v>70</v>
      </c>
      <c r="C1035" t="s">
        <v>222</v>
      </c>
      <c r="D1035" s="110">
        <v>87050</v>
      </c>
      <c r="E1035" s="111">
        <v>86040</v>
      </c>
      <c r="F1035" s="111">
        <v>86040</v>
      </c>
      <c r="G1035" s="111">
        <v>86040</v>
      </c>
      <c r="H1035" s="112"/>
      <c r="I1035" s="110">
        <v>74272</v>
      </c>
      <c r="J1035" s="111">
        <v>77347</v>
      </c>
      <c r="K1035" s="111">
        <v>77407</v>
      </c>
      <c r="L1035" s="111">
        <v>77407</v>
      </c>
      <c r="M1035" s="112"/>
    </row>
    <row r="1036" spans="1:13" x14ac:dyDescent="0.2">
      <c r="A1036" s="113" t="s">
        <v>27</v>
      </c>
      <c r="B1036" s="113" t="s">
        <v>70</v>
      </c>
      <c r="C1036" s="113" t="s">
        <v>223</v>
      </c>
      <c r="D1036" s="114">
        <v>87691.4</v>
      </c>
      <c r="E1036" s="115">
        <v>86743.4</v>
      </c>
      <c r="F1036" s="115">
        <v>86716.4</v>
      </c>
      <c r="G1036" s="115"/>
      <c r="H1036" s="116"/>
      <c r="I1036" s="114">
        <v>78748.399999999994</v>
      </c>
      <c r="J1036" s="115">
        <v>79971.399999999994</v>
      </c>
      <c r="K1036" s="115">
        <v>80686.399999999994</v>
      </c>
      <c r="L1036" s="115"/>
      <c r="M1036" s="116"/>
    </row>
    <row r="1037" spans="1:13" x14ac:dyDescent="0.2">
      <c r="A1037" t="s">
        <v>27</v>
      </c>
      <c r="B1037" t="s">
        <v>70</v>
      </c>
      <c r="C1037" t="s">
        <v>224</v>
      </c>
      <c r="D1037" s="110">
        <v>90282</v>
      </c>
      <c r="E1037" s="111">
        <v>90282</v>
      </c>
      <c r="F1037" s="111"/>
      <c r="G1037" s="111"/>
      <c r="H1037" s="112"/>
      <c r="I1037" s="110">
        <v>83509.5</v>
      </c>
      <c r="J1037" s="111">
        <v>85277</v>
      </c>
      <c r="K1037" s="111"/>
      <c r="L1037" s="111"/>
      <c r="M1037" s="112"/>
    </row>
    <row r="1038" spans="1:13" x14ac:dyDescent="0.2">
      <c r="A1038" s="117" t="s">
        <v>27</v>
      </c>
      <c r="B1038" s="117" t="s">
        <v>70</v>
      </c>
      <c r="C1038" s="117" t="s">
        <v>225</v>
      </c>
      <c r="D1038" s="118">
        <v>103797.7</v>
      </c>
      <c r="E1038" s="119"/>
      <c r="F1038" s="119"/>
      <c r="G1038" s="119"/>
      <c r="H1038" s="120"/>
      <c r="I1038" s="118">
        <v>97285.7</v>
      </c>
      <c r="J1038" s="119"/>
      <c r="K1038" s="119"/>
      <c r="L1038" s="119"/>
      <c r="M1038" s="120"/>
    </row>
    <row r="1039" spans="1:13" x14ac:dyDescent="0.2">
      <c r="A1039" t="s">
        <v>27</v>
      </c>
      <c r="B1039" t="s">
        <v>110</v>
      </c>
      <c r="C1039" t="s">
        <v>222</v>
      </c>
      <c r="D1039" s="110">
        <v>475149.8</v>
      </c>
      <c r="E1039" s="111">
        <v>451637.25</v>
      </c>
      <c r="F1039" s="111">
        <v>451355.25</v>
      </c>
      <c r="G1039" s="111">
        <v>449369.25</v>
      </c>
      <c r="H1039" s="112"/>
      <c r="I1039" s="110">
        <v>226797.34</v>
      </c>
      <c r="J1039" s="111">
        <v>363426.24</v>
      </c>
      <c r="K1039" s="111">
        <v>392915.59</v>
      </c>
      <c r="L1039" s="111">
        <v>403875.63</v>
      </c>
      <c r="M1039" s="112"/>
    </row>
    <row r="1040" spans="1:13" x14ac:dyDescent="0.2">
      <c r="A1040" s="113" t="s">
        <v>27</v>
      </c>
      <c r="B1040" s="113" t="s">
        <v>110</v>
      </c>
      <c r="C1040" s="113" t="s">
        <v>223</v>
      </c>
      <c r="D1040" s="114">
        <v>571251.15</v>
      </c>
      <c r="E1040" s="115">
        <v>562158.67000000004</v>
      </c>
      <c r="F1040" s="115">
        <v>551949.81999999995</v>
      </c>
      <c r="G1040" s="115"/>
      <c r="H1040" s="116"/>
      <c r="I1040" s="114">
        <v>288208.84999999998</v>
      </c>
      <c r="J1040" s="115">
        <v>425491.57</v>
      </c>
      <c r="K1040" s="115">
        <v>467172.83</v>
      </c>
      <c r="L1040" s="115"/>
      <c r="M1040" s="116"/>
    </row>
    <row r="1041" spans="1:13" x14ac:dyDescent="0.2">
      <c r="A1041" t="s">
        <v>27</v>
      </c>
      <c r="B1041" t="s">
        <v>110</v>
      </c>
      <c r="C1041" t="s">
        <v>224</v>
      </c>
      <c r="D1041" s="110">
        <v>535917.48</v>
      </c>
      <c r="E1041" s="111">
        <v>523009.98</v>
      </c>
      <c r="F1041" s="111"/>
      <c r="G1041" s="111"/>
      <c r="H1041" s="112"/>
      <c r="I1041" s="110">
        <v>239281.58</v>
      </c>
      <c r="J1041" s="111">
        <v>393578.38</v>
      </c>
      <c r="K1041" s="111"/>
      <c r="L1041" s="111"/>
      <c r="M1041" s="112"/>
    </row>
    <row r="1042" spans="1:13" ht="13.5" thickBot="1" x14ac:dyDescent="0.25">
      <c r="A1042" s="128" t="s">
        <v>27</v>
      </c>
      <c r="B1042" s="128" t="s">
        <v>110</v>
      </c>
      <c r="C1042" s="128" t="s">
        <v>225</v>
      </c>
      <c r="D1042" s="129">
        <v>469844.51</v>
      </c>
      <c r="E1042" s="130"/>
      <c r="F1042" s="130"/>
      <c r="G1042" s="130"/>
      <c r="H1042" s="131"/>
      <c r="I1042" s="129">
        <v>221441.41</v>
      </c>
      <c r="J1042" s="130"/>
      <c r="K1042" s="130"/>
      <c r="L1042" s="130"/>
      <c r="M1042" s="131"/>
    </row>
    <row r="1043" spans="1:13" x14ac:dyDescent="0.2">
      <c r="A1043" s="132" t="s">
        <v>28</v>
      </c>
      <c r="B1043" s="132" t="s">
        <v>104</v>
      </c>
      <c r="C1043" s="132" t="s">
        <v>222</v>
      </c>
      <c r="D1043" s="133">
        <v>595321.82999999996</v>
      </c>
      <c r="E1043" s="134">
        <v>595021.82999999996</v>
      </c>
      <c r="F1043" s="134">
        <v>594821.82999999996</v>
      </c>
      <c r="G1043" s="134">
        <v>594771.82999999996</v>
      </c>
      <c r="H1043" s="135"/>
      <c r="I1043" s="133">
        <v>12295.07</v>
      </c>
      <c r="J1043" s="134">
        <v>21980.31</v>
      </c>
      <c r="K1043" s="134">
        <v>30159.23</v>
      </c>
      <c r="L1043" s="134">
        <v>35927.26</v>
      </c>
      <c r="M1043" s="135"/>
    </row>
    <row r="1044" spans="1:13" x14ac:dyDescent="0.2">
      <c r="A1044" s="113" t="s">
        <v>28</v>
      </c>
      <c r="B1044" s="113" t="s">
        <v>104</v>
      </c>
      <c r="C1044" s="113" t="s">
        <v>223</v>
      </c>
      <c r="D1044" s="114">
        <v>356265.31</v>
      </c>
      <c r="E1044" s="115">
        <v>356115.31</v>
      </c>
      <c r="F1044" s="115">
        <v>359392.81</v>
      </c>
      <c r="G1044" s="115"/>
      <c r="H1044" s="116"/>
      <c r="I1044" s="114">
        <v>7045.58</v>
      </c>
      <c r="J1044" s="115">
        <v>14935.87</v>
      </c>
      <c r="K1044" s="115">
        <v>22982.720000000001</v>
      </c>
      <c r="L1044" s="115"/>
      <c r="M1044" s="116"/>
    </row>
    <row r="1045" spans="1:13" x14ac:dyDescent="0.2">
      <c r="A1045" t="s">
        <v>28</v>
      </c>
      <c r="B1045" t="s">
        <v>104</v>
      </c>
      <c r="C1045" t="s">
        <v>224</v>
      </c>
      <c r="D1045" s="110">
        <v>140224.20000000001</v>
      </c>
      <c r="E1045" s="111">
        <v>140274.20000000001</v>
      </c>
      <c r="F1045" s="111"/>
      <c r="G1045" s="111"/>
      <c r="H1045" s="112"/>
      <c r="I1045" s="110">
        <v>4494.3500000000004</v>
      </c>
      <c r="J1045" s="111">
        <v>6290.57</v>
      </c>
      <c r="K1045" s="111"/>
      <c r="L1045" s="111"/>
      <c r="M1045" s="112"/>
    </row>
    <row r="1046" spans="1:13" x14ac:dyDescent="0.2">
      <c r="A1046" s="117" t="s">
        <v>28</v>
      </c>
      <c r="B1046" s="117" t="s">
        <v>104</v>
      </c>
      <c r="C1046" s="117" t="s">
        <v>225</v>
      </c>
      <c r="D1046" s="118">
        <v>162670.38</v>
      </c>
      <c r="E1046" s="119"/>
      <c r="F1046" s="119"/>
      <c r="G1046" s="119"/>
      <c r="H1046" s="120"/>
      <c r="I1046" s="118">
        <v>5551.24</v>
      </c>
      <c r="J1046" s="119"/>
      <c r="K1046" s="119"/>
      <c r="L1046" s="119"/>
      <c r="M1046" s="120"/>
    </row>
    <row r="1047" spans="1:13" x14ac:dyDescent="0.2">
      <c r="A1047" t="s">
        <v>28</v>
      </c>
      <c r="B1047" t="s">
        <v>140</v>
      </c>
      <c r="C1047" t="s">
        <v>222</v>
      </c>
      <c r="D1047" s="110">
        <v>220626.61</v>
      </c>
      <c r="E1047" s="111">
        <v>220626.61</v>
      </c>
      <c r="F1047" s="111">
        <v>220626.61</v>
      </c>
      <c r="G1047" s="111">
        <v>220626.61</v>
      </c>
      <c r="H1047" s="112"/>
      <c r="I1047" s="110">
        <v>4136.1099999999997</v>
      </c>
      <c r="J1047" s="111">
        <v>4136.1099999999997</v>
      </c>
      <c r="K1047" s="111">
        <v>4136.1099999999997</v>
      </c>
      <c r="L1047" s="111">
        <v>4136.1099999999997</v>
      </c>
      <c r="M1047" s="112"/>
    </row>
    <row r="1048" spans="1:13" x14ac:dyDescent="0.2">
      <c r="A1048" s="113" t="s">
        <v>28</v>
      </c>
      <c r="B1048" s="113" t="s">
        <v>140</v>
      </c>
      <c r="C1048" s="113" t="s">
        <v>223</v>
      </c>
      <c r="D1048" s="114">
        <v>53456.5</v>
      </c>
      <c r="E1048" s="115">
        <v>53456.5</v>
      </c>
      <c r="F1048" s="115">
        <v>53456.5</v>
      </c>
      <c r="G1048" s="115"/>
      <c r="H1048" s="116"/>
      <c r="I1048" s="114">
        <v>0</v>
      </c>
      <c r="J1048" s="115">
        <v>0</v>
      </c>
      <c r="K1048" s="115">
        <v>0</v>
      </c>
      <c r="L1048" s="115"/>
      <c r="M1048" s="116"/>
    </row>
    <row r="1049" spans="1:13" x14ac:dyDescent="0.2">
      <c r="A1049" t="s">
        <v>28</v>
      </c>
      <c r="B1049" t="s">
        <v>140</v>
      </c>
      <c r="C1049" t="s">
        <v>224</v>
      </c>
      <c r="D1049" s="110">
        <v>0</v>
      </c>
      <c r="E1049" s="111">
        <v>0</v>
      </c>
      <c r="F1049" s="111"/>
      <c r="G1049" s="111"/>
      <c r="H1049" s="112"/>
      <c r="I1049" s="110">
        <v>0</v>
      </c>
      <c r="J1049" s="111">
        <v>0</v>
      </c>
      <c r="K1049" s="111"/>
      <c r="L1049" s="111"/>
      <c r="M1049" s="112"/>
    </row>
    <row r="1050" spans="1:13" x14ac:dyDescent="0.2">
      <c r="A1050" s="117" t="s">
        <v>28</v>
      </c>
      <c r="B1050" s="117" t="s">
        <v>140</v>
      </c>
      <c r="C1050" s="117" t="s">
        <v>225</v>
      </c>
      <c r="D1050" s="118">
        <v>0</v>
      </c>
      <c r="E1050" s="119"/>
      <c r="F1050" s="119"/>
      <c r="G1050" s="119"/>
      <c r="H1050" s="120"/>
      <c r="I1050" s="118">
        <v>0</v>
      </c>
      <c r="J1050" s="119"/>
      <c r="K1050" s="119"/>
      <c r="L1050" s="119"/>
      <c r="M1050" s="120"/>
    </row>
    <row r="1051" spans="1:13" x14ac:dyDescent="0.2">
      <c r="A1051" t="s">
        <v>28</v>
      </c>
      <c r="B1051" t="s">
        <v>105</v>
      </c>
      <c r="C1051" t="s">
        <v>222</v>
      </c>
      <c r="D1051" s="110">
        <v>130132.98</v>
      </c>
      <c r="E1051" s="111">
        <v>129471.52</v>
      </c>
      <c r="F1051" s="111">
        <v>129191.52</v>
      </c>
      <c r="G1051" s="111">
        <v>129041.52</v>
      </c>
      <c r="H1051" s="112"/>
      <c r="I1051" s="110">
        <v>11968.26</v>
      </c>
      <c r="J1051" s="111">
        <v>16795.009999999998</v>
      </c>
      <c r="K1051" s="111">
        <v>22395.51</v>
      </c>
      <c r="L1051" s="111">
        <v>27196.01</v>
      </c>
      <c r="M1051" s="112"/>
    </row>
    <row r="1052" spans="1:13" x14ac:dyDescent="0.2">
      <c r="A1052" s="113" t="s">
        <v>28</v>
      </c>
      <c r="B1052" s="113" t="s">
        <v>105</v>
      </c>
      <c r="C1052" s="113" t="s">
        <v>223</v>
      </c>
      <c r="D1052" s="114">
        <v>97238.54</v>
      </c>
      <c r="E1052" s="115">
        <v>96338.54</v>
      </c>
      <c r="F1052" s="115">
        <v>96156.54</v>
      </c>
      <c r="G1052" s="115"/>
      <c r="H1052" s="116"/>
      <c r="I1052" s="114">
        <v>5971.5</v>
      </c>
      <c r="J1052" s="115">
        <v>9937.75</v>
      </c>
      <c r="K1052" s="115">
        <v>12533.25</v>
      </c>
      <c r="L1052" s="115"/>
      <c r="M1052" s="116"/>
    </row>
    <row r="1053" spans="1:13" x14ac:dyDescent="0.2">
      <c r="A1053" t="s">
        <v>28</v>
      </c>
      <c r="B1053" t="s">
        <v>105</v>
      </c>
      <c r="C1053" t="s">
        <v>224</v>
      </c>
      <c r="D1053" s="110">
        <v>45554.46</v>
      </c>
      <c r="E1053" s="111">
        <v>45662.46</v>
      </c>
      <c r="F1053" s="111"/>
      <c r="G1053" s="111"/>
      <c r="H1053" s="112"/>
      <c r="I1053" s="110">
        <v>2306.5700000000002</v>
      </c>
      <c r="J1053" s="111">
        <v>3213.57</v>
      </c>
      <c r="K1053" s="111"/>
      <c r="L1053" s="111"/>
      <c r="M1053" s="112"/>
    </row>
    <row r="1054" spans="1:13" x14ac:dyDescent="0.2">
      <c r="A1054" s="117" t="s">
        <v>28</v>
      </c>
      <c r="B1054" s="117" t="s">
        <v>105</v>
      </c>
      <c r="C1054" s="117" t="s">
        <v>225</v>
      </c>
      <c r="D1054" s="118">
        <v>137331.51</v>
      </c>
      <c r="E1054" s="119"/>
      <c r="F1054" s="119"/>
      <c r="G1054" s="119"/>
      <c r="H1054" s="120"/>
      <c r="I1054" s="118">
        <v>9060</v>
      </c>
      <c r="J1054" s="119"/>
      <c r="K1054" s="119"/>
      <c r="L1054" s="119"/>
      <c r="M1054" s="120"/>
    </row>
    <row r="1055" spans="1:13" x14ac:dyDescent="0.2">
      <c r="A1055" t="s">
        <v>28</v>
      </c>
      <c r="B1055" t="s">
        <v>111</v>
      </c>
      <c r="C1055" t="s">
        <v>222</v>
      </c>
      <c r="D1055" s="110">
        <v>21514</v>
      </c>
      <c r="E1055" s="111">
        <v>21564</v>
      </c>
      <c r="F1055" s="111">
        <v>21564</v>
      </c>
      <c r="G1055" s="111">
        <v>21614</v>
      </c>
      <c r="H1055" s="112"/>
      <c r="I1055" s="110">
        <v>409</v>
      </c>
      <c r="J1055" s="111">
        <v>1611</v>
      </c>
      <c r="K1055" s="111">
        <v>2741</v>
      </c>
      <c r="L1055" s="111">
        <v>2989</v>
      </c>
      <c r="M1055" s="112"/>
    </row>
    <row r="1056" spans="1:13" x14ac:dyDescent="0.2">
      <c r="A1056" s="113" t="s">
        <v>28</v>
      </c>
      <c r="B1056" s="113" t="s">
        <v>111</v>
      </c>
      <c r="C1056" s="113" t="s">
        <v>223</v>
      </c>
      <c r="D1056" s="114">
        <v>15491</v>
      </c>
      <c r="E1056" s="115">
        <v>15491</v>
      </c>
      <c r="F1056" s="115">
        <v>15491</v>
      </c>
      <c r="G1056" s="115"/>
      <c r="H1056" s="116"/>
      <c r="I1056" s="114">
        <v>21</v>
      </c>
      <c r="J1056" s="115">
        <v>786.21</v>
      </c>
      <c r="K1056" s="115">
        <v>1825</v>
      </c>
      <c r="L1056" s="115"/>
      <c r="M1056" s="116"/>
    </row>
    <row r="1057" spans="1:13" x14ac:dyDescent="0.2">
      <c r="A1057" t="s">
        <v>28</v>
      </c>
      <c r="B1057" t="s">
        <v>111</v>
      </c>
      <c r="C1057" t="s">
        <v>224</v>
      </c>
      <c r="D1057" s="110">
        <v>3473.5</v>
      </c>
      <c r="E1057" s="111">
        <v>3473.5</v>
      </c>
      <c r="F1057" s="111"/>
      <c r="G1057" s="111"/>
      <c r="H1057" s="112"/>
      <c r="I1057" s="110">
        <v>10.5</v>
      </c>
      <c r="J1057" s="111">
        <v>60.5</v>
      </c>
      <c r="K1057" s="111"/>
      <c r="L1057" s="111"/>
      <c r="M1057" s="112"/>
    </row>
    <row r="1058" spans="1:13" x14ac:dyDescent="0.2">
      <c r="A1058" s="117" t="s">
        <v>28</v>
      </c>
      <c r="B1058" s="117" t="s">
        <v>111</v>
      </c>
      <c r="C1058" s="117" t="s">
        <v>225</v>
      </c>
      <c r="D1058" s="118">
        <v>4724</v>
      </c>
      <c r="E1058" s="119"/>
      <c r="F1058" s="119"/>
      <c r="G1058" s="119"/>
      <c r="H1058" s="120"/>
      <c r="I1058" s="118">
        <v>648</v>
      </c>
      <c r="J1058" s="119"/>
      <c r="K1058" s="119"/>
      <c r="L1058" s="119"/>
      <c r="M1058" s="120"/>
    </row>
    <row r="1059" spans="1:13" x14ac:dyDescent="0.2">
      <c r="A1059" s="124" t="s">
        <v>28</v>
      </c>
      <c r="B1059" s="124" t="s">
        <v>109</v>
      </c>
      <c r="C1059" s="124" t="s">
        <v>222</v>
      </c>
      <c r="D1059" s="125">
        <v>148424.44</v>
      </c>
      <c r="E1059" s="126">
        <v>146426.92000000001</v>
      </c>
      <c r="F1059" s="126">
        <v>145687.51999999999</v>
      </c>
      <c r="G1059" s="126">
        <v>145323.51999999999</v>
      </c>
      <c r="H1059" s="127"/>
      <c r="I1059" s="125">
        <v>24172</v>
      </c>
      <c r="J1059" s="126">
        <v>39301</v>
      </c>
      <c r="K1059" s="126">
        <v>51119.75</v>
      </c>
      <c r="L1059" s="126">
        <v>63255.26</v>
      </c>
      <c r="M1059" s="127"/>
    </row>
    <row r="1060" spans="1:13" x14ac:dyDescent="0.2">
      <c r="A1060" s="113" t="s">
        <v>28</v>
      </c>
      <c r="B1060" s="113" t="s">
        <v>109</v>
      </c>
      <c r="C1060" s="113" t="s">
        <v>223</v>
      </c>
      <c r="D1060" s="114">
        <v>142423.26999999999</v>
      </c>
      <c r="E1060" s="115">
        <v>141155.26999999999</v>
      </c>
      <c r="F1060" s="115">
        <v>139850.26999999999</v>
      </c>
      <c r="G1060" s="115"/>
      <c r="H1060" s="116"/>
      <c r="I1060" s="114">
        <v>28079.25</v>
      </c>
      <c r="J1060" s="115">
        <v>48581.25</v>
      </c>
      <c r="K1060" s="115">
        <v>57218.25</v>
      </c>
      <c r="L1060" s="115"/>
      <c r="M1060" s="116"/>
    </row>
    <row r="1061" spans="1:13" x14ac:dyDescent="0.2">
      <c r="A1061" t="s">
        <v>28</v>
      </c>
      <c r="B1061" t="s">
        <v>109</v>
      </c>
      <c r="C1061" t="s">
        <v>224</v>
      </c>
      <c r="D1061" s="110">
        <v>15758.25</v>
      </c>
      <c r="E1061" s="111">
        <v>15658.25</v>
      </c>
      <c r="F1061" s="111"/>
      <c r="G1061" s="111"/>
      <c r="H1061" s="112"/>
      <c r="I1061" s="110">
        <v>5451.25</v>
      </c>
      <c r="J1061" s="111">
        <v>5551.25</v>
      </c>
      <c r="K1061" s="111"/>
      <c r="L1061" s="111"/>
      <c r="M1061" s="112"/>
    </row>
    <row r="1062" spans="1:13" x14ac:dyDescent="0.2">
      <c r="A1062" s="117" t="s">
        <v>28</v>
      </c>
      <c r="B1062" s="117" t="s">
        <v>109</v>
      </c>
      <c r="C1062" s="117" t="s">
        <v>225</v>
      </c>
      <c r="D1062" s="118">
        <v>113919.03999999999</v>
      </c>
      <c r="E1062" s="119"/>
      <c r="F1062" s="119"/>
      <c r="G1062" s="119"/>
      <c r="H1062" s="120"/>
      <c r="I1062" s="118">
        <v>19308.5</v>
      </c>
      <c r="J1062" s="119"/>
      <c r="K1062" s="119"/>
      <c r="L1062" s="119"/>
      <c r="M1062" s="120"/>
    </row>
    <row r="1063" spans="1:13" x14ac:dyDescent="0.2">
      <c r="A1063" t="s">
        <v>28</v>
      </c>
      <c r="B1063" t="s">
        <v>106</v>
      </c>
      <c r="C1063" t="s">
        <v>222</v>
      </c>
      <c r="D1063" s="110">
        <v>90937</v>
      </c>
      <c r="E1063" s="111">
        <v>90937</v>
      </c>
      <c r="F1063" s="111">
        <v>90937</v>
      </c>
      <c r="G1063" s="111">
        <v>90937</v>
      </c>
      <c r="H1063" s="112"/>
      <c r="I1063" s="110">
        <v>89977</v>
      </c>
      <c r="J1063" s="111">
        <v>90937</v>
      </c>
      <c r="K1063" s="111">
        <v>90937</v>
      </c>
      <c r="L1063" s="111">
        <v>90937</v>
      </c>
      <c r="M1063" s="112"/>
    </row>
    <row r="1064" spans="1:13" x14ac:dyDescent="0.2">
      <c r="A1064" s="113" t="s">
        <v>28</v>
      </c>
      <c r="B1064" s="113" t="s">
        <v>106</v>
      </c>
      <c r="C1064" s="113" t="s">
        <v>223</v>
      </c>
      <c r="D1064" s="114">
        <v>84888</v>
      </c>
      <c r="E1064" s="115">
        <v>84888</v>
      </c>
      <c r="F1064" s="115">
        <v>84888</v>
      </c>
      <c r="G1064" s="115"/>
      <c r="H1064" s="116"/>
      <c r="I1064" s="114">
        <v>83873</v>
      </c>
      <c r="J1064" s="115">
        <v>84838</v>
      </c>
      <c r="K1064" s="115">
        <v>84838</v>
      </c>
      <c r="L1064" s="115"/>
      <c r="M1064" s="116"/>
    </row>
    <row r="1065" spans="1:13" x14ac:dyDescent="0.2">
      <c r="A1065" t="s">
        <v>28</v>
      </c>
      <c r="B1065" t="s">
        <v>106</v>
      </c>
      <c r="C1065" t="s">
        <v>224</v>
      </c>
      <c r="D1065" s="110">
        <v>44593.5</v>
      </c>
      <c r="E1065" s="111">
        <v>44593.5</v>
      </c>
      <c r="F1065" s="111"/>
      <c r="G1065" s="111"/>
      <c r="H1065" s="112"/>
      <c r="I1065" s="110">
        <v>44593.5</v>
      </c>
      <c r="J1065" s="111">
        <v>44593.5</v>
      </c>
      <c r="K1065" s="111"/>
      <c r="L1065" s="111"/>
      <c r="M1065" s="112"/>
    </row>
    <row r="1066" spans="1:13" x14ac:dyDescent="0.2">
      <c r="A1066" s="117" t="s">
        <v>28</v>
      </c>
      <c r="B1066" s="117" t="s">
        <v>106</v>
      </c>
      <c r="C1066" s="117" t="s">
        <v>225</v>
      </c>
      <c r="D1066" s="118">
        <v>48441.33</v>
      </c>
      <c r="E1066" s="119"/>
      <c r="F1066" s="119"/>
      <c r="G1066" s="119"/>
      <c r="H1066" s="120"/>
      <c r="I1066" s="118">
        <v>48046.33</v>
      </c>
      <c r="J1066" s="119"/>
      <c r="K1066" s="119"/>
      <c r="L1066" s="119"/>
      <c r="M1066" s="120"/>
    </row>
    <row r="1067" spans="1:13" x14ac:dyDescent="0.2">
      <c r="A1067" t="s">
        <v>28</v>
      </c>
      <c r="B1067" t="s">
        <v>107</v>
      </c>
      <c r="C1067" t="s">
        <v>222</v>
      </c>
      <c r="D1067" s="110">
        <v>113232.35</v>
      </c>
      <c r="E1067" s="111">
        <v>113232.35</v>
      </c>
      <c r="F1067" s="111">
        <v>113232.35</v>
      </c>
      <c r="G1067" s="111">
        <v>113232.35</v>
      </c>
      <c r="H1067" s="112"/>
      <c r="I1067" s="110">
        <v>113232.35</v>
      </c>
      <c r="J1067" s="111">
        <v>113232.35</v>
      </c>
      <c r="K1067" s="111">
        <v>113232.35</v>
      </c>
      <c r="L1067" s="111">
        <v>113232.35</v>
      </c>
      <c r="M1067" s="112"/>
    </row>
    <row r="1068" spans="1:13" x14ac:dyDescent="0.2">
      <c r="A1068" s="113" t="s">
        <v>28</v>
      </c>
      <c r="B1068" s="113" t="s">
        <v>107</v>
      </c>
      <c r="C1068" s="113" t="s">
        <v>223</v>
      </c>
      <c r="D1068" s="114">
        <v>112330.75</v>
      </c>
      <c r="E1068" s="115">
        <v>112330.75</v>
      </c>
      <c r="F1068" s="115">
        <v>112330.75</v>
      </c>
      <c r="G1068" s="115"/>
      <c r="H1068" s="116"/>
      <c r="I1068" s="114">
        <v>111835.75</v>
      </c>
      <c r="J1068" s="115">
        <v>112330.75</v>
      </c>
      <c r="K1068" s="115">
        <v>112330.75</v>
      </c>
      <c r="L1068" s="115"/>
      <c r="M1068" s="116"/>
    </row>
    <row r="1069" spans="1:13" x14ac:dyDescent="0.2">
      <c r="A1069" t="s">
        <v>28</v>
      </c>
      <c r="B1069" t="s">
        <v>107</v>
      </c>
      <c r="C1069" t="s">
        <v>224</v>
      </c>
      <c r="D1069" s="110">
        <v>47973.09</v>
      </c>
      <c r="E1069" s="111">
        <v>47973.09</v>
      </c>
      <c r="F1069" s="111"/>
      <c r="G1069" s="111"/>
      <c r="H1069" s="112"/>
      <c r="I1069" s="110">
        <v>47563.09</v>
      </c>
      <c r="J1069" s="111">
        <v>47973.09</v>
      </c>
      <c r="K1069" s="111"/>
      <c r="L1069" s="111"/>
      <c r="M1069" s="112"/>
    </row>
    <row r="1070" spans="1:13" x14ac:dyDescent="0.2">
      <c r="A1070" s="117" t="s">
        <v>28</v>
      </c>
      <c r="B1070" s="117" t="s">
        <v>107</v>
      </c>
      <c r="C1070" s="117" t="s">
        <v>225</v>
      </c>
      <c r="D1070" s="118">
        <v>72662.42</v>
      </c>
      <c r="E1070" s="119"/>
      <c r="F1070" s="119"/>
      <c r="G1070" s="119"/>
      <c r="H1070" s="120"/>
      <c r="I1070" s="118">
        <v>71747.42</v>
      </c>
      <c r="J1070" s="119"/>
      <c r="K1070" s="119"/>
      <c r="L1070" s="119"/>
      <c r="M1070" s="120"/>
    </row>
    <row r="1071" spans="1:13" x14ac:dyDescent="0.2">
      <c r="A1071" t="s">
        <v>28</v>
      </c>
      <c r="B1071" t="s">
        <v>108</v>
      </c>
      <c r="C1071" t="s">
        <v>222</v>
      </c>
      <c r="D1071" s="110">
        <v>49763</v>
      </c>
      <c r="E1071" s="111">
        <v>49763</v>
      </c>
      <c r="F1071" s="111">
        <v>49763</v>
      </c>
      <c r="G1071" s="111">
        <v>49763</v>
      </c>
      <c r="H1071" s="112"/>
      <c r="I1071" s="110">
        <v>49532</v>
      </c>
      <c r="J1071" s="111">
        <v>49532</v>
      </c>
      <c r="K1071" s="111">
        <v>49532</v>
      </c>
      <c r="L1071" s="111">
        <v>49532</v>
      </c>
      <c r="M1071" s="112"/>
    </row>
    <row r="1072" spans="1:13" x14ac:dyDescent="0.2">
      <c r="A1072" s="113" t="s">
        <v>28</v>
      </c>
      <c r="B1072" s="113" t="s">
        <v>108</v>
      </c>
      <c r="C1072" s="113" t="s">
        <v>223</v>
      </c>
      <c r="D1072" s="114">
        <v>45507.5</v>
      </c>
      <c r="E1072" s="115">
        <v>45507.5</v>
      </c>
      <c r="F1072" s="115">
        <v>45507.5</v>
      </c>
      <c r="G1072" s="115"/>
      <c r="H1072" s="116"/>
      <c r="I1072" s="114">
        <v>45095.5</v>
      </c>
      <c r="J1072" s="115">
        <v>45095.5</v>
      </c>
      <c r="K1072" s="115">
        <v>45495.5</v>
      </c>
      <c r="L1072" s="115"/>
      <c r="M1072" s="116"/>
    </row>
    <row r="1073" spans="1:13" x14ac:dyDescent="0.2">
      <c r="A1073" t="s">
        <v>28</v>
      </c>
      <c r="B1073" t="s">
        <v>108</v>
      </c>
      <c r="C1073" t="s">
        <v>224</v>
      </c>
      <c r="D1073" s="110">
        <v>42737.9</v>
      </c>
      <c r="E1073" s="111">
        <v>42737.9</v>
      </c>
      <c r="F1073" s="111"/>
      <c r="G1073" s="111"/>
      <c r="H1073" s="112"/>
      <c r="I1073" s="110">
        <v>41706.9</v>
      </c>
      <c r="J1073" s="111">
        <v>42737.9</v>
      </c>
      <c r="K1073" s="111"/>
      <c r="L1073" s="111"/>
      <c r="M1073" s="112"/>
    </row>
    <row r="1074" spans="1:13" x14ac:dyDescent="0.2">
      <c r="A1074" s="117" t="s">
        <v>28</v>
      </c>
      <c r="B1074" s="117" t="s">
        <v>108</v>
      </c>
      <c r="C1074" s="117" t="s">
        <v>225</v>
      </c>
      <c r="D1074" s="118">
        <v>49865</v>
      </c>
      <c r="E1074" s="119"/>
      <c r="F1074" s="119"/>
      <c r="G1074" s="119"/>
      <c r="H1074" s="120"/>
      <c r="I1074" s="118">
        <v>48834</v>
      </c>
      <c r="J1074" s="119"/>
      <c r="K1074" s="119"/>
      <c r="L1074" s="119"/>
      <c r="M1074" s="120"/>
    </row>
    <row r="1075" spans="1:13" x14ac:dyDescent="0.2">
      <c r="A1075" t="s">
        <v>28</v>
      </c>
      <c r="B1075" t="s">
        <v>70</v>
      </c>
      <c r="C1075" t="s">
        <v>222</v>
      </c>
      <c r="D1075" s="110">
        <v>39326.5</v>
      </c>
      <c r="E1075" s="111">
        <v>38916.5</v>
      </c>
      <c r="F1075" s="111">
        <v>38916.5</v>
      </c>
      <c r="G1075" s="111">
        <v>38508.5</v>
      </c>
      <c r="H1075" s="112"/>
      <c r="I1075" s="110">
        <v>35438.5</v>
      </c>
      <c r="J1075" s="111">
        <v>36218.5</v>
      </c>
      <c r="K1075" s="111">
        <v>36218.5</v>
      </c>
      <c r="L1075" s="111">
        <v>36218.5</v>
      </c>
      <c r="M1075" s="112"/>
    </row>
    <row r="1076" spans="1:13" x14ac:dyDescent="0.2">
      <c r="A1076" s="113" t="s">
        <v>28</v>
      </c>
      <c r="B1076" s="113" t="s">
        <v>70</v>
      </c>
      <c r="C1076" s="113" t="s">
        <v>223</v>
      </c>
      <c r="D1076" s="114">
        <v>38401.5</v>
      </c>
      <c r="E1076" s="115">
        <v>38401.5</v>
      </c>
      <c r="F1076" s="115">
        <v>37803.5</v>
      </c>
      <c r="G1076" s="115"/>
      <c r="H1076" s="116"/>
      <c r="I1076" s="114">
        <v>35164.25</v>
      </c>
      <c r="J1076" s="115">
        <v>35651.75</v>
      </c>
      <c r="K1076" s="115">
        <v>35701.75</v>
      </c>
      <c r="L1076" s="115"/>
      <c r="M1076" s="116"/>
    </row>
    <row r="1077" spans="1:13" x14ac:dyDescent="0.2">
      <c r="A1077" t="s">
        <v>28</v>
      </c>
      <c r="B1077" t="s">
        <v>70</v>
      </c>
      <c r="C1077" t="s">
        <v>224</v>
      </c>
      <c r="D1077" s="110">
        <v>35940</v>
      </c>
      <c r="E1077" s="111">
        <v>35990</v>
      </c>
      <c r="F1077" s="111"/>
      <c r="G1077" s="111"/>
      <c r="H1077" s="112"/>
      <c r="I1077" s="110">
        <v>33887</v>
      </c>
      <c r="J1077" s="111">
        <v>34720</v>
      </c>
      <c r="K1077" s="111"/>
      <c r="L1077" s="111"/>
      <c r="M1077" s="112"/>
    </row>
    <row r="1078" spans="1:13" x14ac:dyDescent="0.2">
      <c r="A1078" s="117" t="s">
        <v>28</v>
      </c>
      <c r="B1078" s="117" t="s">
        <v>70</v>
      </c>
      <c r="C1078" s="117" t="s">
        <v>225</v>
      </c>
      <c r="D1078" s="118">
        <v>46335</v>
      </c>
      <c r="E1078" s="119"/>
      <c r="F1078" s="119"/>
      <c r="G1078" s="119"/>
      <c r="H1078" s="120"/>
      <c r="I1078" s="118">
        <v>43019</v>
      </c>
      <c r="J1078" s="119"/>
      <c r="K1078" s="119"/>
      <c r="L1078" s="119"/>
      <c r="M1078" s="120"/>
    </row>
    <row r="1079" spans="1:13" x14ac:dyDescent="0.2">
      <c r="A1079" t="s">
        <v>28</v>
      </c>
      <c r="B1079" t="s">
        <v>110</v>
      </c>
      <c r="C1079" t="s">
        <v>222</v>
      </c>
      <c r="D1079" s="110">
        <v>328043.90000000002</v>
      </c>
      <c r="E1079" s="111">
        <v>320741.34999999998</v>
      </c>
      <c r="F1079" s="111">
        <v>319382.59999999998</v>
      </c>
      <c r="G1079" s="111">
        <v>318467.3</v>
      </c>
      <c r="H1079" s="112"/>
      <c r="I1079" s="110">
        <v>182535.1</v>
      </c>
      <c r="J1079" s="111">
        <v>281824.3</v>
      </c>
      <c r="K1079" s="111">
        <v>292600.7</v>
      </c>
      <c r="L1079" s="111">
        <v>299315.09999999998</v>
      </c>
      <c r="M1079" s="112"/>
    </row>
    <row r="1080" spans="1:13" x14ac:dyDescent="0.2">
      <c r="A1080" s="113" t="s">
        <v>28</v>
      </c>
      <c r="B1080" s="113" t="s">
        <v>110</v>
      </c>
      <c r="C1080" s="113" t="s">
        <v>223</v>
      </c>
      <c r="D1080" s="114">
        <v>222264.13</v>
      </c>
      <c r="E1080" s="115">
        <v>214193.18</v>
      </c>
      <c r="F1080" s="115">
        <v>205500.78</v>
      </c>
      <c r="G1080" s="115"/>
      <c r="H1080" s="116"/>
      <c r="I1080" s="114">
        <v>137916.82999999999</v>
      </c>
      <c r="J1080" s="115">
        <v>175003.18</v>
      </c>
      <c r="K1080" s="115">
        <v>185803.98</v>
      </c>
      <c r="L1080" s="115"/>
      <c r="M1080" s="116"/>
    </row>
    <row r="1081" spans="1:13" x14ac:dyDescent="0.2">
      <c r="A1081" t="s">
        <v>28</v>
      </c>
      <c r="B1081" t="s">
        <v>110</v>
      </c>
      <c r="C1081" t="s">
        <v>224</v>
      </c>
      <c r="D1081" s="110">
        <v>166709.07</v>
      </c>
      <c r="E1081" s="111">
        <v>151153.69</v>
      </c>
      <c r="F1081" s="111"/>
      <c r="G1081" s="111"/>
      <c r="H1081" s="112"/>
      <c r="I1081" s="110">
        <v>74115.570000000007</v>
      </c>
      <c r="J1081" s="111">
        <v>116570.89</v>
      </c>
      <c r="K1081" s="111"/>
      <c r="L1081" s="111"/>
      <c r="M1081" s="112"/>
    </row>
    <row r="1082" spans="1:13" ht="13.5" thickBot="1" x14ac:dyDescent="0.25">
      <c r="A1082" s="128" t="s">
        <v>28</v>
      </c>
      <c r="B1082" s="128" t="s">
        <v>110</v>
      </c>
      <c r="C1082" s="128" t="s">
        <v>225</v>
      </c>
      <c r="D1082" s="129">
        <v>228679.48</v>
      </c>
      <c r="E1082" s="130"/>
      <c r="F1082" s="130"/>
      <c r="G1082" s="130"/>
      <c r="H1082" s="131"/>
      <c r="I1082" s="129">
        <v>110195.48</v>
      </c>
      <c r="J1082" s="130"/>
      <c r="K1082" s="130"/>
      <c r="L1082" s="130"/>
      <c r="M1082" s="131"/>
    </row>
    <row r="1083" spans="1:13" x14ac:dyDescent="0.2">
      <c r="A1083" s="132" t="s">
        <v>29</v>
      </c>
      <c r="B1083" s="132" t="s">
        <v>104</v>
      </c>
      <c r="C1083" s="132" t="s">
        <v>222</v>
      </c>
      <c r="D1083" s="133">
        <v>4046666</v>
      </c>
      <c r="E1083" s="134">
        <v>4025565</v>
      </c>
      <c r="F1083" s="134">
        <v>4017313</v>
      </c>
      <c r="G1083" s="134">
        <v>4000940</v>
      </c>
      <c r="H1083" s="135"/>
      <c r="I1083" s="133">
        <v>354462</v>
      </c>
      <c r="J1083" s="134">
        <v>434157</v>
      </c>
      <c r="K1083" s="134">
        <v>483615</v>
      </c>
      <c r="L1083" s="134">
        <v>541488</v>
      </c>
      <c r="M1083" s="135"/>
    </row>
    <row r="1084" spans="1:13" x14ac:dyDescent="0.2">
      <c r="A1084" s="113" t="s">
        <v>29</v>
      </c>
      <c r="B1084" s="113" t="s">
        <v>104</v>
      </c>
      <c r="C1084" s="113" t="s">
        <v>223</v>
      </c>
      <c r="D1084" s="114">
        <v>5135182</v>
      </c>
      <c r="E1084" s="115">
        <v>5123759</v>
      </c>
      <c r="F1084" s="115">
        <v>5119349</v>
      </c>
      <c r="G1084" s="115"/>
      <c r="H1084" s="116"/>
      <c r="I1084" s="114">
        <v>386313</v>
      </c>
      <c r="J1084" s="115">
        <v>431232</v>
      </c>
      <c r="K1084" s="115">
        <v>492126</v>
      </c>
      <c r="L1084" s="115"/>
      <c r="M1084" s="116"/>
    </row>
    <row r="1085" spans="1:13" x14ac:dyDescent="0.2">
      <c r="A1085" t="s">
        <v>29</v>
      </c>
      <c r="B1085" t="s">
        <v>104</v>
      </c>
      <c r="C1085" t="s">
        <v>224</v>
      </c>
      <c r="D1085" s="110">
        <v>1392509</v>
      </c>
      <c r="E1085" s="111">
        <v>1377509</v>
      </c>
      <c r="F1085" s="111"/>
      <c r="G1085" s="111"/>
      <c r="H1085" s="112"/>
      <c r="I1085" s="110">
        <v>220607</v>
      </c>
      <c r="J1085" s="111">
        <v>236206</v>
      </c>
      <c r="K1085" s="111"/>
      <c r="L1085" s="111"/>
      <c r="M1085" s="112"/>
    </row>
    <row r="1086" spans="1:13" x14ac:dyDescent="0.2">
      <c r="A1086" s="117" t="s">
        <v>29</v>
      </c>
      <c r="B1086" s="117" t="s">
        <v>104</v>
      </c>
      <c r="C1086" s="117" t="s">
        <v>225</v>
      </c>
      <c r="D1086" s="118">
        <v>2216471</v>
      </c>
      <c r="E1086" s="119"/>
      <c r="F1086" s="119"/>
      <c r="G1086" s="119"/>
      <c r="H1086" s="120"/>
      <c r="I1086" s="118">
        <v>60796</v>
      </c>
      <c r="J1086" s="119"/>
      <c r="K1086" s="119"/>
      <c r="L1086" s="119"/>
      <c r="M1086" s="120"/>
    </row>
    <row r="1087" spans="1:13" x14ac:dyDescent="0.2">
      <c r="A1087" t="s">
        <v>29</v>
      </c>
      <c r="B1087" t="s">
        <v>140</v>
      </c>
      <c r="C1087" t="s">
        <v>222</v>
      </c>
      <c r="D1087" s="110">
        <v>1491818</v>
      </c>
      <c r="E1087" s="111">
        <v>1491768</v>
      </c>
      <c r="F1087" s="111">
        <v>1491768</v>
      </c>
      <c r="G1087" s="111">
        <v>1491768</v>
      </c>
      <c r="H1087" s="112"/>
      <c r="I1087" s="110">
        <v>592</v>
      </c>
      <c r="J1087" s="111">
        <v>719</v>
      </c>
      <c r="K1087" s="111">
        <v>1275</v>
      </c>
      <c r="L1087" s="111">
        <v>1736</v>
      </c>
      <c r="M1087" s="112"/>
    </row>
    <row r="1088" spans="1:13" x14ac:dyDescent="0.2">
      <c r="A1088" s="113" t="s">
        <v>29</v>
      </c>
      <c r="B1088" s="113" t="s">
        <v>140</v>
      </c>
      <c r="C1088" s="113" t="s">
        <v>223</v>
      </c>
      <c r="D1088" s="114">
        <v>2756170</v>
      </c>
      <c r="E1088" s="115">
        <v>2756020</v>
      </c>
      <c r="F1088" s="115">
        <v>2756020</v>
      </c>
      <c r="G1088" s="115"/>
      <c r="H1088" s="116"/>
      <c r="I1088" s="114">
        <v>490</v>
      </c>
      <c r="J1088" s="115">
        <v>683</v>
      </c>
      <c r="K1088" s="115">
        <v>860</v>
      </c>
      <c r="L1088" s="115"/>
      <c r="M1088" s="116"/>
    </row>
    <row r="1089" spans="1:13" x14ac:dyDescent="0.2">
      <c r="A1089" t="s">
        <v>29</v>
      </c>
      <c r="B1089" t="s">
        <v>140</v>
      </c>
      <c r="C1089" t="s">
        <v>224</v>
      </c>
      <c r="D1089" s="110">
        <v>217165</v>
      </c>
      <c r="E1089" s="111">
        <v>217015</v>
      </c>
      <c r="F1089" s="111"/>
      <c r="G1089" s="111"/>
      <c r="H1089" s="112"/>
      <c r="I1089" s="110">
        <v>475</v>
      </c>
      <c r="J1089" s="111">
        <v>523</v>
      </c>
      <c r="K1089" s="111"/>
      <c r="L1089" s="111"/>
      <c r="M1089" s="112"/>
    </row>
    <row r="1090" spans="1:13" x14ac:dyDescent="0.2">
      <c r="A1090" s="117" t="s">
        <v>29</v>
      </c>
      <c r="B1090" s="117" t="s">
        <v>140</v>
      </c>
      <c r="C1090" s="117" t="s">
        <v>225</v>
      </c>
      <c r="D1090" s="118">
        <v>1044584</v>
      </c>
      <c r="E1090" s="119"/>
      <c r="F1090" s="119"/>
      <c r="G1090" s="119"/>
      <c r="H1090" s="120"/>
      <c r="I1090" s="118">
        <v>4689</v>
      </c>
      <c r="J1090" s="119"/>
      <c r="K1090" s="119"/>
      <c r="L1090" s="119"/>
      <c r="M1090" s="120"/>
    </row>
    <row r="1091" spans="1:13" x14ac:dyDescent="0.2">
      <c r="A1091" t="s">
        <v>29</v>
      </c>
      <c r="B1091" t="s">
        <v>105</v>
      </c>
      <c r="C1091" t="s">
        <v>222</v>
      </c>
      <c r="D1091" s="110">
        <v>1323397</v>
      </c>
      <c r="E1091" s="111">
        <v>1235751</v>
      </c>
      <c r="F1091" s="111">
        <v>1227521</v>
      </c>
      <c r="G1091" s="111">
        <v>1223056</v>
      </c>
      <c r="H1091" s="112"/>
      <c r="I1091" s="110">
        <v>341730</v>
      </c>
      <c r="J1091" s="111">
        <v>432074</v>
      </c>
      <c r="K1091" s="111">
        <v>478201</v>
      </c>
      <c r="L1091" s="111">
        <v>510050</v>
      </c>
      <c r="M1091" s="112"/>
    </row>
    <row r="1092" spans="1:13" x14ac:dyDescent="0.2">
      <c r="A1092" s="113" t="s">
        <v>29</v>
      </c>
      <c r="B1092" s="113" t="s">
        <v>105</v>
      </c>
      <c r="C1092" s="113" t="s">
        <v>223</v>
      </c>
      <c r="D1092" s="114">
        <v>1167285</v>
      </c>
      <c r="E1092" s="115">
        <v>1143413</v>
      </c>
      <c r="F1092" s="115">
        <v>1123643</v>
      </c>
      <c r="G1092" s="115"/>
      <c r="H1092" s="116"/>
      <c r="I1092" s="114">
        <v>331906</v>
      </c>
      <c r="J1092" s="115">
        <v>394566</v>
      </c>
      <c r="K1092" s="115">
        <v>429361</v>
      </c>
      <c r="L1092" s="115"/>
      <c r="M1092" s="116"/>
    </row>
    <row r="1093" spans="1:13" x14ac:dyDescent="0.2">
      <c r="A1093" t="s">
        <v>29</v>
      </c>
      <c r="B1093" t="s">
        <v>105</v>
      </c>
      <c r="C1093" t="s">
        <v>224</v>
      </c>
      <c r="D1093" s="110">
        <v>498223</v>
      </c>
      <c r="E1093" s="111">
        <v>480836</v>
      </c>
      <c r="F1093" s="111"/>
      <c r="G1093" s="111"/>
      <c r="H1093" s="112"/>
      <c r="I1093" s="110">
        <v>198413</v>
      </c>
      <c r="J1093" s="111">
        <v>209715</v>
      </c>
      <c r="K1093" s="111"/>
      <c r="L1093" s="111"/>
      <c r="M1093" s="112"/>
    </row>
    <row r="1094" spans="1:13" x14ac:dyDescent="0.2">
      <c r="A1094" s="117" t="s">
        <v>29</v>
      </c>
      <c r="B1094" s="117" t="s">
        <v>105</v>
      </c>
      <c r="C1094" s="117" t="s">
        <v>225</v>
      </c>
      <c r="D1094" s="118">
        <v>619083</v>
      </c>
      <c r="E1094" s="119"/>
      <c r="F1094" s="119"/>
      <c r="G1094" s="119"/>
      <c r="H1094" s="120"/>
      <c r="I1094" s="118">
        <v>148780</v>
      </c>
      <c r="J1094" s="119"/>
      <c r="K1094" s="119"/>
      <c r="L1094" s="119"/>
      <c r="M1094" s="120"/>
    </row>
    <row r="1095" spans="1:13" x14ac:dyDescent="0.2">
      <c r="A1095" t="s">
        <v>29</v>
      </c>
      <c r="B1095" t="s">
        <v>111</v>
      </c>
      <c r="C1095" t="s">
        <v>222</v>
      </c>
      <c r="D1095" s="110">
        <v>54373</v>
      </c>
      <c r="E1095" s="111">
        <v>53120</v>
      </c>
      <c r="F1095" s="111">
        <v>52470</v>
      </c>
      <c r="G1095" s="111">
        <v>52170</v>
      </c>
      <c r="H1095" s="112"/>
      <c r="I1095" s="110">
        <v>2185</v>
      </c>
      <c r="J1095" s="111">
        <v>2604</v>
      </c>
      <c r="K1095" s="111">
        <v>3514</v>
      </c>
      <c r="L1095" s="111">
        <v>4259</v>
      </c>
      <c r="M1095" s="112"/>
    </row>
    <row r="1096" spans="1:13" x14ac:dyDescent="0.2">
      <c r="A1096" s="113" t="s">
        <v>29</v>
      </c>
      <c r="B1096" s="113" t="s">
        <v>111</v>
      </c>
      <c r="C1096" s="113" t="s">
        <v>223</v>
      </c>
      <c r="D1096" s="114">
        <v>51250</v>
      </c>
      <c r="E1096" s="115">
        <v>49985</v>
      </c>
      <c r="F1096" s="115">
        <v>48785</v>
      </c>
      <c r="G1096" s="115"/>
      <c r="H1096" s="116"/>
      <c r="I1096" s="114">
        <v>1968</v>
      </c>
      <c r="J1096" s="115">
        <v>3015</v>
      </c>
      <c r="K1096" s="115">
        <v>3915</v>
      </c>
      <c r="L1096" s="115"/>
      <c r="M1096" s="116"/>
    </row>
    <row r="1097" spans="1:13" x14ac:dyDescent="0.2">
      <c r="A1097" t="s">
        <v>29</v>
      </c>
      <c r="B1097" t="s">
        <v>111</v>
      </c>
      <c r="C1097" t="s">
        <v>224</v>
      </c>
      <c r="D1097" s="110">
        <v>13113</v>
      </c>
      <c r="E1097" s="111">
        <v>11591</v>
      </c>
      <c r="F1097" s="111"/>
      <c r="G1097" s="111"/>
      <c r="H1097" s="112"/>
      <c r="I1097" s="110">
        <v>1383</v>
      </c>
      <c r="J1097" s="111">
        <v>1726</v>
      </c>
      <c r="K1097" s="111"/>
      <c r="L1097" s="111"/>
      <c r="M1097" s="112"/>
    </row>
    <row r="1098" spans="1:13" x14ac:dyDescent="0.2">
      <c r="A1098" s="117" t="s">
        <v>29</v>
      </c>
      <c r="B1098" s="117" t="s">
        <v>111</v>
      </c>
      <c r="C1098" s="117" t="s">
        <v>225</v>
      </c>
      <c r="D1098" s="118">
        <v>23528</v>
      </c>
      <c r="E1098" s="119"/>
      <c r="F1098" s="119"/>
      <c r="G1098" s="119"/>
      <c r="H1098" s="120"/>
      <c r="I1098" s="118">
        <v>1087</v>
      </c>
      <c r="J1098" s="119"/>
      <c r="K1098" s="119"/>
      <c r="L1098" s="119"/>
      <c r="M1098" s="120"/>
    </row>
    <row r="1099" spans="1:13" x14ac:dyDescent="0.2">
      <c r="A1099" s="124" t="s">
        <v>29</v>
      </c>
      <c r="B1099" s="124" t="s">
        <v>109</v>
      </c>
      <c r="C1099" s="124" t="s">
        <v>222</v>
      </c>
      <c r="D1099" s="125">
        <v>1874157</v>
      </c>
      <c r="E1099" s="126">
        <v>1850290</v>
      </c>
      <c r="F1099" s="126">
        <v>1835963</v>
      </c>
      <c r="G1099" s="126">
        <v>1826637</v>
      </c>
      <c r="H1099" s="127"/>
      <c r="I1099" s="125">
        <v>766093</v>
      </c>
      <c r="J1099" s="126">
        <v>1024922</v>
      </c>
      <c r="K1099" s="126">
        <v>1138670</v>
      </c>
      <c r="L1099" s="126">
        <v>1255437</v>
      </c>
      <c r="M1099" s="127"/>
    </row>
    <row r="1100" spans="1:13" x14ac:dyDescent="0.2">
      <c r="A1100" s="113" t="s">
        <v>29</v>
      </c>
      <c r="B1100" s="113" t="s">
        <v>109</v>
      </c>
      <c r="C1100" s="113" t="s">
        <v>223</v>
      </c>
      <c r="D1100" s="114">
        <v>1761517</v>
      </c>
      <c r="E1100" s="115">
        <v>1741857</v>
      </c>
      <c r="F1100" s="115">
        <v>1732701</v>
      </c>
      <c r="G1100" s="115"/>
      <c r="H1100" s="116"/>
      <c r="I1100" s="114">
        <v>760305</v>
      </c>
      <c r="J1100" s="115">
        <v>952315</v>
      </c>
      <c r="K1100" s="115">
        <v>1130737</v>
      </c>
      <c r="L1100" s="115"/>
      <c r="M1100" s="116"/>
    </row>
    <row r="1101" spans="1:13" x14ac:dyDescent="0.2">
      <c r="A1101" t="s">
        <v>29</v>
      </c>
      <c r="B1101" t="s">
        <v>109</v>
      </c>
      <c r="C1101" t="s">
        <v>224</v>
      </c>
      <c r="D1101" s="110">
        <v>451528</v>
      </c>
      <c r="E1101" s="111">
        <v>448701</v>
      </c>
      <c r="F1101" s="111"/>
      <c r="G1101" s="111"/>
      <c r="H1101" s="112"/>
      <c r="I1101" s="110">
        <v>337000</v>
      </c>
      <c r="J1101" s="111">
        <v>352114</v>
      </c>
      <c r="K1101" s="111"/>
      <c r="L1101" s="111"/>
      <c r="M1101" s="112"/>
    </row>
    <row r="1102" spans="1:13" x14ac:dyDescent="0.2">
      <c r="A1102" s="117" t="s">
        <v>29</v>
      </c>
      <c r="B1102" s="117" t="s">
        <v>109</v>
      </c>
      <c r="C1102" s="117" t="s">
        <v>225</v>
      </c>
      <c r="D1102" s="118">
        <v>799702</v>
      </c>
      <c r="E1102" s="119"/>
      <c r="F1102" s="119"/>
      <c r="G1102" s="119"/>
      <c r="H1102" s="120"/>
      <c r="I1102" s="118">
        <v>422807</v>
      </c>
      <c r="J1102" s="119"/>
      <c r="K1102" s="119"/>
      <c r="L1102" s="119"/>
      <c r="M1102" s="120"/>
    </row>
    <row r="1103" spans="1:13" x14ac:dyDescent="0.2">
      <c r="A1103" t="s">
        <v>29</v>
      </c>
      <c r="B1103" t="s">
        <v>106</v>
      </c>
      <c r="C1103" t="s">
        <v>222</v>
      </c>
      <c r="D1103" s="110">
        <v>2130181</v>
      </c>
      <c r="E1103" s="111">
        <v>2123419</v>
      </c>
      <c r="F1103" s="111">
        <v>2122979</v>
      </c>
      <c r="G1103" s="111">
        <v>2122879</v>
      </c>
      <c r="H1103" s="112"/>
      <c r="I1103" s="110">
        <v>2078258</v>
      </c>
      <c r="J1103" s="111">
        <v>2100057</v>
      </c>
      <c r="K1103" s="111">
        <v>2099617</v>
      </c>
      <c r="L1103" s="111">
        <v>2099652</v>
      </c>
      <c r="M1103" s="112"/>
    </row>
    <row r="1104" spans="1:13" x14ac:dyDescent="0.2">
      <c r="A1104" s="113" t="s">
        <v>29</v>
      </c>
      <c r="B1104" s="113" t="s">
        <v>106</v>
      </c>
      <c r="C1104" s="113" t="s">
        <v>223</v>
      </c>
      <c r="D1104" s="114">
        <v>2156747</v>
      </c>
      <c r="E1104" s="115">
        <v>2147505</v>
      </c>
      <c r="F1104" s="115">
        <v>2145195</v>
      </c>
      <c r="G1104" s="115"/>
      <c r="H1104" s="116"/>
      <c r="I1104" s="114">
        <v>2114910</v>
      </c>
      <c r="J1104" s="115">
        <v>2117801</v>
      </c>
      <c r="K1104" s="115">
        <v>2118353</v>
      </c>
      <c r="L1104" s="115"/>
      <c r="M1104" s="116"/>
    </row>
    <row r="1105" spans="1:13" x14ac:dyDescent="0.2">
      <c r="A1105" t="s">
        <v>29</v>
      </c>
      <c r="B1105" t="s">
        <v>106</v>
      </c>
      <c r="C1105" t="s">
        <v>224</v>
      </c>
      <c r="D1105" s="110">
        <v>1120406</v>
      </c>
      <c r="E1105" s="111">
        <v>1118621</v>
      </c>
      <c r="F1105" s="111"/>
      <c r="G1105" s="111"/>
      <c r="H1105" s="112"/>
      <c r="I1105" s="110">
        <v>1090652</v>
      </c>
      <c r="J1105" s="111">
        <v>1098551</v>
      </c>
      <c r="K1105" s="111"/>
      <c r="L1105" s="111"/>
      <c r="M1105" s="112"/>
    </row>
    <row r="1106" spans="1:13" x14ac:dyDescent="0.2">
      <c r="A1106" s="117" t="s">
        <v>29</v>
      </c>
      <c r="B1106" s="117" t="s">
        <v>106</v>
      </c>
      <c r="C1106" s="117" t="s">
        <v>225</v>
      </c>
      <c r="D1106" s="118">
        <v>1231409</v>
      </c>
      <c r="E1106" s="119"/>
      <c r="F1106" s="119"/>
      <c r="G1106" s="119"/>
      <c r="H1106" s="120"/>
      <c r="I1106" s="118">
        <v>1197874</v>
      </c>
      <c r="J1106" s="119"/>
      <c r="K1106" s="119"/>
      <c r="L1106" s="119"/>
      <c r="M1106" s="120"/>
    </row>
    <row r="1107" spans="1:13" x14ac:dyDescent="0.2">
      <c r="A1107" t="s">
        <v>29</v>
      </c>
      <c r="B1107" t="s">
        <v>107</v>
      </c>
      <c r="C1107" t="s">
        <v>222</v>
      </c>
      <c r="D1107" s="110">
        <v>3115050</v>
      </c>
      <c r="E1107" s="111">
        <v>3114370</v>
      </c>
      <c r="F1107" s="111">
        <v>3114063</v>
      </c>
      <c r="G1107" s="111">
        <v>3114063</v>
      </c>
      <c r="H1107" s="112"/>
      <c r="I1107" s="110">
        <v>3102938</v>
      </c>
      <c r="J1107" s="111">
        <v>3104375</v>
      </c>
      <c r="K1107" s="111">
        <v>3104836</v>
      </c>
      <c r="L1107" s="111">
        <v>3104851</v>
      </c>
      <c r="M1107" s="112"/>
    </row>
    <row r="1108" spans="1:13" x14ac:dyDescent="0.2">
      <c r="A1108" s="113" t="s">
        <v>29</v>
      </c>
      <c r="B1108" s="113" t="s">
        <v>107</v>
      </c>
      <c r="C1108" s="113" t="s">
        <v>223</v>
      </c>
      <c r="D1108" s="114">
        <v>3649957</v>
      </c>
      <c r="E1108" s="115">
        <v>3642777</v>
      </c>
      <c r="F1108" s="115">
        <v>3642037</v>
      </c>
      <c r="G1108" s="115"/>
      <c r="H1108" s="116"/>
      <c r="I1108" s="114">
        <v>3640858</v>
      </c>
      <c r="J1108" s="115">
        <v>3635848</v>
      </c>
      <c r="K1108" s="115">
        <v>3635516</v>
      </c>
      <c r="L1108" s="115"/>
      <c r="M1108" s="116"/>
    </row>
    <row r="1109" spans="1:13" x14ac:dyDescent="0.2">
      <c r="A1109" t="s">
        <v>29</v>
      </c>
      <c r="B1109" t="s">
        <v>107</v>
      </c>
      <c r="C1109" t="s">
        <v>224</v>
      </c>
      <c r="D1109" s="110">
        <v>2565672</v>
      </c>
      <c r="E1109" s="111">
        <v>2558081</v>
      </c>
      <c r="F1109" s="111"/>
      <c r="G1109" s="111"/>
      <c r="H1109" s="112"/>
      <c r="I1109" s="110">
        <v>2553770</v>
      </c>
      <c r="J1109" s="111">
        <v>2548171</v>
      </c>
      <c r="K1109" s="111"/>
      <c r="L1109" s="111"/>
      <c r="M1109" s="112"/>
    </row>
    <row r="1110" spans="1:13" x14ac:dyDescent="0.2">
      <c r="A1110" s="117" t="s">
        <v>29</v>
      </c>
      <c r="B1110" s="117" t="s">
        <v>107</v>
      </c>
      <c r="C1110" s="117" t="s">
        <v>225</v>
      </c>
      <c r="D1110" s="118">
        <v>3408992</v>
      </c>
      <c r="E1110" s="119"/>
      <c r="F1110" s="119"/>
      <c r="G1110" s="119"/>
      <c r="H1110" s="120"/>
      <c r="I1110" s="118">
        <v>3395384</v>
      </c>
      <c r="J1110" s="119"/>
      <c r="K1110" s="119"/>
      <c r="L1110" s="119"/>
      <c r="M1110" s="120"/>
    </row>
    <row r="1111" spans="1:13" x14ac:dyDescent="0.2">
      <c r="A1111" t="s">
        <v>29</v>
      </c>
      <c r="B1111" t="s">
        <v>108</v>
      </c>
      <c r="C1111" t="s">
        <v>222</v>
      </c>
      <c r="D1111" s="110">
        <v>323777</v>
      </c>
      <c r="E1111" s="111">
        <v>322184</v>
      </c>
      <c r="F1111" s="111">
        <v>322184</v>
      </c>
      <c r="G1111" s="111">
        <v>322184</v>
      </c>
      <c r="H1111" s="112"/>
      <c r="I1111" s="110">
        <v>313516</v>
      </c>
      <c r="J1111" s="111">
        <v>314424</v>
      </c>
      <c r="K1111" s="111">
        <v>314424</v>
      </c>
      <c r="L1111" s="111">
        <v>314674</v>
      </c>
      <c r="M1111" s="112"/>
    </row>
    <row r="1112" spans="1:13" x14ac:dyDescent="0.2">
      <c r="A1112" s="113" t="s">
        <v>29</v>
      </c>
      <c r="B1112" s="113" t="s">
        <v>108</v>
      </c>
      <c r="C1112" s="113" t="s">
        <v>223</v>
      </c>
      <c r="D1112" s="114">
        <v>344544</v>
      </c>
      <c r="E1112" s="115">
        <v>343269</v>
      </c>
      <c r="F1112" s="115">
        <v>343269</v>
      </c>
      <c r="G1112" s="115"/>
      <c r="H1112" s="116"/>
      <c r="I1112" s="114">
        <v>334632</v>
      </c>
      <c r="J1112" s="115">
        <v>336177</v>
      </c>
      <c r="K1112" s="115">
        <v>336408</v>
      </c>
      <c r="L1112" s="115"/>
      <c r="M1112" s="116"/>
    </row>
    <row r="1113" spans="1:13" x14ac:dyDescent="0.2">
      <c r="A1113" t="s">
        <v>29</v>
      </c>
      <c r="B1113" t="s">
        <v>108</v>
      </c>
      <c r="C1113" t="s">
        <v>224</v>
      </c>
      <c r="D1113" s="110">
        <v>311066</v>
      </c>
      <c r="E1113" s="111">
        <v>310301</v>
      </c>
      <c r="F1113" s="111"/>
      <c r="G1113" s="111"/>
      <c r="H1113" s="112"/>
      <c r="I1113" s="110">
        <v>304067</v>
      </c>
      <c r="J1113" s="111">
        <v>305797</v>
      </c>
      <c r="K1113" s="111"/>
      <c r="L1113" s="111"/>
      <c r="M1113" s="112"/>
    </row>
    <row r="1114" spans="1:13" x14ac:dyDescent="0.2">
      <c r="A1114" s="117" t="s">
        <v>29</v>
      </c>
      <c r="B1114" s="117" t="s">
        <v>108</v>
      </c>
      <c r="C1114" s="117" t="s">
        <v>225</v>
      </c>
      <c r="D1114" s="118">
        <v>342420</v>
      </c>
      <c r="E1114" s="119"/>
      <c r="F1114" s="119"/>
      <c r="G1114" s="119"/>
      <c r="H1114" s="120"/>
      <c r="I1114" s="118">
        <v>333885</v>
      </c>
      <c r="J1114" s="119"/>
      <c r="K1114" s="119"/>
      <c r="L1114" s="119"/>
      <c r="M1114" s="120"/>
    </row>
    <row r="1115" spans="1:13" x14ac:dyDescent="0.2">
      <c r="A1115" t="s">
        <v>29</v>
      </c>
      <c r="B1115" t="s">
        <v>70</v>
      </c>
      <c r="C1115" t="s">
        <v>222</v>
      </c>
      <c r="D1115" s="110">
        <v>678794</v>
      </c>
      <c r="E1115" s="111">
        <v>676361</v>
      </c>
      <c r="F1115" s="111">
        <v>674481</v>
      </c>
      <c r="G1115" s="111">
        <v>674686</v>
      </c>
      <c r="H1115" s="112"/>
      <c r="I1115" s="110">
        <v>645242</v>
      </c>
      <c r="J1115" s="111">
        <v>652068</v>
      </c>
      <c r="K1115" s="111">
        <v>651855</v>
      </c>
      <c r="L1115" s="111">
        <v>652695</v>
      </c>
      <c r="M1115" s="112"/>
    </row>
    <row r="1116" spans="1:13" x14ac:dyDescent="0.2">
      <c r="A1116" s="113" t="s">
        <v>29</v>
      </c>
      <c r="B1116" s="113" t="s">
        <v>70</v>
      </c>
      <c r="C1116" s="113" t="s">
        <v>223</v>
      </c>
      <c r="D1116" s="114">
        <v>693890</v>
      </c>
      <c r="E1116" s="115">
        <v>692961</v>
      </c>
      <c r="F1116" s="115">
        <v>691588</v>
      </c>
      <c r="G1116" s="115"/>
      <c r="H1116" s="116"/>
      <c r="I1116" s="114">
        <v>654384</v>
      </c>
      <c r="J1116" s="115">
        <v>663404</v>
      </c>
      <c r="K1116" s="115">
        <v>664107</v>
      </c>
      <c r="L1116" s="115"/>
      <c r="M1116" s="116"/>
    </row>
    <row r="1117" spans="1:13" x14ac:dyDescent="0.2">
      <c r="A1117" t="s">
        <v>29</v>
      </c>
      <c r="B1117" t="s">
        <v>70</v>
      </c>
      <c r="C1117" t="s">
        <v>224</v>
      </c>
      <c r="D1117" s="110">
        <v>606266</v>
      </c>
      <c r="E1117" s="111">
        <v>602007</v>
      </c>
      <c r="F1117" s="111"/>
      <c r="G1117" s="111"/>
      <c r="H1117" s="112"/>
      <c r="I1117" s="110">
        <v>569204</v>
      </c>
      <c r="J1117" s="111">
        <v>574733</v>
      </c>
      <c r="K1117" s="111"/>
      <c r="L1117" s="111"/>
      <c r="M1117" s="112"/>
    </row>
    <row r="1118" spans="1:13" x14ac:dyDescent="0.2">
      <c r="A1118" s="117" t="s">
        <v>29</v>
      </c>
      <c r="B1118" s="117" t="s">
        <v>70</v>
      </c>
      <c r="C1118" s="117" t="s">
        <v>225</v>
      </c>
      <c r="D1118" s="118">
        <v>713288</v>
      </c>
      <c r="E1118" s="119"/>
      <c r="F1118" s="119"/>
      <c r="G1118" s="119"/>
      <c r="H1118" s="120"/>
      <c r="I1118" s="118">
        <v>675483</v>
      </c>
      <c r="J1118" s="119"/>
      <c r="K1118" s="119"/>
      <c r="L1118" s="119"/>
      <c r="M1118" s="120"/>
    </row>
    <row r="1119" spans="1:13" x14ac:dyDescent="0.2">
      <c r="A1119" t="s">
        <v>29</v>
      </c>
      <c r="B1119" t="s">
        <v>110</v>
      </c>
      <c r="C1119" t="s">
        <v>222</v>
      </c>
      <c r="D1119" s="110">
        <v>7819511</v>
      </c>
      <c r="E1119" s="111">
        <v>6641837</v>
      </c>
      <c r="F1119" s="111">
        <v>6566986</v>
      </c>
      <c r="G1119" s="111">
        <v>6400191</v>
      </c>
      <c r="H1119" s="112"/>
      <c r="I1119" s="110">
        <v>2192659</v>
      </c>
      <c r="J1119" s="111">
        <v>3810128</v>
      </c>
      <c r="K1119" s="111">
        <v>4248038</v>
      </c>
      <c r="L1119" s="111">
        <v>4531267</v>
      </c>
      <c r="M1119" s="112"/>
    </row>
    <row r="1120" spans="1:13" x14ac:dyDescent="0.2">
      <c r="A1120" s="113" t="s">
        <v>29</v>
      </c>
      <c r="B1120" s="113" t="s">
        <v>110</v>
      </c>
      <c r="C1120" s="113" t="s">
        <v>223</v>
      </c>
      <c r="D1120" s="114">
        <v>7428615</v>
      </c>
      <c r="E1120" s="115">
        <v>7148325</v>
      </c>
      <c r="F1120" s="115">
        <v>6687510</v>
      </c>
      <c r="G1120" s="115"/>
      <c r="H1120" s="116"/>
      <c r="I1120" s="114">
        <v>2240575</v>
      </c>
      <c r="J1120" s="115">
        <v>3246414</v>
      </c>
      <c r="K1120" s="115">
        <v>4128717</v>
      </c>
      <c r="L1120" s="115"/>
      <c r="M1120" s="116"/>
    </row>
    <row r="1121" spans="1:13" x14ac:dyDescent="0.2">
      <c r="A1121" t="s">
        <v>29</v>
      </c>
      <c r="B1121" t="s">
        <v>110</v>
      </c>
      <c r="C1121" t="s">
        <v>224</v>
      </c>
      <c r="D1121" s="110">
        <v>5416594</v>
      </c>
      <c r="E1121" s="111">
        <v>4787229</v>
      </c>
      <c r="F1121" s="111"/>
      <c r="G1121" s="111"/>
      <c r="H1121" s="112"/>
      <c r="I1121" s="110">
        <v>1464205</v>
      </c>
      <c r="J1121" s="111">
        <v>2567810</v>
      </c>
      <c r="K1121" s="111"/>
      <c r="L1121" s="111"/>
      <c r="M1121" s="112"/>
    </row>
    <row r="1122" spans="1:13" ht="13.5" thickBot="1" x14ac:dyDescent="0.25">
      <c r="A1122" s="128" t="s">
        <v>29</v>
      </c>
      <c r="B1122" s="128" t="s">
        <v>110</v>
      </c>
      <c r="C1122" s="128" t="s">
        <v>225</v>
      </c>
      <c r="D1122" s="129">
        <v>4696828</v>
      </c>
      <c r="E1122" s="130"/>
      <c r="F1122" s="130"/>
      <c r="G1122" s="130"/>
      <c r="H1122" s="131"/>
      <c r="I1122" s="129">
        <v>1452754</v>
      </c>
      <c r="J1122" s="130"/>
      <c r="K1122" s="130"/>
      <c r="L1122" s="130"/>
      <c r="M1122" s="131"/>
    </row>
    <row r="1123" spans="1:13" x14ac:dyDescent="0.2">
      <c r="A1123" s="132" t="s">
        <v>30</v>
      </c>
      <c r="B1123" s="132" t="s">
        <v>104</v>
      </c>
      <c r="C1123" s="132" t="s">
        <v>222</v>
      </c>
      <c r="D1123" s="133">
        <v>144740.29999999999</v>
      </c>
      <c r="E1123" s="134">
        <v>144390.29999999999</v>
      </c>
      <c r="F1123" s="134">
        <v>144390.29999999999</v>
      </c>
      <c r="G1123" s="134">
        <v>142245.29999999999</v>
      </c>
      <c r="H1123" s="135"/>
      <c r="I1123" s="133">
        <v>2076.7399999999998</v>
      </c>
      <c r="J1123" s="134">
        <v>7222.18</v>
      </c>
      <c r="K1123" s="134">
        <v>9608.6200000000008</v>
      </c>
      <c r="L1123" s="134">
        <v>12772.55</v>
      </c>
      <c r="M1123" s="135"/>
    </row>
    <row r="1124" spans="1:13" x14ac:dyDescent="0.2">
      <c r="A1124" s="113" t="s">
        <v>30</v>
      </c>
      <c r="B1124" s="113" t="s">
        <v>104</v>
      </c>
      <c r="C1124" s="113" t="s">
        <v>223</v>
      </c>
      <c r="D1124" s="114">
        <v>334510.5</v>
      </c>
      <c r="E1124" s="115">
        <v>334862.5</v>
      </c>
      <c r="F1124" s="115">
        <v>334762.5</v>
      </c>
      <c r="G1124" s="115"/>
      <c r="H1124" s="116"/>
      <c r="I1124" s="114">
        <v>5279.05</v>
      </c>
      <c r="J1124" s="115">
        <v>11899.88</v>
      </c>
      <c r="K1124" s="115">
        <v>19393.41</v>
      </c>
      <c r="L1124" s="115"/>
      <c r="M1124" s="116"/>
    </row>
    <row r="1125" spans="1:13" x14ac:dyDescent="0.2">
      <c r="A1125" t="s">
        <v>30</v>
      </c>
      <c r="B1125" t="s">
        <v>104</v>
      </c>
      <c r="C1125" t="s">
        <v>224</v>
      </c>
      <c r="D1125" s="110">
        <v>120177.8</v>
      </c>
      <c r="E1125" s="111">
        <v>120177.8</v>
      </c>
      <c r="F1125" s="111"/>
      <c r="G1125" s="111"/>
      <c r="H1125" s="112"/>
      <c r="I1125" s="110">
        <v>3296.86</v>
      </c>
      <c r="J1125" s="111">
        <v>4606.51</v>
      </c>
      <c r="K1125" s="111"/>
      <c r="L1125" s="111"/>
      <c r="M1125" s="112"/>
    </row>
    <row r="1126" spans="1:13" x14ac:dyDescent="0.2">
      <c r="A1126" s="117" t="s">
        <v>30</v>
      </c>
      <c r="B1126" s="117" t="s">
        <v>104</v>
      </c>
      <c r="C1126" s="117" t="s">
        <v>225</v>
      </c>
      <c r="D1126" s="118">
        <v>124021.15</v>
      </c>
      <c r="E1126" s="119"/>
      <c r="F1126" s="119"/>
      <c r="G1126" s="119"/>
      <c r="H1126" s="120"/>
      <c r="I1126" s="118">
        <v>3278.6</v>
      </c>
      <c r="J1126" s="119"/>
      <c r="K1126" s="119"/>
      <c r="L1126" s="119"/>
      <c r="M1126" s="120"/>
    </row>
    <row r="1127" spans="1:13" x14ac:dyDescent="0.2">
      <c r="A1127" t="s">
        <v>30</v>
      </c>
      <c r="B1127" t="s">
        <v>140</v>
      </c>
      <c r="C1127" t="s">
        <v>222</v>
      </c>
      <c r="D1127" s="110">
        <v>0</v>
      </c>
      <c r="E1127" s="111">
        <v>0</v>
      </c>
      <c r="F1127" s="111">
        <v>0</v>
      </c>
      <c r="G1127" s="111">
        <v>0</v>
      </c>
      <c r="H1127" s="112"/>
      <c r="I1127" s="110">
        <v>0</v>
      </c>
      <c r="J1127" s="111">
        <v>0</v>
      </c>
      <c r="K1127" s="111">
        <v>0</v>
      </c>
      <c r="L1127" s="111">
        <v>0</v>
      </c>
      <c r="M1127" s="112"/>
    </row>
    <row r="1128" spans="1:13" x14ac:dyDescent="0.2">
      <c r="A1128" s="113" t="s">
        <v>30</v>
      </c>
      <c r="B1128" s="113" t="s">
        <v>140</v>
      </c>
      <c r="C1128" s="113" t="s">
        <v>223</v>
      </c>
      <c r="D1128" s="114">
        <v>106536</v>
      </c>
      <c r="E1128" s="115">
        <v>106536</v>
      </c>
      <c r="F1128" s="115">
        <v>106536</v>
      </c>
      <c r="G1128" s="115"/>
      <c r="H1128" s="116"/>
      <c r="I1128" s="114">
        <v>0</v>
      </c>
      <c r="J1128" s="115">
        <v>0</v>
      </c>
      <c r="K1128" s="115">
        <v>0</v>
      </c>
      <c r="L1128" s="115"/>
      <c r="M1128" s="116"/>
    </row>
    <row r="1129" spans="1:13" x14ac:dyDescent="0.2">
      <c r="A1129" t="s">
        <v>30</v>
      </c>
      <c r="B1129" t="s">
        <v>140</v>
      </c>
      <c r="C1129" t="s">
        <v>224</v>
      </c>
      <c r="D1129" s="110">
        <v>0</v>
      </c>
      <c r="E1129" s="111">
        <v>0</v>
      </c>
      <c r="F1129" s="111"/>
      <c r="G1129" s="111"/>
      <c r="H1129" s="112"/>
      <c r="I1129" s="110">
        <v>0</v>
      </c>
      <c r="J1129" s="111">
        <v>0</v>
      </c>
      <c r="K1129" s="111"/>
      <c r="L1129" s="111"/>
      <c r="M1129" s="112"/>
    </row>
    <row r="1130" spans="1:13" x14ac:dyDescent="0.2">
      <c r="A1130" s="117" t="s">
        <v>30</v>
      </c>
      <c r="B1130" s="117" t="s">
        <v>140</v>
      </c>
      <c r="C1130" s="117" t="s">
        <v>225</v>
      </c>
      <c r="D1130" s="118">
        <v>0</v>
      </c>
      <c r="E1130" s="119"/>
      <c r="F1130" s="119"/>
      <c r="G1130" s="119"/>
      <c r="H1130" s="120"/>
      <c r="I1130" s="118">
        <v>0</v>
      </c>
      <c r="J1130" s="119"/>
      <c r="K1130" s="119"/>
      <c r="L1130" s="119"/>
      <c r="M1130" s="120"/>
    </row>
    <row r="1131" spans="1:13" x14ac:dyDescent="0.2">
      <c r="A1131" t="s">
        <v>30</v>
      </c>
      <c r="B1131" t="s">
        <v>105</v>
      </c>
      <c r="C1131" t="s">
        <v>222</v>
      </c>
      <c r="D1131" s="110">
        <v>41661.599999999999</v>
      </c>
      <c r="E1131" s="111">
        <v>41661.599999999999</v>
      </c>
      <c r="F1131" s="111">
        <v>41661.599999999999</v>
      </c>
      <c r="G1131" s="111">
        <v>41581.599999999999</v>
      </c>
      <c r="H1131" s="112"/>
      <c r="I1131" s="110">
        <v>8514.7999999999993</v>
      </c>
      <c r="J1131" s="111">
        <v>14051.45</v>
      </c>
      <c r="K1131" s="111">
        <v>20512.46</v>
      </c>
      <c r="L1131" s="111">
        <v>22286.400000000001</v>
      </c>
      <c r="M1131" s="112"/>
    </row>
    <row r="1132" spans="1:13" x14ac:dyDescent="0.2">
      <c r="A1132" s="113" t="s">
        <v>30</v>
      </c>
      <c r="B1132" s="113" t="s">
        <v>105</v>
      </c>
      <c r="C1132" s="113" t="s">
        <v>223</v>
      </c>
      <c r="D1132" s="114">
        <v>48676.480000000003</v>
      </c>
      <c r="E1132" s="115">
        <v>48451.48</v>
      </c>
      <c r="F1132" s="115">
        <v>48451.48</v>
      </c>
      <c r="G1132" s="115"/>
      <c r="H1132" s="116"/>
      <c r="I1132" s="114">
        <v>6176.58</v>
      </c>
      <c r="J1132" s="115">
        <v>14856.58</v>
      </c>
      <c r="K1132" s="115">
        <v>17495.580000000002</v>
      </c>
      <c r="L1132" s="115"/>
      <c r="M1132" s="116"/>
    </row>
    <row r="1133" spans="1:13" x14ac:dyDescent="0.2">
      <c r="A1133" t="s">
        <v>30</v>
      </c>
      <c r="B1133" t="s">
        <v>105</v>
      </c>
      <c r="C1133" t="s">
        <v>224</v>
      </c>
      <c r="D1133" s="110">
        <v>31089.96</v>
      </c>
      <c r="E1133" s="111">
        <v>30774.959999999999</v>
      </c>
      <c r="F1133" s="111"/>
      <c r="G1133" s="111"/>
      <c r="H1133" s="112"/>
      <c r="I1133" s="110">
        <v>4266.3100000000004</v>
      </c>
      <c r="J1133" s="111">
        <v>7838.52</v>
      </c>
      <c r="K1133" s="111"/>
      <c r="L1133" s="111"/>
      <c r="M1133" s="112"/>
    </row>
    <row r="1134" spans="1:13" x14ac:dyDescent="0.2">
      <c r="A1134" s="117" t="s">
        <v>30</v>
      </c>
      <c r="B1134" s="117" t="s">
        <v>105</v>
      </c>
      <c r="C1134" s="117" t="s">
        <v>225</v>
      </c>
      <c r="D1134" s="118">
        <v>54768.09</v>
      </c>
      <c r="E1134" s="119"/>
      <c r="F1134" s="119"/>
      <c r="G1134" s="119"/>
      <c r="H1134" s="120"/>
      <c r="I1134" s="118">
        <v>9091.14</v>
      </c>
      <c r="J1134" s="119"/>
      <c r="K1134" s="119"/>
      <c r="L1134" s="119"/>
      <c r="M1134" s="120"/>
    </row>
    <row r="1135" spans="1:13" x14ac:dyDescent="0.2">
      <c r="A1135" t="s">
        <v>30</v>
      </c>
      <c r="B1135" t="s">
        <v>111</v>
      </c>
      <c r="C1135" t="s">
        <v>222</v>
      </c>
      <c r="D1135" s="110">
        <v>268</v>
      </c>
      <c r="E1135" s="111">
        <v>268</v>
      </c>
      <c r="F1135" s="111">
        <v>406</v>
      </c>
      <c r="G1135" s="111">
        <v>406</v>
      </c>
      <c r="H1135" s="112"/>
      <c r="I1135" s="110">
        <v>0</v>
      </c>
      <c r="J1135" s="111">
        <v>0</v>
      </c>
      <c r="K1135" s="111">
        <v>406</v>
      </c>
      <c r="L1135" s="111">
        <v>406</v>
      </c>
      <c r="M1135" s="112"/>
    </row>
    <row r="1136" spans="1:13" x14ac:dyDescent="0.2">
      <c r="A1136" s="113" t="s">
        <v>30</v>
      </c>
      <c r="B1136" s="113" t="s">
        <v>111</v>
      </c>
      <c r="C1136" s="113" t="s">
        <v>223</v>
      </c>
      <c r="D1136" s="114">
        <v>2639</v>
      </c>
      <c r="E1136" s="115">
        <v>2639</v>
      </c>
      <c r="F1136" s="115">
        <v>2639</v>
      </c>
      <c r="G1136" s="115"/>
      <c r="H1136" s="116"/>
      <c r="I1136" s="114">
        <v>7</v>
      </c>
      <c r="J1136" s="115">
        <v>7</v>
      </c>
      <c r="K1136" s="115">
        <v>7</v>
      </c>
      <c r="L1136" s="115"/>
      <c r="M1136" s="116"/>
    </row>
    <row r="1137" spans="1:13" x14ac:dyDescent="0.2">
      <c r="A1137" t="s">
        <v>30</v>
      </c>
      <c r="B1137" t="s">
        <v>111</v>
      </c>
      <c r="C1137" t="s">
        <v>224</v>
      </c>
      <c r="D1137" s="110">
        <v>25</v>
      </c>
      <c r="E1137" s="111">
        <v>25</v>
      </c>
      <c r="F1137" s="111"/>
      <c r="G1137" s="111"/>
      <c r="H1137" s="112"/>
      <c r="I1137" s="110">
        <v>25</v>
      </c>
      <c r="J1137" s="111">
        <v>25</v>
      </c>
      <c r="K1137" s="111"/>
      <c r="L1137" s="111"/>
      <c r="M1137" s="112"/>
    </row>
    <row r="1138" spans="1:13" x14ac:dyDescent="0.2">
      <c r="A1138" s="117" t="s">
        <v>30</v>
      </c>
      <c r="B1138" s="117" t="s">
        <v>111</v>
      </c>
      <c r="C1138" s="117" t="s">
        <v>225</v>
      </c>
      <c r="D1138" s="118">
        <v>922</v>
      </c>
      <c r="E1138" s="119"/>
      <c r="F1138" s="119"/>
      <c r="G1138" s="119"/>
      <c r="H1138" s="120"/>
      <c r="I1138" s="118">
        <v>0</v>
      </c>
      <c r="J1138" s="119"/>
      <c r="K1138" s="119"/>
      <c r="L1138" s="119"/>
      <c r="M1138" s="120"/>
    </row>
    <row r="1139" spans="1:13" x14ac:dyDescent="0.2">
      <c r="A1139" s="124" t="s">
        <v>30</v>
      </c>
      <c r="B1139" s="124" t="s">
        <v>109</v>
      </c>
      <c r="C1139" s="124" t="s">
        <v>222</v>
      </c>
      <c r="D1139" s="125">
        <v>25394.95</v>
      </c>
      <c r="E1139" s="126">
        <v>25395.200000000001</v>
      </c>
      <c r="F1139" s="126">
        <v>25395.200000000001</v>
      </c>
      <c r="G1139" s="126">
        <v>25395.200000000001</v>
      </c>
      <c r="H1139" s="127"/>
      <c r="I1139" s="125">
        <v>5338.33</v>
      </c>
      <c r="J1139" s="126">
        <v>9136.2999999999993</v>
      </c>
      <c r="K1139" s="126">
        <v>12194.18</v>
      </c>
      <c r="L1139" s="126">
        <v>13301.52</v>
      </c>
      <c r="M1139" s="127"/>
    </row>
    <row r="1140" spans="1:13" x14ac:dyDescent="0.2">
      <c r="A1140" s="113" t="s">
        <v>30</v>
      </c>
      <c r="B1140" s="113" t="s">
        <v>109</v>
      </c>
      <c r="C1140" s="113" t="s">
        <v>223</v>
      </c>
      <c r="D1140" s="114">
        <v>20638.3</v>
      </c>
      <c r="E1140" s="115">
        <v>20738.3</v>
      </c>
      <c r="F1140" s="115">
        <v>20738.3</v>
      </c>
      <c r="G1140" s="115"/>
      <c r="H1140" s="116"/>
      <c r="I1140" s="114">
        <v>2697.85</v>
      </c>
      <c r="J1140" s="115">
        <v>9004.85</v>
      </c>
      <c r="K1140" s="115">
        <v>11252.85</v>
      </c>
      <c r="L1140" s="115"/>
      <c r="M1140" s="116"/>
    </row>
    <row r="1141" spans="1:13" x14ac:dyDescent="0.2">
      <c r="A1141" t="s">
        <v>30</v>
      </c>
      <c r="B1141" t="s">
        <v>109</v>
      </c>
      <c r="C1141" t="s">
        <v>224</v>
      </c>
      <c r="D1141" s="110">
        <v>8845.4500000000007</v>
      </c>
      <c r="E1141" s="111">
        <v>8845.4500000000007</v>
      </c>
      <c r="F1141" s="111"/>
      <c r="G1141" s="111"/>
      <c r="H1141" s="112"/>
      <c r="I1141" s="110">
        <v>3967</v>
      </c>
      <c r="J1141" s="111">
        <v>4386</v>
      </c>
      <c r="K1141" s="111"/>
      <c r="L1141" s="111"/>
      <c r="M1141" s="112"/>
    </row>
    <row r="1142" spans="1:13" x14ac:dyDescent="0.2">
      <c r="A1142" s="117" t="s">
        <v>30</v>
      </c>
      <c r="B1142" s="117" t="s">
        <v>109</v>
      </c>
      <c r="C1142" s="117" t="s">
        <v>225</v>
      </c>
      <c r="D1142" s="118">
        <v>40504.199999999997</v>
      </c>
      <c r="E1142" s="119"/>
      <c r="F1142" s="119"/>
      <c r="G1142" s="119"/>
      <c r="H1142" s="120"/>
      <c r="I1142" s="118">
        <v>8475.25</v>
      </c>
      <c r="J1142" s="119"/>
      <c r="K1142" s="119"/>
      <c r="L1142" s="119"/>
      <c r="M1142" s="120"/>
    </row>
    <row r="1143" spans="1:13" x14ac:dyDescent="0.2">
      <c r="A1143" t="s">
        <v>30</v>
      </c>
      <c r="B1143" t="s">
        <v>106</v>
      </c>
      <c r="C1143" t="s">
        <v>222</v>
      </c>
      <c r="D1143" s="110">
        <v>9610.5</v>
      </c>
      <c r="E1143" s="111">
        <v>9610.5</v>
      </c>
      <c r="F1143" s="111">
        <v>9610.5</v>
      </c>
      <c r="G1143" s="111">
        <v>9610.5</v>
      </c>
      <c r="H1143" s="112"/>
      <c r="I1143" s="110">
        <v>9170.5</v>
      </c>
      <c r="J1143" s="111">
        <v>9170.5</v>
      </c>
      <c r="K1143" s="111">
        <v>9170.5</v>
      </c>
      <c r="L1143" s="111">
        <v>9170.5</v>
      </c>
      <c r="M1143" s="112"/>
    </row>
    <row r="1144" spans="1:13" x14ac:dyDescent="0.2">
      <c r="A1144" s="113" t="s">
        <v>30</v>
      </c>
      <c r="B1144" s="113" t="s">
        <v>106</v>
      </c>
      <c r="C1144" s="113" t="s">
        <v>223</v>
      </c>
      <c r="D1144" s="114">
        <v>145823.5</v>
      </c>
      <c r="E1144" s="115">
        <v>145823.5</v>
      </c>
      <c r="F1144" s="115">
        <v>145823.5</v>
      </c>
      <c r="G1144" s="115"/>
      <c r="H1144" s="116"/>
      <c r="I1144" s="114">
        <v>117417.55</v>
      </c>
      <c r="J1144" s="115">
        <v>117417.55</v>
      </c>
      <c r="K1144" s="115">
        <v>117417.55</v>
      </c>
      <c r="L1144" s="115"/>
      <c r="M1144" s="116"/>
    </row>
    <row r="1145" spans="1:13" x14ac:dyDescent="0.2">
      <c r="A1145" t="s">
        <v>30</v>
      </c>
      <c r="B1145" t="s">
        <v>106</v>
      </c>
      <c r="C1145" t="s">
        <v>224</v>
      </c>
      <c r="D1145" s="110">
        <v>3145</v>
      </c>
      <c r="E1145" s="111">
        <v>3145</v>
      </c>
      <c r="F1145" s="111"/>
      <c r="G1145" s="111"/>
      <c r="H1145" s="112"/>
      <c r="I1145" s="110">
        <v>3135</v>
      </c>
      <c r="J1145" s="111">
        <v>3145</v>
      </c>
      <c r="K1145" s="111"/>
      <c r="L1145" s="111"/>
      <c r="M1145" s="112"/>
    </row>
    <row r="1146" spans="1:13" x14ac:dyDescent="0.2">
      <c r="A1146" s="117" t="s">
        <v>30</v>
      </c>
      <c r="B1146" s="117" t="s">
        <v>106</v>
      </c>
      <c r="C1146" s="117" t="s">
        <v>225</v>
      </c>
      <c r="D1146" s="118">
        <v>7539.5</v>
      </c>
      <c r="E1146" s="119"/>
      <c r="F1146" s="119"/>
      <c r="G1146" s="119"/>
      <c r="H1146" s="120"/>
      <c r="I1146" s="118">
        <v>7539.5</v>
      </c>
      <c r="J1146" s="119"/>
      <c r="K1146" s="119"/>
      <c r="L1146" s="119"/>
      <c r="M1146" s="120"/>
    </row>
    <row r="1147" spans="1:13" x14ac:dyDescent="0.2">
      <c r="A1147" t="s">
        <v>30</v>
      </c>
      <c r="B1147" t="s">
        <v>107</v>
      </c>
      <c r="C1147" t="s">
        <v>222</v>
      </c>
      <c r="D1147" s="110">
        <v>14532.92</v>
      </c>
      <c r="E1147" s="111">
        <v>14532.92</v>
      </c>
      <c r="F1147" s="111">
        <v>14532.92</v>
      </c>
      <c r="G1147" s="111">
        <v>14532.92</v>
      </c>
      <c r="H1147" s="112"/>
      <c r="I1147" s="110">
        <v>14447.92</v>
      </c>
      <c r="J1147" s="111">
        <v>14532.92</v>
      </c>
      <c r="K1147" s="111">
        <v>14532.92</v>
      </c>
      <c r="L1147" s="111">
        <v>14532.92</v>
      </c>
      <c r="M1147" s="112"/>
    </row>
    <row r="1148" spans="1:13" x14ac:dyDescent="0.2">
      <c r="A1148" s="113" t="s">
        <v>30</v>
      </c>
      <c r="B1148" s="113" t="s">
        <v>107</v>
      </c>
      <c r="C1148" s="113" t="s">
        <v>223</v>
      </c>
      <c r="D1148" s="114">
        <v>20207.25</v>
      </c>
      <c r="E1148" s="115">
        <v>20607.25</v>
      </c>
      <c r="F1148" s="115">
        <v>20607.25</v>
      </c>
      <c r="G1148" s="115"/>
      <c r="H1148" s="116"/>
      <c r="I1148" s="114">
        <v>20207.25</v>
      </c>
      <c r="J1148" s="115">
        <v>20207.25</v>
      </c>
      <c r="K1148" s="115">
        <v>20207.25</v>
      </c>
      <c r="L1148" s="115"/>
      <c r="M1148" s="116"/>
    </row>
    <row r="1149" spans="1:13" x14ac:dyDescent="0.2">
      <c r="A1149" t="s">
        <v>30</v>
      </c>
      <c r="B1149" t="s">
        <v>107</v>
      </c>
      <c r="C1149" t="s">
        <v>224</v>
      </c>
      <c r="D1149" s="110">
        <v>10920.14</v>
      </c>
      <c r="E1149" s="111">
        <v>10920.14</v>
      </c>
      <c r="F1149" s="111"/>
      <c r="G1149" s="111"/>
      <c r="H1149" s="112"/>
      <c r="I1149" s="110">
        <v>10920.14</v>
      </c>
      <c r="J1149" s="111">
        <v>10920.14</v>
      </c>
      <c r="K1149" s="111"/>
      <c r="L1149" s="111"/>
      <c r="M1149" s="112"/>
    </row>
    <row r="1150" spans="1:13" x14ac:dyDescent="0.2">
      <c r="A1150" s="117" t="s">
        <v>30</v>
      </c>
      <c r="B1150" s="117" t="s">
        <v>107</v>
      </c>
      <c r="C1150" s="117" t="s">
        <v>225</v>
      </c>
      <c r="D1150" s="118">
        <v>15517</v>
      </c>
      <c r="E1150" s="119"/>
      <c r="F1150" s="119"/>
      <c r="G1150" s="119"/>
      <c r="H1150" s="120"/>
      <c r="I1150" s="118">
        <v>15147</v>
      </c>
      <c r="J1150" s="119"/>
      <c r="K1150" s="119"/>
      <c r="L1150" s="119"/>
      <c r="M1150" s="120"/>
    </row>
    <row r="1151" spans="1:13" x14ac:dyDescent="0.2">
      <c r="A1151" t="s">
        <v>30</v>
      </c>
      <c r="B1151" t="s">
        <v>108</v>
      </c>
      <c r="C1151" t="s">
        <v>222</v>
      </c>
      <c r="D1151" s="110">
        <v>8239</v>
      </c>
      <c r="E1151" s="111">
        <v>8239</v>
      </c>
      <c r="F1151" s="111">
        <v>8239</v>
      </c>
      <c r="G1151" s="111">
        <v>8239</v>
      </c>
      <c r="H1151" s="112"/>
      <c r="I1151" s="110">
        <v>8239</v>
      </c>
      <c r="J1151" s="111">
        <v>8239</v>
      </c>
      <c r="K1151" s="111">
        <v>8239</v>
      </c>
      <c r="L1151" s="111">
        <v>8239</v>
      </c>
      <c r="M1151" s="112"/>
    </row>
    <row r="1152" spans="1:13" x14ac:dyDescent="0.2">
      <c r="A1152" s="113" t="s">
        <v>30</v>
      </c>
      <c r="B1152" s="113" t="s">
        <v>108</v>
      </c>
      <c r="C1152" s="113" t="s">
        <v>223</v>
      </c>
      <c r="D1152" s="114">
        <v>5703</v>
      </c>
      <c r="E1152" s="115">
        <v>5703</v>
      </c>
      <c r="F1152" s="115">
        <v>5703</v>
      </c>
      <c r="G1152" s="115"/>
      <c r="H1152" s="116"/>
      <c r="I1152" s="114">
        <v>5703</v>
      </c>
      <c r="J1152" s="115">
        <v>5703</v>
      </c>
      <c r="K1152" s="115">
        <v>5703</v>
      </c>
      <c r="L1152" s="115"/>
      <c r="M1152" s="116"/>
    </row>
    <row r="1153" spans="1:13" x14ac:dyDescent="0.2">
      <c r="A1153" t="s">
        <v>30</v>
      </c>
      <c r="B1153" t="s">
        <v>108</v>
      </c>
      <c r="C1153" t="s">
        <v>224</v>
      </c>
      <c r="D1153" s="110">
        <v>8037</v>
      </c>
      <c r="E1153" s="111">
        <v>8037</v>
      </c>
      <c r="F1153" s="111"/>
      <c r="G1153" s="111"/>
      <c r="H1153" s="112"/>
      <c r="I1153" s="110">
        <v>8037</v>
      </c>
      <c r="J1153" s="111">
        <v>8037</v>
      </c>
      <c r="K1153" s="111"/>
      <c r="L1153" s="111"/>
      <c r="M1153" s="112"/>
    </row>
    <row r="1154" spans="1:13" x14ac:dyDescent="0.2">
      <c r="A1154" s="117" t="s">
        <v>30</v>
      </c>
      <c r="B1154" s="117" t="s">
        <v>108</v>
      </c>
      <c r="C1154" s="117" t="s">
        <v>225</v>
      </c>
      <c r="D1154" s="118">
        <v>10812</v>
      </c>
      <c r="E1154" s="119"/>
      <c r="F1154" s="119"/>
      <c r="G1154" s="119"/>
      <c r="H1154" s="120"/>
      <c r="I1154" s="118">
        <v>10012</v>
      </c>
      <c r="J1154" s="119"/>
      <c r="K1154" s="119"/>
      <c r="L1154" s="119"/>
      <c r="M1154" s="120"/>
    </row>
    <row r="1155" spans="1:13" x14ac:dyDescent="0.2">
      <c r="A1155" t="s">
        <v>30</v>
      </c>
      <c r="B1155" t="s">
        <v>70</v>
      </c>
      <c r="C1155" t="s">
        <v>222</v>
      </c>
      <c r="D1155" s="110">
        <v>14330</v>
      </c>
      <c r="E1155" s="111">
        <v>14330</v>
      </c>
      <c r="F1155" s="111">
        <v>14330</v>
      </c>
      <c r="G1155" s="111">
        <v>14330</v>
      </c>
      <c r="H1155" s="112"/>
      <c r="I1155" s="110">
        <v>12448</v>
      </c>
      <c r="J1155" s="111">
        <v>12556</v>
      </c>
      <c r="K1155" s="111">
        <v>12631</v>
      </c>
      <c r="L1155" s="111">
        <v>12951</v>
      </c>
      <c r="M1155" s="112"/>
    </row>
    <row r="1156" spans="1:13" x14ac:dyDescent="0.2">
      <c r="A1156" s="113" t="s">
        <v>30</v>
      </c>
      <c r="B1156" s="113" t="s">
        <v>70</v>
      </c>
      <c r="C1156" s="113" t="s">
        <v>223</v>
      </c>
      <c r="D1156" s="114">
        <v>11304</v>
      </c>
      <c r="E1156" s="115">
        <v>11304</v>
      </c>
      <c r="F1156" s="115">
        <v>11304</v>
      </c>
      <c r="G1156" s="115"/>
      <c r="H1156" s="116"/>
      <c r="I1156" s="114">
        <v>8224</v>
      </c>
      <c r="J1156" s="115">
        <v>8807</v>
      </c>
      <c r="K1156" s="115">
        <v>8807</v>
      </c>
      <c r="L1156" s="115"/>
      <c r="M1156" s="116"/>
    </row>
    <row r="1157" spans="1:13" x14ac:dyDescent="0.2">
      <c r="A1157" t="s">
        <v>30</v>
      </c>
      <c r="B1157" t="s">
        <v>70</v>
      </c>
      <c r="C1157" t="s">
        <v>224</v>
      </c>
      <c r="D1157" s="110">
        <v>9323</v>
      </c>
      <c r="E1157" s="111">
        <v>9323</v>
      </c>
      <c r="F1157" s="111"/>
      <c r="G1157" s="111"/>
      <c r="H1157" s="112"/>
      <c r="I1157" s="110">
        <v>8507</v>
      </c>
      <c r="J1157" s="111">
        <v>8507</v>
      </c>
      <c r="K1157" s="111"/>
      <c r="L1157" s="111"/>
      <c r="M1157" s="112"/>
    </row>
    <row r="1158" spans="1:13" x14ac:dyDescent="0.2">
      <c r="A1158" s="117" t="s">
        <v>30</v>
      </c>
      <c r="B1158" s="117" t="s">
        <v>70</v>
      </c>
      <c r="C1158" s="117" t="s">
        <v>225</v>
      </c>
      <c r="D1158" s="118">
        <v>10726</v>
      </c>
      <c r="E1158" s="119"/>
      <c r="F1158" s="119"/>
      <c r="G1158" s="119"/>
      <c r="H1158" s="120"/>
      <c r="I1158" s="118">
        <v>9900</v>
      </c>
      <c r="J1158" s="119"/>
      <c r="K1158" s="119"/>
      <c r="L1158" s="119"/>
      <c r="M1158" s="120"/>
    </row>
    <row r="1159" spans="1:13" x14ac:dyDescent="0.2">
      <c r="A1159" t="s">
        <v>30</v>
      </c>
      <c r="B1159" t="s">
        <v>110</v>
      </c>
      <c r="C1159" t="s">
        <v>222</v>
      </c>
      <c r="D1159" s="110">
        <v>91197.15</v>
      </c>
      <c r="E1159" s="111">
        <v>89823.9</v>
      </c>
      <c r="F1159" s="111">
        <v>89400.9</v>
      </c>
      <c r="G1159" s="111">
        <v>89502.65</v>
      </c>
      <c r="H1159" s="112"/>
      <c r="I1159" s="110">
        <v>44044.56</v>
      </c>
      <c r="J1159" s="111">
        <v>72024.34</v>
      </c>
      <c r="K1159" s="111">
        <v>75869.75</v>
      </c>
      <c r="L1159" s="111">
        <v>77402.83</v>
      </c>
      <c r="M1159" s="112"/>
    </row>
    <row r="1160" spans="1:13" x14ac:dyDescent="0.2">
      <c r="A1160" s="113" t="s">
        <v>30</v>
      </c>
      <c r="B1160" s="113" t="s">
        <v>110</v>
      </c>
      <c r="C1160" s="113" t="s">
        <v>223</v>
      </c>
      <c r="D1160" s="114">
        <v>79131.55</v>
      </c>
      <c r="E1160" s="115">
        <v>79637.5</v>
      </c>
      <c r="F1160" s="115">
        <v>79952.5</v>
      </c>
      <c r="G1160" s="115"/>
      <c r="H1160" s="116"/>
      <c r="I1160" s="114">
        <v>41507.1</v>
      </c>
      <c r="J1160" s="115">
        <v>59944.5</v>
      </c>
      <c r="K1160" s="115">
        <v>67460</v>
      </c>
      <c r="L1160" s="115"/>
      <c r="M1160" s="116"/>
    </row>
    <row r="1161" spans="1:13" x14ac:dyDescent="0.2">
      <c r="A1161" t="s">
        <v>30</v>
      </c>
      <c r="B1161" t="s">
        <v>110</v>
      </c>
      <c r="C1161" t="s">
        <v>224</v>
      </c>
      <c r="D1161" s="110">
        <v>72492.7</v>
      </c>
      <c r="E1161" s="111">
        <v>76349.100000000006</v>
      </c>
      <c r="F1161" s="111"/>
      <c r="G1161" s="111"/>
      <c r="H1161" s="112"/>
      <c r="I1161" s="110">
        <v>37241.699999999997</v>
      </c>
      <c r="J1161" s="111">
        <v>58280.47</v>
      </c>
      <c r="K1161" s="111"/>
      <c r="L1161" s="111"/>
      <c r="M1161" s="112"/>
    </row>
    <row r="1162" spans="1:13" ht="13.5" thickBot="1" x14ac:dyDescent="0.25">
      <c r="A1162" s="128" t="s">
        <v>30</v>
      </c>
      <c r="B1162" s="128" t="s">
        <v>110</v>
      </c>
      <c r="C1162" s="128" t="s">
        <v>225</v>
      </c>
      <c r="D1162" s="129">
        <v>75448.850000000006</v>
      </c>
      <c r="E1162" s="130"/>
      <c r="F1162" s="130"/>
      <c r="G1162" s="130"/>
      <c r="H1162" s="131"/>
      <c r="I1162" s="129">
        <v>38846.85</v>
      </c>
      <c r="J1162" s="130"/>
      <c r="K1162" s="130"/>
      <c r="L1162" s="130"/>
      <c r="M1162" s="131"/>
    </row>
    <row r="1163" spans="1:13" x14ac:dyDescent="0.2">
      <c r="A1163" s="132" t="s">
        <v>31</v>
      </c>
      <c r="B1163" s="132" t="s">
        <v>104</v>
      </c>
      <c r="C1163" s="132" t="s">
        <v>222</v>
      </c>
      <c r="D1163" s="133">
        <v>443267.73</v>
      </c>
      <c r="E1163" s="134">
        <v>451782.14</v>
      </c>
      <c r="F1163" s="134">
        <v>450241.84</v>
      </c>
      <c r="G1163" s="134">
        <v>448922.08</v>
      </c>
      <c r="H1163" s="135"/>
      <c r="I1163" s="133">
        <v>13854.14</v>
      </c>
      <c r="J1163" s="134">
        <v>24154.78</v>
      </c>
      <c r="K1163" s="134">
        <v>31101.85</v>
      </c>
      <c r="L1163" s="134">
        <v>37586.339999999997</v>
      </c>
      <c r="M1163" s="135"/>
    </row>
    <row r="1164" spans="1:13" x14ac:dyDescent="0.2">
      <c r="A1164" s="113" t="s">
        <v>31</v>
      </c>
      <c r="B1164" s="113" t="s">
        <v>104</v>
      </c>
      <c r="C1164" s="113" t="s">
        <v>223</v>
      </c>
      <c r="D1164" s="114">
        <v>272188.68</v>
      </c>
      <c r="E1164" s="115">
        <v>270109.38</v>
      </c>
      <c r="F1164" s="115">
        <v>266910.52</v>
      </c>
      <c r="G1164" s="115"/>
      <c r="H1164" s="116"/>
      <c r="I1164" s="114">
        <v>16830.98</v>
      </c>
      <c r="J1164" s="115">
        <v>27891.49</v>
      </c>
      <c r="K1164" s="115">
        <v>37964.26</v>
      </c>
      <c r="L1164" s="115"/>
      <c r="M1164" s="116"/>
    </row>
    <row r="1165" spans="1:13" x14ac:dyDescent="0.2">
      <c r="A1165" t="s">
        <v>31</v>
      </c>
      <c r="B1165" t="s">
        <v>104</v>
      </c>
      <c r="C1165" t="s">
        <v>224</v>
      </c>
      <c r="D1165" s="110">
        <v>267548.31</v>
      </c>
      <c r="E1165" s="111">
        <v>266381.96999999997</v>
      </c>
      <c r="F1165" s="111"/>
      <c r="G1165" s="111"/>
      <c r="H1165" s="112"/>
      <c r="I1165" s="110">
        <v>12215.78</v>
      </c>
      <c r="J1165" s="111">
        <v>20422.57</v>
      </c>
      <c r="K1165" s="111"/>
      <c r="L1165" s="111"/>
      <c r="M1165" s="112"/>
    </row>
    <row r="1166" spans="1:13" x14ac:dyDescent="0.2">
      <c r="A1166" s="117" t="s">
        <v>31</v>
      </c>
      <c r="B1166" s="117" t="s">
        <v>104</v>
      </c>
      <c r="C1166" s="117" t="s">
        <v>225</v>
      </c>
      <c r="D1166" s="118">
        <v>299623.40000000002</v>
      </c>
      <c r="E1166" s="119"/>
      <c r="F1166" s="119"/>
      <c r="G1166" s="119"/>
      <c r="H1166" s="120"/>
      <c r="I1166" s="118">
        <v>14234.63</v>
      </c>
      <c r="J1166" s="119"/>
      <c r="K1166" s="119"/>
      <c r="L1166" s="119"/>
      <c r="M1166" s="120"/>
    </row>
    <row r="1167" spans="1:13" x14ac:dyDescent="0.2">
      <c r="A1167" t="s">
        <v>31</v>
      </c>
      <c r="B1167" t="s">
        <v>140</v>
      </c>
      <c r="C1167" t="s">
        <v>222</v>
      </c>
      <c r="D1167" s="110">
        <v>0</v>
      </c>
      <c r="E1167" s="111">
        <v>107</v>
      </c>
      <c r="F1167" s="111">
        <v>107</v>
      </c>
      <c r="G1167" s="111">
        <v>107</v>
      </c>
      <c r="H1167" s="112"/>
      <c r="I1167" s="110">
        <v>0</v>
      </c>
      <c r="J1167" s="111">
        <v>0</v>
      </c>
      <c r="K1167" s="111">
        <v>0</v>
      </c>
      <c r="L1167" s="111">
        <v>7.78</v>
      </c>
      <c r="M1167" s="112"/>
    </row>
    <row r="1168" spans="1:13" x14ac:dyDescent="0.2">
      <c r="A1168" s="113" t="s">
        <v>31</v>
      </c>
      <c r="B1168" s="113" t="s">
        <v>140</v>
      </c>
      <c r="C1168" s="113" t="s">
        <v>223</v>
      </c>
      <c r="D1168" s="114">
        <v>3.5</v>
      </c>
      <c r="E1168" s="115">
        <v>3.5</v>
      </c>
      <c r="F1168" s="115">
        <v>3.5</v>
      </c>
      <c r="G1168" s="115"/>
      <c r="H1168" s="116"/>
      <c r="I1168" s="114">
        <v>3.5</v>
      </c>
      <c r="J1168" s="115">
        <v>3.5</v>
      </c>
      <c r="K1168" s="115">
        <v>3.5</v>
      </c>
      <c r="L1168" s="115"/>
      <c r="M1168" s="116"/>
    </row>
    <row r="1169" spans="1:13" x14ac:dyDescent="0.2">
      <c r="A1169" t="s">
        <v>31</v>
      </c>
      <c r="B1169" t="s">
        <v>140</v>
      </c>
      <c r="C1169" t="s">
        <v>224</v>
      </c>
      <c r="D1169" s="110">
        <v>53642.5</v>
      </c>
      <c r="E1169" s="111">
        <v>53642.5</v>
      </c>
      <c r="F1169" s="111"/>
      <c r="G1169" s="111"/>
      <c r="H1169" s="112"/>
      <c r="I1169" s="110">
        <v>15.5</v>
      </c>
      <c r="J1169" s="111">
        <v>15.5</v>
      </c>
      <c r="K1169" s="111"/>
      <c r="L1169" s="111"/>
      <c r="M1169" s="112"/>
    </row>
    <row r="1170" spans="1:13" x14ac:dyDescent="0.2">
      <c r="A1170" s="117" t="s">
        <v>31</v>
      </c>
      <c r="B1170" s="117" t="s">
        <v>140</v>
      </c>
      <c r="C1170" s="117" t="s">
        <v>225</v>
      </c>
      <c r="D1170" s="118">
        <v>15</v>
      </c>
      <c r="E1170" s="119"/>
      <c r="F1170" s="119"/>
      <c r="G1170" s="119"/>
      <c r="H1170" s="120"/>
      <c r="I1170" s="118">
        <v>0</v>
      </c>
      <c r="J1170" s="119"/>
      <c r="K1170" s="119"/>
      <c r="L1170" s="119"/>
      <c r="M1170" s="120"/>
    </row>
    <row r="1171" spans="1:13" x14ac:dyDescent="0.2">
      <c r="A1171" t="s">
        <v>31</v>
      </c>
      <c r="B1171" t="s">
        <v>105</v>
      </c>
      <c r="C1171" t="s">
        <v>222</v>
      </c>
      <c r="D1171" s="110">
        <v>131021.93</v>
      </c>
      <c r="E1171" s="111">
        <v>126351.59</v>
      </c>
      <c r="F1171" s="111">
        <v>124661.8</v>
      </c>
      <c r="G1171" s="111">
        <v>123011.64</v>
      </c>
      <c r="H1171" s="112"/>
      <c r="I1171" s="110">
        <v>37752.07</v>
      </c>
      <c r="J1171" s="111">
        <v>53431.43</v>
      </c>
      <c r="K1171" s="111">
        <v>59452.81</v>
      </c>
      <c r="L1171" s="111">
        <v>63298.34</v>
      </c>
      <c r="M1171" s="112"/>
    </row>
    <row r="1172" spans="1:13" x14ac:dyDescent="0.2">
      <c r="A1172" s="113" t="s">
        <v>31</v>
      </c>
      <c r="B1172" s="113" t="s">
        <v>105</v>
      </c>
      <c r="C1172" s="113" t="s">
        <v>223</v>
      </c>
      <c r="D1172" s="114">
        <v>156738.21</v>
      </c>
      <c r="E1172" s="115">
        <v>154340.82</v>
      </c>
      <c r="F1172" s="115">
        <v>153899.17000000001</v>
      </c>
      <c r="G1172" s="115"/>
      <c r="H1172" s="116"/>
      <c r="I1172" s="114">
        <v>43705.99</v>
      </c>
      <c r="J1172" s="115">
        <v>59698.99</v>
      </c>
      <c r="K1172" s="115">
        <v>67729.87</v>
      </c>
      <c r="L1172" s="115"/>
      <c r="M1172" s="116"/>
    </row>
    <row r="1173" spans="1:13" x14ac:dyDescent="0.2">
      <c r="A1173" t="s">
        <v>31</v>
      </c>
      <c r="B1173" t="s">
        <v>105</v>
      </c>
      <c r="C1173" t="s">
        <v>224</v>
      </c>
      <c r="D1173" s="110">
        <v>113726.64</v>
      </c>
      <c r="E1173" s="111">
        <v>109950.58</v>
      </c>
      <c r="F1173" s="111"/>
      <c r="G1173" s="111"/>
      <c r="H1173" s="112"/>
      <c r="I1173" s="110">
        <v>24666.880000000001</v>
      </c>
      <c r="J1173" s="111">
        <v>40004.28</v>
      </c>
      <c r="K1173" s="111"/>
      <c r="L1173" s="111"/>
      <c r="M1173" s="112"/>
    </row>
    <row r="1174" spans="1:13" x14ac:dyDescent="0.2">
      <c r="A1174" s="117" t="s">
        <v>31</v>
      </c>
      <c r="B1174" s="117" t="s">
        <v>105</v>
      </c>
      <c r="C1174" s="117" t="s">
        <v>225</v>
      </c>
      <c r="D1174" s="118">
        <v>134316.70000000001</v>
      </c>
      <c r="E1174" s="119"/>
      <c r="F1174" s="119"/>
      <c r="G1174" s="119"/>
      <c r="H1174" s="120"/>
      <c r="I1174" s="118">
        <v>40483.49</v>
      </c>
      <c r="J1174" s="119"/>
      <c r="K1174" s="119"/>
      <c r="L1174" s="119"/>
      <c r="M1174" s="120"/>
    </row>
    <row r="1175" spans="1:13" x14ac:dyDescent="0.2">
      <c r="A1175" t="s">
        <v>31</v>
      </c>
      <c r="B1175" t="s">
        <v>111</v>
      </c>
      <c r="C1175" t="s">
        <v>222</v>
      </c>
      <c r="D1175" s="110">
        <v>27427.5</v>
      </c>
      <c r="E1175" s="111">
        <v>27427.5</v>
      </c>
      <c r="F1175" s="111">
        <v>27427.5</v>
      </c>
      <c r="G1175" s="111">
        <v>27427.5</v>
      </c>
      <c r="H1175" s="112"/>
      <c r="I1175" s="110">
        <v>3179</v>
      </c>
      <c r="J1175" s="111">
        <v>5391.74</v>
      </c>
      <c r="K1175" s="111">
        <v>6417.01</v>
      </c>
      <c r="L1175" s="111">
        <v>7826.73</v>
      </c>
      <c r="M1175" s="112"/>
    </row>
    <row r="1176" spans="1:13" x14ac:dyDescent="0.2">
      <c r="A1176" s="113" t="s">
        <v>31</v>
      </c>
      <c r="B1176" s="113" t="s">
        <v>111</v>
      </c>
      <c r="C1176" s="113" t="s">
        <v>223</v>
      </c>
      <c r="D1176" s="114">
        <v>28779</v>
      </c>
      <c r="E1176" s="115">
        <v>28441.5</v>
      </c>
      <c r="F1176" s="115">
        <v>29131.5</v>
      </c>
      <c r="G1176" s="115"/>
      <c r="H1176" s="116"/>
      <c r="I1176" s="114">
        <v>3565.57</v>
      </c>
      <c r="J1176" s="115">
        <v>4840.72</v>
      </c>
      <c r="K1176" s="115">
        <v>6770.71</v>
      </c>
      <c r="L1176" s="115"/>
      <c r="M1176" s="116"/>
    </row>
    <row r="1177" spans="1:13" x14ac:dyDescent="0.2">
      <c r="A1177" t="s">
        <v>31</v>
      </c>
      <c r="B1177" t="s">
        <v>111</v>
      </c>
      <c r="C1177" t="s">
        <v>224</v>
      </c>
      <c r="D1177" s="110">
        <v>17593.5</v>
      </c>
      <c r="E1177" s="111">
        <v>17593.5</v>
      </c>
      <c r="F1177" s="111"/>
      <c r="G1177" s="111"/>
      <c r="H1177" s="112"/>
      <c r="I1177" s="110">
        <v>1659</v>
      </c>
      <c r="J1177" s="111">
        <v>3423.32</v>
      </c>
      <c r="K1177" s="111"/>
      <c r="L1177" s="111"/>
      <c r="M1177" s="112"/>
    </row>
    <row r="1178" spans="1:13" x14ac:dyDescent="0.2">
      <c r="A1178" s="117" t="s">
        <v>31</v>
      </c>
      <c r="B1178" s="117" t="s">
        <v>111</v>
      </c>
      <c r="C1178" s="117" t="s">
        <v>225</v>
      </c>
      <c r="D1178" s="118">
        <v>38895</v>
      </c>
      <c r="E1178" s="119"/>
      <c r="F1178" s="119"/>
      <c r="G1178" s="119"/>
      <c r="H1178" s="120"/>
      <c r="I1178" s="118">
        <v>2470.71</v>
      </c>
      <c r="J1178" s="119"/>
      <c r="K1178" s="119"/>
      <c r="L1178" s="119"/>
      <c r="M1178" s="120"/>
    </row>
    <row r="1179" spans="1:13" x14ac:dyDescent="0.2">
      <c r="A1179" s="124" t="s">
        <v>31</v>
      </c>
      <c r="B1179" s="124" t="s">
        <v>109</v>
      </c>
      <c r="C1179" s="124" t="s">
        <v>222</v>
      </c>
      <c r="D1179" s="125">
        <v>206881.73</v>
      </c>
      <c r="E1179" s="126">
        <v>208388.81</v>
      </c>
      <c r="F1179" s="126">
        <v>209508.81</v>
      </c>
      <c r="G1179" s="126">
        <v>209405.05</v>
      </c>
      <c r="H1179" s="127"/>
      <c r="I1179" s="125">
        <v>74913.31</v>
      </c>
      <c r="J1179" s="126">
        <v>117517.78</v>
      </c>
      <c r="K1179" s="126">
        <v>131176.5</v>
      </c>
      <c r="L1179" s="126">
        <v>141535.15</v>
      </c>
      <c r="M1179" s="127"/>
    </row>
    <row r="1180" spans="1:13" x14ac:dyDescent="0.2">
      <c r="A1180" s="113" t="s">
        <v>31</v>
      </c>
      <c r="B1180" s="113" t="s">
        <v>109</v>
      </c>
      <c r="C1180" s="113" t="s">
        <v>223</v>
      </c>
      <c r="D1180" s="114">
        <v>243872.06</v>
      </c>
      <c r="E1180" s="115">
        <v>241880.4</v>
      </c>
      <c r="F1180" s="115">
        <v>243123.9</v>
      </c>
      <c r="G1180" s="115"/>
      <c r="H1180" s="116"/>
      <c r="I1180" s="114">
        <v>81251.710000000006</v>
      </c>
      <c r="J1180" s="115">
        <v>120599.5</v>
      </c>
      <c r="K1180" s="115">
        <v>139866.95000000001</v>
      </c>
      <c r="L1180" s="115"/>
      <c r="M1180" s="116"/>
    </row>
    <row r="1181" spans="1:13" x14ac:dyDescent="0.2">
      <c r="A1181" t="s">
        <v>31</v>
      </c>
      <c r="B1181" t="s">
        <v>109</v>
      </c>
      <c r="C1181" t="s">
        <v>224</v>
      </c>
      <c r="D1181" s="110">
        <v>152894.71</v>
      </c>
      <c r="E1181" s="111">
        <v>153257.9</v>
      </c>
      <c r="F1181" s="111"/>
      <c r="G1181" s="111"/>
      <c r="H1181" s="112"/>
      <c r="I1181" s="110">
        <v>50823.89</v>
      </c>
      <c r="J1181" s="111">
        <v>86653.4</v>
      </c>
      <c r="K1181" s="111"/>
      <c r="L1181" s="111"/>
      <c r="M1181" s="112"/>
    </row>
    <row r="1182" spans="1:13" x14ac:dyDescent="0.2">
      <c r="A1182" s="117" t="s">
        <v>31</v>
      </c>
      <c r="B1182" s="117" t="s">
        <v>109</v>
      </c>
      <c r="C1182" s="117" t="s">
        <v>225</v>
      </c>
      <c r="D1182" s="118">
        <v>213128.67</v>
      </c>
      <c r="E1182" s="119"/>
      <c r="F1182" s="119"/>
      <c r="G1182" s="119"/>
      <c r="H1182" s="120"/>
      <c r="I1182" s="118">
        <v>78546.080000000002</v>
      </c>
      <c r="J1182" s="119"/>
      <c r="K1182" s="119"/>
      <c r="L1182" s="119"/>
      <c r="M1182" s="120"/>
    </row>
    <row r="1183" spans="1:13" x14ac:dyDescent="0.2">
      <c r="A1183" t="s">
        <v>31</v>
      </c>
      <c r="B1183" t="s">
        <v>106</v>
      </c>
      <c r="C1183" t="s">
        <v>222</v>
      </c>
      <c r="D1183" s="110">
        <v>168552.11</v>
      </c>
      <c r="E1183" s="111">
        <v>168552.11</v>
      </c>
      <c r="F1183" s="111">
        <v>168552.11</v>
      </c>
      <c r="G1183" s="111">
        <v>168552.11</v>
      </c>
      <c r="H1183" s="112"/>
      <c r="I1183" s="110">
        <v>161882.10999999999</v>
      </c>
      <c r="J1183" s="111">
        <v>168552.11</v>
      </c>
      <c r="K1183" s="111">
        <v>168552.11</v>
      </c>
      <c r="L1183" s="111">
        <v>168552.11</v>
      </c>
      <c r="M1183" s="112"/>
    </row>
    <row r="1184" spans="1:13" x14ac:dyDescent="0.2">
      <c r="A1184" s="113" t="s">
        <v>31</v>
      </c>
      <c r="B1184" s="113" t="s">
        <v>106</v>
      </c>
      <c r="C1184" s="113" t="s">
        <v>223</v>
      </c>
      <c r="D1184" s="114">
        <v>182941.5</v>
      </c>
      <c r="E1184" s="115">
        <v>182136.5</v>
      </c>
      <c r="F1184" s="115">
        <v>182136.5</v>
      </c>
      <c r="G1184" s="115"/>
      <c r="H1184" s="116"/>
      <c r="I1184" s="114">
        <v>176787.5</v>
      </c>
      <c r="J1184" s="115">
        <v>181046.5</v>
      </c>
      <c r="K1184" s="115">
        <v>181046.5</v>
      </c>
      <c r="L1184" s="115"/>
      <c r="M1184" s="116"/>
    </row>
    <row r="1185" spans="1:13" x14ac:dyDescent="0.2">
      <c r="A1185" t="s">
        <v>31</v>
      </c>
      <c r="B1185" t="s">
        <v>106</v>
      </c>
      <c r="C1185" t="s">
        <v>224</v>
      </c>
      <c r="D1185" s="110">
        <v>92896.5</v>
      </c>
      <c r="E1185" s="111">
        <v>92496.5</v>
      </c>
      <c r="F1185" s="111"/>
      <c r="G1185" s="111"/>
      <c r="H1185" s="112"/>
      <c r="I1185" s="110">
        <v>90986.5</v>
      </c>
      <c r="J1185" s="111">
        <v>92496.5</v>
      </c>
      <c r="K1185" s="111"/>
      <c r="L1185" s="111"/>
      <c r="M1185" s="112"/>
    </row>
    <row r="1186" spans="1:13" x14ac:dyDescent="0.2">
      <c r="A1186" s="117" t="s">
        <v>31</v>
      </c>
      <c r="B1186" s="117" t="s">
        <v>106</v>
      </c>
      <c r="C1186" s="117" t="s">
        <v>225</v>
      </c>
      <c r="D1186" s="118">
        <v>97929.08</v>
      </c>
      <c r="E1186" s="119"/>
      <c r="F1186" s="119"/>
      <c r="G1186" s="119"/>
      <c r="H1186" s="120"/>
      <c r="I1186" s="118">
        <v>89547.08</v>
      </c>
      <c r="J1186" s="119"/>
      <c r="K1186" s="119"/>
      <c r="L1186" s="119"/>
      <c r="M1186" s="120"/>
    </row>
    <row r="1187" spans="1:13" x14ac:dyDescent="0.2">
      <c r="A1187" t="s">
        <v>31</v>
      </c>
      <c r="B1187" t="s">
        <v>107</v>
      </c>
      <c r="C1187" t="s">
        <v>222</v>
      </c>
      <c r="D1187" s="110">
        <v>173148.23</v>
      </c>
      <c r="E1187" s="111">
        <v>173148.23</v>
      </c>
      <c r="F1187" s="111">
        <v>168648.23</v>
      </c>
      <c r="G1187" s="111">
        <v>167863.23</v>
      </c>
      <c r="H1187" s="112"/>
      <c r="I1187" s="110">
        <v>155047.23000000001</v>
      </c>
      <c r="J1187" s="111">
        <v>166402.23000000001</v>
      </c>
      <c r="K1187" s="111">
        <v>166402.23000000001</v>
      </c>
      <c r="L1187" s="111">
        <v>166452.23000000001</v>
      </c>
      <c r="M1187" s="112"/>
    </row>
    <row r="1188" spans="1:13" x14ac:dyDescent="0.2">
      <c r="A1188" s="113" t="s">
        <v>31</v>
      </c>
      <c r="B1188" s="113" t="s">
        <v>107</v>
      </c>
      <c r="C1188" s="113" t="s">
        <v>223</v>
      </c>
      <c r="D1188" s="114">
        <v>166910.16</v>
      </c>
      <c r="E1188" s="115">
        <v>162945.16</v>
      </c>
      <c r="F1188" s="115">
        <v>162945.16</v>
      </c>
      <c r="G1188" s="115"/>
      <c r="H1188" s="116"/>
      <c r="I1188" s="114">
        <v>157144.16</v>
      </c>
      <c r="J1188" s="115">
        <v>162759.16</v>
      </c>
      <c r="K1188" s="115">
        <v>162894.16</v>
      </c>
      <c r="L1188" s="115"/>
      <c r="M1188" s="116"/>
    </row>
    <row r="1189" spans="1:13" x14ac:dyDescent="0.2">
      <c r="A1189" t="s">
        <v>31</v>
      </c>
      <c r="B1189" t="s">
        <v>107</v>
      </c>
      <c r="C1189" t="s">
        <v>224</v>
      </c>
      <c r="D1189" s="110">
        <v>89730.09</v>
      </c>
      <c r="E1189" s="111">
        <v>88345.09</v>
      </c>
      <c r="F1189" s="111"/>
      <c r="G1189" s="111"/>
      <c r="H1189" s="112"/>
      <c r="I1189" s="110">
        <v>79010.42</v>
      </c>
      <c r="J1189" s="111">
        <v>88340.42</v>
      </c>
      <c r="K1189" s="111"/>
      <c r="L1189" s="111"/>
      <c r="M1189" s="112"/>
    </row>
    <row r="1190" spans="1:13" x14ac:dyDescent="0.2">
      <c r="A1190" s="117" t="s">
        <v>31</v>
      </c>
      <c r="B1190" s="117" t="s">
        <v>107</v>
      </c>
      <c r="C1190" s="117" t="s">
        <v>225</v>
      </c>
      <c r="D1190" s="118">
        <v>127456.48</v>
      </c>
      <c r="E1190" s="119"/>
      <c r="F1190" s="119"/>
      <c r="G1190" s="119"/>
      <c r="H1190" s="120"/>
      <c r="I1190" s="118">
        <v>122955.48</v>
      </c>
      <c r="J1190" s="119"/>
      <c r="K1190" s="119"/>
      <c r="L1190" s="119"/>
      <c r="M1190" s="120"/>
    </row>
    <row r="1191" spans="1:13" x14ac:dyDescent="0.2">
      <c r="A1191" t="s">
        <v>31</v>
      </c>
      <c r="B1191" t="s">
        <v>108</v>
      </c>
      <c r="C1191" t="s">
        <v>222</v>
      </c>
      <c r="D1191" s="110">
        <v>79383</v>
      </c>
      <c r="E1191" s="111">
        <v>77369</v>
      </c>
      <c r="F1191" s="111">
        <v>76960</v>
      </c>
      <c r="G1191" s="111">
        <v>76960</v>
      </c>
      <c r="H1191" s="112"/>
      <c r="I1191" s="110">
        <v>73755</v>
      </c>
      <c r="J1191" s="111">
        <v>76960</v>
      </c>
      <c r="K1191" s="111">
        <v>76960</v>
      </c>
      <c r="L1191" s="111">
        <v>76960</v>
      </c>
      <c r="M1191" s="112"/>
    </row>
    <row r="1192" spans="1:13" x14ac:dyDescent="0.2">
      <c r="A1192" s="113" t="s">
        <v>31</v>
      </c>
      <c r="B1192" s="113" t="s">
        <v>108</v>
      </c>
      <c r="C1192" s="113" t="s">
        <v>223</v>
      </c>
      <c r="D1192" s="114">
        <v>93941.13</v>
      </c>
      <c r="E1192" s="115">
        <v>93207.13</v>
      </c>
      <c r="F1192" s="115">
        <v>92176.13</v>
      </c>
      <c r="G1192" s="115"/>
      <c r="H1192" s="116"/>
      <c r="I1192" s="114">
        <v>89715.13</v>
      </c>
      <c r="J1192" s="115">
        <v>91672.13</v>
      </c>
      <c r="K1192" s="115">
        <v>91672.13</v>
      </c>
      <c r="L1192" s="115"/>
      <c r="M1192" s="116"/>
    </row>
    <row r="1193" spans="1:13" x14ac:dyDescent="0.2">
      <c r="A1193" t="s">
        <v>31</v>
      </c>
      <c r="B1193" t="s">
        <v>108</v>
      </c>
      <c r="C1193" t="s">
        <v>224</v>
      </c>
      <c r="D1193" s="110">
        <v>98727.5</v>
      </c>
      <c r="E1193" s="111">
        <v>98327.5</v>
      </c>
      <c r="F1193" s="111"/>
      <c r="G1193" s="111"/>
      <c r="H1193" s="112"/>
      <c r="I1193" s="110">
        <v>93729.5</v>
      </c>
      <c r="J1193" s="111">
        <v>97457.5</v>
      </c>
      <c r="K1193" s="111"/>
      <c r="L1193" s="111"/>
      <c r="M1193" s="112"/>
    </row>
    <row r="1194" spans="1:13" x14ac:dyDescent="0.2">
      <c r="A1194" s="117" t="s">
        <v>31</v>
      </c>
      <c r="B1194" s="117" t="s">
        <v>108</v>
      </c>
      <c r="C1194" s="117" t="s">
        <v>225</v>
      </c>
      <c r="D1194" s="118">
        <v>26217.5</v>
      </c>
      <c r="E1194" s="119"/>
      <c r="F1194" s="119"/>
      <c r="G1194" s="119"/>
      <c r="H1194" s="120"/>
      <c r="I1194" s="118">
        <v>24375.5</v>
      </c>
      <c r="J1194" s="119"/>
      <c r="K1194" s="119"/>
      <c r="L1194" s="119"/>
      <c r="M1194" s="120"/>
    </row>
    <row r="1195" spans="1:13" x14ac:dyDescent="0.2">
      <c r="A1195" t="s">
        <v>31</v>
      </c>
      <c r="B1195" t="s">
        <v>70</v>
      </c>
      <c r="C1195" t="s">
        <v>222</v>
      </c>
      <c r="D1195" s="110">
        <v>92497.5</v>
      </c>
      <c r="E1195" s="111">
        <v>91273.5</v>
      </c>
      <c r="F1195" s="111">
        <v>91273.5</v>
      </c>
      <c r="G1195" s="111">
        <v>91273.5</v>
      </c>
      <c r="H1195" s="112"/>
      <c r="I1195" s="110">
        <v>89778.9</v>
      </c>
      <c r="J1195" s="111">
        <v>90123.9</v>
      </c>
      <c r="K1195" s="111">
        <v>90316.9</v>
      </c>
      <c r="L1195" s="111">
        <v>90316.9</v>
      </c>
      <c r="M1195" s="112"/>
    </row>
    <row r="1196" spans="1:13" x14ac:dyDescent="0.2">
      <c r="A1196" s="113" t="s">
        <v>31</v>
      </c>
      <c r="B1196" s="113" t="s">
        <v>70</v>
      </c>
      <c r="C1196" s="113" t="s">
        <v>223</v>
      </c>
      <c r="D1196" s="114">
        <v>93345.98</v>
      </c>
      <c r="E1196" s="115">
        <v>93395.98</v>
      </c>
      <c r="F1196" s="115">
        <v>93395.98</v>
      </c>
      <c r="G1196" s="115"/>
      <c r="H1196" s="116"/>
      <c r="I1196" s="114">
        <v>89606.06</v>
      </c>
      <c r="J1196" s="115">
        <v>90375.81</v>
      </c>
      <c r="K1196" s="115">
        <v>90379.31</v>
      </c>
      <c r="L1196" s="115"/>
      <c r="M1196" s="116"/>
    </row>
    <row r="1197" spans="1:13" x14ac:dyDescent="0.2">
      <c r="A1197" t="s">
        <v>31</v>
      </c>
      <c r="B1197" t="s">
        <v>70</v>
      </c>
      <c r="C1197" t="s">
        <v>224</v>
      </c>
      <c r="D1197" s="110">
        <v>72099.149999999994</v>
      </c>
      <c r="E1197" s="111">
        <v>71234.649999999994</v>
      </c>
      <c r="F1197" s="111"/>
      <c r="G1197" s="111"/>
      <c r="H1197" s="112"/>
      <c r="I1197" s="110">
        <v>69341.97</v>
      </c>
      <c r="J1197" s="111">
        <v>70906.100000000006</v>
      </c>
      <c r="K1197" s="111"/>
      <c r="L1197" s="111"/>
      <c r="M1197" s="112"/>
    </row>
    <row r="1198" spans="1:13" x14ac:dyDescent="0.2">
      <c r="A1198" s="117" t="s">
        <v>31</v>
      </c>
      <c r="B1198" s="117" t="s">
        <v>70</v>
      </c>
      <c r="C1198" s="117" t="s">
        <v>225</v>
      </c>
      <c r="D1198" s="118">
        <v>95985.15</v>
      </c>
      <c r="E1198" s="119"/>
      <c r="F1198" s="119"/>
      <c r="G1198" s="119"/>
      <c r="H1198" s="120"/>
      <c r="I1198" s="118">
        <v>93567.75</v>
      </c>
      <c r="J1198" s="119"/>
      <c r="K1198" s="119"/>
      <c r="L1198" s="119"/>
      <c r="M1198" s="120"/>
    </row>
    <row r="1199" spans="1:13" x14ac:dyDescent="0.2">
      <c r="A1199" t="s">
        <v>31</v>
      </c>
      <c r="B1199" t="s">
        <v>110</v>
      </c>
      <c r="C1199" t="s">
        <v>222</v>
      </c>
      <c r="D1199" s="110">
        <v>510920.14</v>
      </c>
      <c r="E1199" s="111">
        <v>500191.86</v>
      </c>
      <c r="F1199" s="111">
        <v>503040.68</v>
      </c>
      <c r="G1199" s="111">
        <v>502587.72</v>
      </c>
      <c r="H1199" s="112"/>
      <c r="I1199" s="110">
        <v>279778.8</v>
      </c>
      <c r="J1199" s="111">
        <v>440780.84</v>
      </c>
      <c r="K1199" s="111">
        <v>455690.13</v>
      </c>
      <c r="L1199" s="111">
        <v>464287.2</v>
      </c>
      <c r="M1199" s="112"/>
    </row>
    <row r="1200" spans="1:13" x14ac:dyDescent="0.2">
      <c r="A1200" s="113" t="s">
        <v>31</v>
      </c>
      <c r="B1200" s="113" t="s">
        <v>110</v>
      </c>
      <c r="C1200" s="113" t="s">
        <v>223</v>
      </c>
      <c r="D1200" s="114">
        <v>445599.36</v>
      </c>
      <c r="E1200" s="115">
        <v>436560</v>
      </c>
      <c r="F1200" s="115">
        <v>437333.48</v>
      </c>
      <c r="G1200" s="115"/>
      <c r="H1200" s="116"/>
      <c r="I1200" s="114">
        <v>269725.81</v>
      </c>
      <c r="J1200" s="115">
        <v>365307.44</v>
      </c>
      <c r="K1200" s="115">
        <v>394560.02</v>
      </c>
      <c r="L1200" s="115"/>
      <c r="M1200" s="116"/>
    </row>
    <row r="1201" spans="1:13" x14ac:dyDescent="0.2">
      <c r="A1201" t="s">
        <v>31</v>
      </c>
      <c r="B1201" t="s">
        <v>110</v>
      </c>
      <c r="C1201" t="s">
        <v>224</v>
      </c>
      <c r="D1201" s="110">
        <v>266202.81</v>
      </c>
      <c r="E1201" s="111">
        <v>256774.61</v>
      </c>
      <c r="F1201" s="111"/>
      <c r="G1201" s="111"/>
      <c r="H1201" s="112"/>
      <c r="I1201" s="110">
        <v>131811.59</v>
      </c>
      <c r="J1201" s="111">
        <v>220272.53</v>
      </c>
      <c r="K1201" s="111"/>
      <c r="L1201" s="111"/>
      <c r="M1201" s="112"/>
    </row>
    <row r="1202" spans="1:13" ht="13.5" thickBot="1" x14ac:dyDescent="0.25">
      <c r="A1202" s="128" t="s">
        <v>31</v>
      </c>
      <c r="B1202" s="128" t="s">
        <v>110</v>
      </c>
      <c r="C1202" s="128" t="s">
        <v>225</v>
      </c>
      <c r="D1202" s="129">
        <v>399767.7</v>
      </c>
      <c r="E1202" s="130"/>
      <c r="F1202" s="130"/>
      <c r="G1202" s="130"/>
      <c r="H1202" s="131"/>
      <c r="I1202" s="129">
        <v>209385.73</v>
      </c>
      <c r="J1202" s="130"/>
      <c r="K1202" s="130"/>
      <c r="L1202" s="130"/>
      <c r="M1202" s="131"/>
    </row>
    <row r="1203" spans="1:13" x14ac:dyDescent="0.2">
      <c r="A1203" s="132" t="s">
        <v>32</v>
      </c>
      <c r="B1203" s="132" t="s">
        <v>104</v>
      </c>
      <c r="C1203" s="132" t="s">
        <v>222</v>
      </c>
      <c r="D1203" s="133">
        <v>162705.75</v>
      </c>
      <c r="E1203" s="134">
        <v>162705.75</v>
      </c>
      <c r="F1203" s="134">
        <v>162705.75</v>
      </c>
      <c r="G1203" s="134">
        <v>162705.75</v>
      </c>
      <c r="H1203" s="135"/>
      <c r="I1203" s="133">
        <v>543.85</v>
      </c>
      <c r="J1203" s="134">
        <v>2822.22</v>
      </c>
      <c r="K1203" s="134">
        <v>5605.4</v>
      </c>
      <c r="L1203" s="134">
        <v>9319.1</v>
      </c>
      <c r="M1203" s="135"/>
    </row>
    <row r="1204" spans="1:13" x14ac:dyDescent="0.2">
      <c r="A1204" s="113" t="s">
        <v>32</v>
      </c>
      <c r="B1204" s="113" t="s">
        <v>104</v>
      </c>
      <c r="C1204" s="113" t="s">
        <v>223</v>
      </c>
      <c r="D1204" s="114">
        <v>108354.6</v>
      </c>
      <c r="E1204" s="115">
        <v>108354.6</v>
      </c>
      <c r="F1204" s="115">
        <v>108354.6</v>
      </c>
      <c r="G1204" s="115"/>
      <c r="H1204" s="116"/>
      <c r="I1204" s="114">
        <v>2190.04</v>
      </c>
      <c r="J1204" s="115">
        <v>7179.82</v>
      </c>
      <c r="K1204" s="115">
        <v>9712.49</v>
      </c>
      <c r="L1204" s="115"/>
      <c r="M1204" s="116"/>
    </row>
    <row r="1205" spans="1:13" x14ac:dyDescent="0.2">
      <c r="A1205" t="s">
        <v>32</v>
      </c>
      <c r="B1205" t="s">
        <v>104</v>
      </c>
      <c r="C1205" t="s">
        <v>224</v>
      </c>
      <c r="D1205" s="110">
        <v>139547</v>
      </c>
      <c r="E1205" s="111">
        <v>139547</v>
      </c>
      <c r="F1205" s="111"/>
      <c r="G1205" s="111"/>
      <c r="H1205" s="112"/>
      <c r="I1205" s="110">
        <v>1391.81</v>
      </c>
      <c r="J1205" s="111">
        <v>3407.26</v>
      </c>
      <c r="K1205" s="111"/>
      <c r="L1205" s="111"/>
      <c r="M1205" s="112"/>
    </row>
    <row r="1206" spans="1:13" x14ac:dyDescent="0.2">
      <c r="A1206" s="117" t="s">
        <v>32</v>
      </c>
      <c r="B1206" s="117" t="s">
        <v>104</v>
      </c>
      <c r="C1206" s="117" t="s">
        <v>225</v>
      </c>
      <c r="D1206" s="118">
        <v>185838.5</v>
      </c>
      <c r="E1206" s="119"/>
      <c r="F1206" s="119"/>
      <c r="G1206" s="119"/>
      <c r="H1206" s="120"/>
      <c r="I1206" s="118">
        <v>3897.18</v>
      </c>
      <c r="J1206" s="119"/>
      <c r="K1206" s="119"/>
      <c r="L1206" s="119"/>
      <c r="M1206" s="120"/>
    </row>
    <row r="1207" spans="1:13" x14ac:dyDescent="0.2">
      <c r="A1207" t="s">
        <v>32</v>
      </c>
      <c r="B1207" t="s">
        <v>140</v>
      </c>
      <c r="C1207" t="s">
        <v>222</v>
      </c>
      <c r="D1207" s="110">
        <v>53040</v>
      </c>
      <c r="E1207" s="111">
        <v>53040</v>
      </c>
      <c r="F1207" s="111">
        <v>53040</v>
      </c>
      <c r="G1207" s="111">
        <v>53040</v>
      </c>
      <c r="H1207" s="112"/>
      <c r="I1207" s="110">
        <v>0</v>
      </c>
      <c r="J1207" s="111">
        <v>0</v>
      </c>
      <c r="K1207" s="111">
        <v>0</v>
      </c>
      <c r="L1207" s="111">
        <v>0</v>
      </c>
      <c r="M1207" s="112"/>
    </row>
    <row r="1208" spans="1:13" x14ac:dyDescent="0.2">
      <c r="A1208" s="113" t="s">
        <v>32</v>
      </c>
      <c r="B1208" s="113" t="s">
        <v>140</v>
      </c>
      <c r="C1208" s="113" t="s">
        <v>223</v>
      </c>
      <c r="D1208" s="114">
        <v>0</v>
      </c>
      <c r="E1208" s="115">
        <v>0</v>
      </c>
      <c r="F1208" s="115">
        <v>0</v>
      </c>
      <c r="G1208" s="115"/>
      <c r="H1208" s="116"/>
      <c r="I1208" s="114">
        <v>0</v>
      </c>
      <c r="J1208" s="115">
        <v>0</v>
      </c>
      <c r="K1208" s="115">
        <v>0</v>
      </c>
      <c r="L1208" s="115"/>
      <c r="M1208" s="116"/>
    </row>
    <row r="1209" spans="1:13" x14ac:dyDescent="0.2">
      <c r="A1209" t="s">
        <v>32</v>
      </c>
      <c r="B1209" t="s">
        <v>140</v>
      </c>
      <c r="C1209" t="s">
        <v>224</v>
      </c>
      <c r="D1209" s="110">
        <v>53390</v>
      </c>
      <c r="E1209" s="111">
        <v>53390</v>
      </c>
      <c r="F1209" s="111"/>
      <c r="G1209" s="111"/>
      <c r="H1209" s="112"/>
      <c r="I1209" s="110">
        <v>0</v>
      </c>
      <c r="J1209" s="111">
        <v>0</v>
      </c>
      <c r="K1209" s="111"/>
      <c r="L1209" s="111"/>
      <c r="M1209" s="112"/>
    </row>
    <row r="1210" spans="1:13" x14ac:dyDescent="0.2">
      <c r="A1210" s="117" t="s">
        <v>32</v>
      </c>
      <c r="B1210" s="117" t="s">
        <v>140</v>
      </c>
      <c r="C1210" s="117" t="s">
        <v>225</v>
      </c>
      <c r="D1210" s="118">
        <v>105890</v>
      </c>
      <c r="E1210" s="119"/>
      <c r="F1210" s="119"/>
      <c r="G1210" s="119"/>
      <c r="H1210" s="120"/>
      <c r="I1210" s="118">
        <v>0</v>
      </c>
      <c r="J1210" s="119"/>
      <c r="K1210" s="119"/>
      <c r="L1210" s="119"/>
      <c r="M1210" s="120"/>
    </row>
    <row r="1211" spans="1:13" x14ac:dyDescent="0.2">
      <c r="A1211" t="s">
        <v>32</v>
      </c>
      <c r="B1211" t="s">
        <v>105</v>
      </c>
      <c r="C1211" t="s">
        <v>222</v>
      </c>
      <c r="D1211" s="110">
        <v>26451.03</v>
      </c>
      <c r="E1211" s="111">
        <v>25711.03</v>
      </c>
      <c r="F1211" s="111">
        <v>25479.03</v>
      </c>
      <c r="G1211" s="111">
        <v>24757.03</v>
      </c>
      <c r="H1211" s="112"/>
      <c r="I1211" s="110">
        <v>3531.48</v>
      </c>
      <c r="J1211" s="111">
        <v>8785.5499999999993</v>
      </c>
      <c r="K1211" s="111">
        <v>10886.03</v>
      </c>
      <c r="L1211" s="111">
        <v>12108.03</v>
      </c>
      <c r="M1211" s="112"/>
    </row>
    <row r="1212" spans="1:13" x14ac:dyDescent="0.2">
      <c r="A1212" s="113" t="s">
        <v>32</v>
      </c>
      <c r="B1212" s="113" t="s">
        <v>105</v>
      </c>
      <c r="C1212" s="113" t="s">
        <v>223</v>
      </c>
      <c r="D1212" s="114">
        <v>16685.900000000001</v>
      </c>
      <c r="E1212" s="115">
        <v>14501.9</v>
      </c>
      <c r="F1212" s="115">
        <v>13201.9</v>
      </c>
      <c r="G1212" s="115"/>
      <c r="H1212" s="116"/>
      <c r="I1212" s="114">
        <v>3214.9</v>
      </c>
      <c r="J1212" s="115">
        <v>3925.9</v>
      </c>
      <c r="K1212" s="115">
        <v>4510.8999999999996</v>
      </c>
      <c r="L1212" s="115"/>
      <c r="M1212" s="116"/>
    </row>
    <row r="1213" spans="1:13" x14ac:dyDescent="0.2">
      <c r="A1213" t="s">
        <v>32</v>
      </c>
      <c r="B1213" t="s">
        <v>105</v>
      </c>
      <c r="C1213" t="s">
        <v>224</v>
      </c>
      <c r="D1213" s="110">
        <v>12475.53</v>
      </c>
      <c r="E1213" s="111">
        <v>12105.53</v>
      </c>
      <c r="F1213" s="111"/>
      <c r="G1213" s="111"/>
      <c r="H1213" s="112"/>
      <c r="I1213" s="110">
        <v>1286.53</v>
      </c>
      <c r="J1213" s="111">
        <v>1964.53</v>
      </c>
      <c r="K1213" s="111"/>
      <c r="L1213" s="111"/>
      <c r="M1213" s="112"/>
    </row>
    <row r="1214" spans="1:13" x14ac:dyDescent="0.2">
      <c r="A1214" s="117" t="s">
        <v>32</v>
      </c>
      <c r="B1214" s="117" t="s">
        <v>105</v>
      </c>
      <c r="C1214" s="117" t="s">
        <v>225</v>
      </c>
      <c r="D1214" s="118">
        <v>23887</v>
      </c>
      <c r="E1214" s="119"/>
      <c r="F1214" s="119"/>
      <c r="G1214" s="119"/>
      <c r="H1214" s="120"/>
      <c r="I1214" s="118">
        <v>4021</v>
      </c>
      <c r="J1214" s="119"/>
      <c r="K1214" s="119"/>
      <c r="L1214" s="119"/>
      <c r="M1214" s="120"/>
    </row>
    <row r="1215" spans="1:13" x14ac:dyDescent="0.2">
      <c r="A1215" t="s">
        <v>32</v>
      </c>
      <c r="B1215" t="s">
        <v>111</v>
      </c>
      <c r="C1215" t="s">
        <v>222</v>
      </c>
      <c r="D1215" s="110">
        <v>530</v>
      </c>
      <c r="E1215" s="111">
        <v>530</v>
      </c>
      <c r="F1215" s="111">
        <v>530</v>
      </c>
      <c r="G1215" s="111">
        <v>530</v>
      </c>
      <c r="H1215" s="112"/>
      <c r="I1215" s="110">
        <v>530</v>
      </c>
      <c r="J1215" s="111">
        <v>530</v>
      </c>
      <c r="K1215" s="111">
        <v>530</v>
      </c>
      <c r="L1215" s="111">
        <v>530</v>
      </c>
      <c r="M1215" s="112"/>
    </row>
    <row r="1216" spans="1:13" x14ac:dyDescent="0.2">
      <c r="A1216" s="113" t="s">
        <v>32</v>
      </c>
      <c r="B1216" s="113" t="s">
        <v>111</v>
      </c>
      <c r="C1216" s="113" t="s">
        <v>223</v>
      </c>
      <c r="D1216" s="114">
        <v>316</v>
      </c>
      <c r="E1216" s="115">
        <v>316</v>
      </c>
      <c r="F1216" s="115">
        <v>316</v>
      </c>
      <c r="G1216" s="115"/>
      <c r="H1216" s="116"/>
      <c r="I1216" s="114">
        <v>0</v>
      </c>
      <c r="J1216" s="115">
        <v>0</v>
      </c>
      <c r="K1216" s="115">
        <v>0</v>
      </c>
      <c r="L1216" s="115"/>
      <c r="M1216" s="116"/>
    </row>
    <row r="1217" spans="1:13" x14ac:dyDescent="0.2">
      <c r="A1217" t="s">
        <v>32</v>
      </c>
      <c r="B1217" t="s">
        <v>111</v>
      </c>
      <c r="C1217" t="s">
        <v>224</v>
      </c>
      <c r="D1217" s="110">
        <v>0</v>
      </c>
      <c r="E1217" s="111">
        <v>0</v>
      </c>
      <c r="F1217" s="111"/>
      <c r="G1217" s="111"/>
      <c r="H1217" s="112"/>
      <c r="I1217" s="110">
        <v>0</v>
      </c>
      <c r="J1217" s="111">
        <v>0</v>
      </c>
      <c r="K1217" s="111"/>
      <c r="L1217" s="111"/>
      <c r="M1217" s="112"/>
    </row>
    <row r="1218" spans="1:13" x14ac:dyDescent="0.2">
      <c r="A1218" s="117" t="s">
        <v>32</v>
      </c>
      <c r="B1218" s="117" t="s">
        <v>111</v>
      </c>
      <c r="C1218" s="117" t="s">
        <v>225</v>
      </c>
      <c r="D1218" s="118">
        <v>315</v>
      </c>
      <c r="E1218" s="119"/>
      <c r="F1218" s="119"/>
      <c r="G1218" s="119"/>
      <c r="H1218" s="120"/>
      <c r="I1218" s="118">
        <v>0</v>
      </c>
      <c r="J1218" s="119"/>
      <c r="K1218" s="119"/>
      <c r="L1218" s="119"/>
      <c r="M1218" s="120"/>
    </row>
    <row r="1219" spans="1:13" x14ac:dyDescent="0.2">
      <c r="A1219" s="124" t="s">
        <v>32</v>
      </c>
      <c r="B1219" s="124" t="s">
        <v>109</v>
      </c>
      <c r="C1219" s="124" t="s">
        <v>222</v>
      </c>
      <c r="D1219" s="125">
        <v>31953</v>
      </c>
      <c r="E1219" s="126">
        <v>29599</v>
      </c>
      <c r="F1219" s="126">
        <v>28923</v>
      </c>
      <c r="G1219" s="126">
        <v>28923</v>
      </c>
      <c r="H1219" s="127"/>
      <c r="I1219" s="125">
        <v>10065</v>
      </c>
      <c r="J1219" s="126">
        <v>15087.5</v>
      </c>
      <c r="K1219" s="126">
        <v>18479</v>
      </c>
      <c r="L1219" s="126">
        <v>19053</v>
      </c>
      <c r="M1219" s="127"/>
    </row>
    <row r="1220" spans="1:13" x14ac:dyDescent="0.2">
      <c r="A1220" s="113" t="s">
        <v>32</v>
      </c>
      <c r="B1220" s="113" t="s">
        <v>109</v>
      </c>
      <c r="C1220" s="113" t="s">
        <v>223</v>
      </c>
      <c r="D1220" s="114">
        <v>28862</v>
      </c>
      <c r="E1220" s="115">
        <v>27484</v>
      </c>
      <c r="F1220" s="115">
        <v>27484</v>
      </c>
      <c r="G1220" s="115"/>
      <c r="H1220" s="116"/>
      <c r="I1220" s="114">
        <v>11091</v>
      </c>
      <c r="J1220" s="115">
        <v>16544</v>
      </c>
      <c r="K1220" s="115">
        <v>18767</v>
      </c>
      <c r="L1220" s="115"/>
      <c r="M1220" s="116"/>
    </row>
    <row r="1221" spans="1:13" x14ac:dyDescent="0.2">
      <c r="A1221" t="s">
        <v>32</v>
      </c>
      <c r="B1221" t="s">
        <v>109</v>
      </c>
      <c r="C1221" t="s">
        <v>224</v>
      </c>
      <c r="D1221" s="110">
        <v>19357</v>
      </c>
      <c r="E1221" s="111">
        <v>18557</v>
      </c>
      <c r="F1221" s="111"/>
      <c r="G1221" s="111"/>
      <c r="H1221" s="112"/>
      <c r="I1221" s="110">
        <v>8441</v>
      </c>
      <c r="J1221" s="111">
        <v>11866</v>
      </c>
      <c r="K1221" s="111"/>
      <c r="L1221" s="111"/>
      <c r="M1221" s="112"/>
    </row>
    <row r="1222" spans="1:13" x14ac:dyDescent="0.2">
      <c r="A1222" s="117" t="s">
        <v>32</v>
      </c>
      <c r="B1222" s="117" t="s">
        <v>109</v>
      </c>
      <c r="C1222" s="117" t="s">
        <v>225</v>
      </c>
      <c r="D1222" s="118">
        <v>38092</v>
      </c>
      <c r="E1222" s="119"/>
      <c r="F1222" s="119"/>
      <c r="G1222" s="119"/>
      <c r="H1222" s="120"/>
      <c r="I1222" s="118">
        <v>15675</v>
      </c>
      <c r="J1222" s="119"/>
      <c r="K1222" s="119"/>
      <c r="L1222" s="119"/>
      <c r="M1222" s="120"/>
    </row>
    <row r="1223" spans="1:13" x14ac:dyDescent="0.2">
      <c r="A1223" t="s">
        <v>32</v>
      </c>
      <c r="B1223" t="s">
        <v>106</v>
      </c>
      <c r="C1223" t="s">
        <v>222</v>
      </c>
      <c r="D1223" s="110">
        <v>77902.3</v>
      </c>
      <c r="E1223" s="111">
        <v>77902.3</v>
      </c>
      <c r="F1223" s="111">
        <v>77902.3</v>
      </c>
      <c r="G1223" s="111">
        <v>77902.3</v>
      </c>
      <c r="H1223" s="112"/>
      <c r="I1223" s="110">
        <v>76792.3</v>
      </c>
      <c r="J1223" s="111">
        <v>77202.3</v>
      </c>
      <c r="K1223" s="111">
        <v>77202.3</v>
      </c>
      <c r="L1223" s="111">
        <v>772020.3</v>
      </c>
      <c r="M1223" s="112"/>
    </row>
    <row r="1224" spans="1:13" x14ac:dyDescent="0.2">
      <c r="A1224" s="113" t="s">
        <v>32</v>
      </c>
      <c r="B1224" s="113" t="s">
        <v>106</v>
      </c>
      <c r="C1224" s="113" t="s">
        <v>223</v>
      </c>
      <c r="D1224" s="114">
        <v>59401</v>
      </c>
      <c r="E1224" s="115">
        <v>59401</v>
      </c>
      <c r="F1224" s="115">
        <v>59401</v>
      </c>
      <c r="G1224" s="115"/>
      <c r="H1224" s="116"/>
      <c r="I1224" s="114">
        <v>59351</v>
      </c>
      <c r="J1224" s="115">
        <v>59401</v>
      </c>
      <c r="K1224" s="115">
        <v>59401</v>
      </c>
      <c r="L1224" s="115"/>
      <c r="M1224" s="116"/>
    </row>
    <row r="1225" spans="1:13" x14ac:dyDescent="0.2">
      <c r="A1225" t="s">
        <v>32</v>
      </c>
      <c r="B1225" t="s">
        <v>106</v>
      </c>
      <c r="C1225" t="s">
        <v>224</v>
      </c>
      <c r="D1225" s="110">
        <v>36752.5</v>
      </c>
      <c r="E1225" s="111">
        <v>36752.5</v>
      </c>
      <c r="F1225" s="111"/>
      <c r="G1225" s="111"/>
      <c r="H1225" s="112"/>
      <c r="I1225" s="110">
        <v>35791.54</v>
      </c>
      <c r="J1225" s="111">
        <v>35791.54</v>
      </c>
      <c r="K1225" s="111"/>
      <c r="L1225" s="111"/>
      <c r="M1225" s="112"/>
    </row>
    <row r="1226" spans="1:13" x14ac:dyDescent="0.2">
      <c r="A1226" s="117" t="s">
        <v>32</v>
      </c>
      <c r="B1226" s="117" t="s">
        <v>106</v>
      </c>
      <c r="C1226" s="117" t="s">
        <v>225</v>
      </c>
      <c r="D1226" s="118">
        <v>41276</v>
      </c>
      <c r="E1226" s="119"/>
      <c r="F1226" s="119"/>
      <c r="G1226" s="119"/>
      <c r="H1226" s="120"/>
      <c r="I1226" s="118">
        <v>39637</v>
      </c>
      <c r="J1226" s="119"/>
      <c r="K1226" s="119"/>
      <c r="L1226" s="119"/>
      <c r="M1226" s="120"/>
    </row>
    <row r="1227" spans="1:13" x14ac:dyDescent="0.2">
      <c r="A1227" t="s">
        <v>32</v>
      </c>
      <c r="B1227" t="s">
        <v>107</v>
      </c>
      <c r="C1227" t="s">
        <v>222</v>
      </c>
      <c r="D1227" s="110">
        <v>52274.19</v>
      </c>
      <c r="E1227" s="111">
        <v>52574.19</v>
      </c>
      <c r="F1227" s="111">
        <v>52574.19</v>
      </c>
      <c r="G1227" s="111">
        <v>52574.49</v>
      </c>
      <c r="H1227" s="112"/>
      <c r="I1227" s="110">
        <v>51935.19</v>
      </c>
      <c r="J1227" s="111">
        <v>52274.19</v>
      </c>
      <c r="K1227" s="111">
        <v>52274.19</v>
      </c>
      <c r="L1227" s="111">
        <v>52274.19</v>
      </c>
      <c r="M1227" s="112"/>
    </row>
    <row r="1228" spans="1:13" x14ac:dyDescent="0.2">
      <c r="A1228" s="113" t="s">
        <v>32</v>
      </c>
      <c r="B1228" s="113" t="s">
        <v>107</v>
      </c>
      <c r="C1228" s="113" t="s">
        <v>223</v>
      </c>
      <c r="D1228" s="114">
        <v>71457.5</v>
      </c>
      <c r="E1228" s="115">
        <v>71457.5</v>
      </c>
      <c r="F1228" s="115">
        <v>71457.5</v>
      </c>
      <c r="G1228" s="115"/>
      <c r="H1228" s="116"/>
      <c r="I1228" s="114">
        <v>70282.5</v>
      </c>
      <c r="J1228" s="115">
        <v>71152.5</v>
      </c>
      <c r="K1228" s="115">
        <v>71152.5</v>
      </c>
      <c r="L1228" s="115"/>
      <c r="M1228" s="116"/>
    </row>
    <row r="1229" spans="1:13" x14ac:dyDescent="0.2">
      <c r="A1229" t="s">
        <v>32</v>
      </c>
      <c r="B1229" t="s">
        <v>107</v>
      </c>
      <c r="C1229" t="s">
        <v>224</v>
      </c>
      <c r="D1229" s="110">
        <v>45192</v>
      </c>
      <c r="E1229" s="111">
        <v>45192</v>
      </c>
      <c r="F1229" s="111"/>
      <c r="G1229" s="111"/>
      <c r="H1229" s="112"/>
      <c r="I1229" s="110">
        <v>45182</v>
      </c>
      <c r="J1229" s="111">
        <v>45195</v>
      </c>
      <c r="K1229" s="111"/>
      <c r="L1229" s="111"/>
      <c r="M1229" s="112"/>
    </row>
    <row r="1230" spans="1:13" x14ac:dyDescent="0.2">
      <c r="A1230" s="117" t="s">
        <v>32</v>
      </c>
      <c r="B1230" s="117" t="s">
        <v>107</v>
      </c>
      <c r="C1230" s="117" t="s">
        <v>225</v>
      </c>
      <c r="D1230" s="118">
        <v>49025.25</v>
      </c>
      <c r="E1230" s="119"/>
      <c r="F1230" s="119"/>
      <c r="G1230" s="119"/>
      <c r="H1230" s="120"/>
      <c r="I1230" s="118">
        <v>48790.25</v>
      </c>
      <c r="J1230" s="119"/>
      <c r="K1230" s="119"/>
      <c r="L1230" s="119"/>
      <c r="M1230" s="120"/>
    </row>
    <row r="1231" spans="1:13" x14ac:dyDescent="0.2">
      <c r="A1231" t="s">
        <v>32</v>
      </c>
      <c r="B1231" t="s">
        <v>108</v>
      </c>
      <c r="C1231" t="s">
        <v>222</v>
      </c>
      <c r="D1231" s="110">
        <v>21526.25</v>
      </c>
      <c r="E1231" s="111">
        <v>21526.25</v>
      </c>
      <c r="F1231" s="111">
        <v>21526.25</v>
      </c>
      <c r="G1231" s="111">
        <v>21526.25</v>
      </c>
      <c r="H1231" s="112"/>
      <c r="I1231" s="110">
        <v>20541.25</v>
      </c>
      <c r="J1231" s="111">
        <v>21181.25</v>
      </c>
      <c r="K1231" s="111">
        <v>21526.25</v>
      </c>
      <c r="L1231" s="111">
        <v>21526.25</v>
      </c>
      <c r="M1231" s="112"/>
    </row>
    <row r="1232" spans="1:13" x14ac:dyDescent="0.2">
      <c r="A1232" s="113" t="s">
        <v>32</v>
      </c>
      <c r="B1232" s="113" t="s">
        <v>108</v>
      </c>
      <c r="C1232" s="113" t="s">
        <v>223</v>
      </c>
      <c r="D1232" s="114">
        <v>22282.5</v>
      </c>
      <c r="E1232" s="115">
        <v>22282.5</v>
      </c>
      <c r="F1232" s="115">
        <v>22627.5</v>
      </c>
      <c r="G1232" s="115"/>
      <c r="H1232" s="116"/>
      <c r="I1232" s="114">
        <v>22282.5</v>
      </c>
      <c r="J1232" s="115">
        <v>22282.5</v>
      </c>
      <c r="K1232" s="115">
        <v>22627.5</v>
      </c>
      <c r="L1232" s="115"/>
      <c r="M1232" s="116"/>
    </row>
    <row r="1233" spans="1:13" x14ac:dyDescent="0.2">
      <c r="A1233" t="s">
        <v>32</v>
      </c>
      <c r="B1233" t="s">
        <v>108</v>
      </c>
      <c r="C1233" t="s">
        <v>224</v>
      </c>
      <c r="D1233" s="110">
        <v>21395.24</v>
      </c>
      <c r="E1233" s="111">
        <v>21403.24</v>
      </c>
      <c r="F1233" s="111"/>
      <c r="G1233" s="111"/>
      <c r="H1233" s="112"/>
      <c r="I1233" s="110">
        <v>21070.240000000002</v>
      </c>
      <c r="J1233" s="111">
        <v>21078.240000000002</v>
      </c>
      <c r="K1233" s="111"/>
      <c r="L1233" s="111"/>
      <c r="M1233" s="112"/>
    </row>
    <row r="1234" spans="1:13" x14ac:dyDescent="0.2">
      <c r="A1234" s="117" t="s">
        <v>32</v>
      </c>
      <c r="B1234" s="117" t="s">
        <v>108</v>
      </c>
      <c r="C1234" s="117" t="s">
        <v>225</v>
      </c>
      <c r="D1234" s="118">
        <v>27607</v>
      </c>
      <c r="E1234" s="119"/>
      <c r="F1234" s="119"/>
      <c r="G1234" s="119"/>
      <c r="H1234" s="120"/>
      <c r="I1234" s="118">
        <v>25413</v>
      </c>
      <c r="J1234" s="119"/>
      <c r="K1234" s="119"/>
      <c r="L1234" s="119"/>
      <c r="M1234" s="120"/>
    </row>
    <row r="1235" spans="1:13" x14ac:dyDescent="0.2">
      <c r="A1235" t="s">
        <v>32</v>
      </c>
      <c r="B1235" t="s">
        <v>70</v>
      </c>
      <c r="C1235" t="s">
        <v>222</v>
      </c>
      <c r="D1235" s="110">
        <v>23137.15</v>
      </c>
      <c r="E1235" s="111">
        <v>23137.15</v>
      </c>
      <c r="F1235" s="111">
        <v>23137.15</v>
      </c>
      <c r="G1235" s="111">
        <v>23137.15</v>
      </c>
      <c r="H1235" s="112"/>
      <c r="I1235" s="110">
        <v>22715.15</v>
      </c>
      <c r="J1235" s="111">
        <v>22715.15</v>
      </c>
      <c r="K1235" s="111">
        <v>22715.15</v>
      </c>
      <c r="L1235" s="111">
        <v>22715.15</v>
      </c>
      <c r="M1235" s="112"/>
    </row>
    <row r="1236" spans="1:13" x14ac:dyDescent="0.2">
      <c r="A1236" s="113" t="s">
        <v>32</v>
      </c>
      <c r="B1236" s="113" t="s">
        <v>70</v>
      </c>
      <c r="C1236" s="113" t="s">
        <v>223</v>
      </c>
      <c r="D1236" s="114">
        <v>21427.5</v>
      </c>
      <c r="E1236" s="115">
        <v>21427.5</v>
      </c>
      <c r="F1236" s="115">
        <v>21427.5</v>
      </c>
      <c r="G1236" s="115"/>
      <c r="H1236" s="116"/>
      <c r="I1236" s="114">
        <v>21377.5</v>
      </c>
      <c r="J1236" s="115">
        <v>21377.5</v>
      </c>
      <c r="K1236" s="115">
        <v>21377.5</v>
      </c>
      <c r="L1236" s="115"/>
      <c r="M1236" s="116"/>
    </row>
    <row r="1237" spans="1:13" x14ac:dyDescent="0.2">
      <c r="A1237" t="s">
        <v>32</v>
      </c>
      <c r="B1237" t="s">
        <v>70</v>
      </c>
      <c r="C1237" t="s">
        <v>224</v>
      </c>
      <c r="D1237" s="110">
        <v>21652.7</v>
      </c>
      <c r="E1237" s="111">
        <v>21652.7</v>
      </c>
      <c r="F1237" s="111"/>
      <c r="G1237" s="111"/>
      <c r="H1237" s="112"/>
      <c r="I1237" s="110">
        <v>20952.7</v>
      </c>
      <c r="J1237" s="111">
        <v>21252.7</v>
      </c>
      <c r="K1237" s="111"/>
      <c r="L1237" s="111"/>
      <c r="M1237" s="112"/>
    </row>
    <row r="1238" spans="1:13" x14ac:dyDescent="0.2">
      <c r="A1238" s="117" t="s">
        <v>32</v>
      </c>
      <c r="B1238" s="117" t="s">
        <v>70</v>
      </c>
      <c r="C1238" s="117" t="s">
        <v>225</v>
      </c>
      <c r="D1238" s="118">
        <v>26182.3</v>
      </c>
      <c r="E1238" s="119"/>
      <c r="F1238" s="119"/>
      <c r="G1238" s="119"/>
      <c r="H1238" s="120"/>
      <c r="I1238" s="118">
        <v>25774.3</v>
      </c>
      <c r="J1238" s="119"/>
      <c r="K1238" s="119"/>
      <c r="L1238" s="119"/>
      <c r="M1238" s="120"/>
    </row>
    <row r="1239" spans="1:13" x14ac:dyDescent="0.2">
      <c r="A1239" t="s">
        <v>32</v>
      </c>
      <c r="B1239" t="s">
        <v>110</v>
      </c>
      <c r="C1239" t="s">
        <v>222</v>
      </c>
      <c r="D1239" s="110">
        <v>200923.65</v>
      </c>
      <c r="E1239" s="111">
        <v>193229.1</v>
      </c>
      <c r="F1239" s="111">
        <v>192853.1</v>
      </c>
      <c r="G1239" s="111">
        <v>192853.1</v>
      </c>
      <c r="H1239" s="112"/>
      <c r="I1239" s="110">
        <v>99284.65</v>
      </c>
      <c r="J1239" s="111">
        <v>159996.47</v>
      </c>
      <c r="K1239" s="111">
        <v>167440.35</v>
      </c>
      <c r="L1239" s="111">
        <v>169741.6</v>
      </c>
      <c r="M1239" s="112"/>
    </row>
    <row r="1240" spans="1:13" x14ac:dyDescent="0.2">
      <c r="A1240" s="113" t="s">
        <v>32</v>
      </c>
      <c r="B1240" s="113" t="s">
        <v>110</v>
      </c>
      <c r="C1240" s="113" t="s">
        <v>223</v>
      </c>
      <c r="D1240" s="114">
        <v>200954.05</v>
      </c>
      <c r="E1240" s="115">
        <v>198343.1</v>
      </c>
      <c r="F1240" s="115">
        <v>198630.1</v>
      </c>
      <c r="G1240" s="115"/>
      <c r="H1240" s="116"/>
      <c r="I1240" s="114">
        <v>116021.31</v>
      </c>
      <c r="J1240" s="115">
        <v>161781.29999999999</v>
      </c>
      <c r="K1240" s="115">
        <v>167772.35</v>
      </c>
      <c r="L1240" s="115"/>
      <c r="M1240" s="116"/>
    </row>
    <row r="1241" spans="1:13" x14ac:dyDescent="0.2">
      <c r="A1241" t="s">
        <v>32</v>
      </c>
      <c r="B1241" t="s">
        <v>110</v>
      </c>
      <c r="C1241" t="s">
        <v>224</v>
      </c>
      <c r="D1241" s="110">
        <v>225181.65</v>
      </c>
      <c r="E1241" s="111">
        <v>218150.6</v>
      </c>
      <c r="F1241" s="111"/>
      <c r="G1241" s="111"/>
      <c r="H1241" s="112"/>
      <c r="I1241" s="110">
        <v>101633.65</v>
      </c>
      <c r="J1241" s="111">
        <v>164658.85</v>
      </c>
      <c r="K1241" s="111"/>
      <c r="L1241" s="111"/>
      <c r="M1241" s="112"/>
    </row>
    <row r="1242" spans="1:13" ht="13.5" thickBot="1" x14ac:dyDescent="0.25">
      <c r="A1242" s="128" t="s">
        <v>32</v>
      </c>
      <c r="B1242" s="128" t="s">
        <v>110</v>
      </c>
      <c r="C1242" s="128" t="s">
        <v>225</v>
      </c>
      <c r="D1242" s="129">
        <v>329435.40000000002</v>
      </c>
      <c r="E1242" s="130"/>
      <c r="F1242" s="130"/>
      <c r="G1242" s="130"/>
      <c r="H1242" s="131"/>
      <c r="I1242" s="129">
        <v>152509.15</v>
      </c>
      <c r="J1242" s="130"/>
      <c r="K1242" s="130"/>
      <c r="L1242" s="130"/>
      <c r="M1242" s="131"/>
    </row>
    <row r="1243" spans="1:13" x14ac:dyDescent="0.2">
      <c r="A1243" s="132" t="s">
        <v>33</v>
      </c>
      <c r="B1243" s="132" t="s">
        <v>104</v>
      </c>
      <c r="C1243" s="132" t="s">
        <v>222</v>
      </c>
      <c r="D1243" s="133">
        <v>18053</v>
      </c>
      <c r="E1243" s="134">
        <v>17682</v>
      </c>
      <c r="F1243" s="134">
        <v>17682</v>
      </c>
      <c r="G1243" s="134">
        <v>17682</v>
      </c>
      <c r="H1243" s="135"/>
      <c r="I1243" s="133">
        <v>514</v>
      </c>
      <c r="J1243" s="134">
        <v>1225</v>
      </c>
      <c r="K1243" s="134">
        <v>2452</v>
      </c>
      <c r="L1243" s="134">
        <v>3103</v>
      </c>
      <c r="M1243" s="135"/>
    </row>
    <row r="1244" spans="1:13" x14ac:dyDescent="0.2">
      <c r="A1244" s="113" t="s">
        <v>33</v>
      </c>
      <c r="B1244" s="113" t="s">
        <v>104</v>
      </c>
      <c r="C1244" s="113" t="s">
        <v>223</v>
      </c>
      <c r="D1244" s="114">
        <v>17624</v>
      </c>
      <c r="E1244" s="115">
        <v>17624</v>
      </c>
      <c r="F1244" s="115">
        <v>17624</v>
      </c>
      <c r="G1244" s="115"/>
      <c r="H1244" s="116"/>
      <c r="I1244" s="114">
        <v>1313</v>
      </c>
      <c r="J1244" s="115">
        <v>2936</v>
      </c>
      <c r="K1244" s="115">
        <v>4037</v>
      </c>
      <c r="L1244" s="115"/>
      <c r="M1244" s="116"/>
    </row>
    <row r="1245" spans="1:13" x14ac:dyDescent="0.2">
      <c r="A1245" t="s">
        <v>33</v>
      </c>
      <c r="B1245" t="s">
        <v>104</v>
      </c>
      <c r="C1245" t="s">
        <v>224</v>
      </c>
      <c r="D1245" s="110">
        <v>6881.25</v>
      </c>
      <c r="E1245" s="111">
        <v>6881</v>
      </c>
      <c r="F1245" s="111"/>
      <c r="G1245" s="111"/>
      <c r="H1245" s="112"/>
      <c r="I1245" s="110">
        <v>382.83</v>
      </c>
      <c r="J1245" s="111">
        <v>383</v>
      </c>
      <c r="K1245" s="111"/>
      <c r="L1245" s="111"/>
      <c r="M1245" s="112"/>
    </row>
    <row r="1246" spans="1:13" x14ac:dyDescent="0.2">
      <c r="A1246" s="117" t="s">
        <v>33</v>
      </c>
      <c r="B1246" s="117" t="s">
        <v>104</v>
      </c>
      <c r="C1246" s="117" t="s">
        <v>225</v>
      </c>
      <c r="D1246" s="118">
        <v>6138</v>
      </c>
      <c r="E1246" s="119"/>
      <c r="F1246" s="119"/>
      <c r="G1246" s="119"/>
      <c r="H1246" s="120"/>
      <c r="I1246" s="118">
        <v>2798</v>
      </c>
      <c r="J1246" s="119"/>
      <c r="K1246" s="119"/>
      <c r="L1246" s="119"/>
      <c r="M1246" s="120"/>
    </row>
    <row r="1247" spans="1:13" x14ac:dyDescent="0.2">
      <c r="A1247" t="s">
        <v>33</v>
      </c>
      <c r="B1247" t="s">
        <v>140</v>
      </c>
      <c r="C1247" t="s">
        <v>222</v>
      </c>
      <c r="D1247" s="110">
        <v>0</v>
      </c>
      <c r="E1247" s="111">
        <v>0</v>
      </c>
      <c r="F1247" s="111">
        <v>0</v>
      </c>
      <c r="G1247" s="111">
        <v>0</v>
      </c>
      <c r="H1247" s="112"/>
      <c r="I1247" s="110">
        <v>0</v>
      </c>
      <c r="J1247" s="111">
        <v>0</v>
      </c>
      <c r="K1247" s="111">
        <v>0</v>
      </c>
      <c r="L1247" s="111">
        <v>0</v>
      </c>
      <c r="M1247" s="112"/>
    </row>
    <row r="1248" spans="1:13" x14ac:dyDescent="0.2">
      <c r="A1248" s="113" t="s">
        <v>33</v>
      </c>
      <c r="B1248" s="113" t="s">
        <v>140</v>
      </c>
      <c r="C1248" s="113" t="s">
        <v>223</v>
      </c>
      <c r="D1248" s="114">
        <v>0</v>
      </c>
      <c r="E1248" s="115">
        <v>0</v>
      </c>
      <c r="F1248" s="115">
        <v>0</v>
      </c>
      <c r="G1248" s="115"/>
      <c r="H1248" s="116"/>
      <c r="I1248" s="114">
        <v>0</v>
      </c>
      <c r="J1248" s="115">
        <v>0</v>
      </c>
      <c r="K1248" s="115">
        <v>0</v>
      </c>
      <c r="L1248" s="115"/>
      <c r="M1248" s="116"/>
    </row>
    <row r="1249" spans="1:13" x14ac:dyDescent="0.2">
      <c r="A1249" t="s">
        <v>33</v>
      </c>
      <c r="B1249" t="s">
        <v>140</v>
      </c>
      <c r="C1249" t="s">
        <v>224</v>
      </c>
      <c r="D1249" s="110">
        <v>0</v>
      </c>
      <c r="E1249" s="111">
        <v>0</v>
      </c>
      <c r="F1249" s="111"/>
      <c r="G1249" s="111"/>
      <c r="H1249" s="112"/>
      <c r="I1249" s="110">
        <v>0</v>
      </c>
      <c r="J1249" s="111">
        <v>0</v>
      </c>
      <c r="K1249" s="111"/>
      <c r="L1249" s="111"/>
      <c r="M1249" s="112"/>
    </row>
    <row r="1250" spans="1:13" x14ac:dyDescent="0.2">
      <c r="A1250" s="117" t="s">
        <v>33</v>
      </c>
      <c r="B1250" s="117" t="s">
        <v>140</v>
      </c>
      <c r="C1250" s="117" t="s">
        <v>225</v>
      </c>
      <c r="D1250" s="118">
        <v>0</v>
      </c>
      <c r="E1250" s="119"/>
      <c r="F1250" s="119"/>
      <c r="G1250" s="119"/>
      <c r="H1250" s="120"/>
      <c r="I1250" s="118">
        <v>0</v>
      </c>
      <c r="J1250" s="119"/>
      <c r="K1250" s="119"/>
      <c r="L1250" s="119"/>
      <c r="M1250" s="120"/>
    </row>
    <row r="1251" spans="1:13" x14ac:dyDescent="0.2">
      <c r="A1251" t="s">
        <v>33</v>
      </c>
      <c r="B1251" t="s">
        <v>105</v>
      </c>
      <c r="C1251" t="s">
        <v>222</v>
      </c>
      <c r="D1251" s="110">
        <v>11526</v>
      </c>
      <c r="E1251" s="111">
        <v>11516</v>
      </c>
      <c r="F1251" s="111">
        <v>11156</v>
      </c>
      <c r="G1251" s="111">
        <v>11156</v>
      </c>
      <c r="H1251" s="112"/>
      <c r="I1251" s="110">
        <v>3515</v>
      </c>
      <c r="J1251" s="111">
        <v>4077</v>
      </c>
      <c r="K1251" s="111">
        <v>4951</v>
      </c>
      <c r="L1251" s="111">
        <v>5043</v>
      </c>
      <c r="M1251" s="112"/>
    </row>
    <row r="1252" spans="1:13" x14ac:dyDescent="0.2">
      <c r="A1252" s="113" t="s">
        <v>33</v>
      </c>
      <c r="B1252" s="113" t="s">
        <v>105</v>
      </c>
      <c r="C1252" s="113" t="s">
        <v>223</v>
      </c>
      <c r="D1252" s="114">
        <v>9135</v>
      </c>
      <c r="E1252" s="115">
        <v>9135</v>
      </c>
      <c r="F1252" s="115">
        <v>9135</v>
      </c>
      <c r="G1252" s="115"/>
      <c r="H1252" s="116"/>
      <c r="I1252" s="114">
        <v>3415</v>
      </c>
      <c r="J1252" s="115">
        <v>4272</v>
      </c>
      <c r="K1252" s="115">
        <v>4337</v>
      </c>
      <c r="L1252" s="115"/>
      <c r="M1252" s="116"/>
    </row>
    <row r="1253" spans="1:13" x14ac:dyDescent="0.2">
      <c r="A1253" t="s">
        <v>33</v>
      </c>
      <c r="B1253" t="s">
        <v>105</v>
      </c>
      <c r="C1253" t="s">
        <v>224</v>
      </c>
      <c r="D1253" s="110">
        <v>4174</v>
      </c>
      <c r="E1253" s="111">
        <v>4174</v>
      </c>
      <c r="F1253" s="111"/>
      <c r="G1253" s="111"/>
      <c r="H1253" s="112"/>
      <c r="I1253" s="110">
        <v>2474</v>
      </c>
      <c r="J1253" s="111">
        <v>3064</v>
      </c>
      <c r="K1253" s="111"/>
      <c r="L1253" s="111"/>
      <c r="M1253" s="112"/>
    </row>
    <row r="1254" spans="1:13" x14ac:dyDescent="0.2">
      <c r="A1254" s="117" t="s">
        <v>33</v>
      </c>
      <c r="B1254" s="117" t="s">
        <v>105</v>
      </c>
      <c r="C1254" s="117" t="s">
        <v>225</v>
      </c>
      <c r="D1254" s="118">
        <v>2041</v>
      </c>
      <c r="E1254" s="119"/>
      <c r="F1254" s="119"/>
      <c r="G1254" s="119"/>
      <c r="H1254" s="120"/>
      <c r="I1254" s="118">
        <v>1269</v>
      </c>
      <c r="J1254" s="119"/>
      <c r="K1254" s="119"/>
      <c r="L1254" s="119"/>
      <c r="M1254" s="120"/>
    </row>
    <row r="1255" spans="1:13" x14ac:dyDescent="0.2">
      <c r="A1255" t="s">
        <v>33</v>
      </c>
      <c r="B1255" t="s">
        <v>111</v>
      </c>
      <c r="C1255" t="s">
        <v>222</v>
      </c>
      <c r="D1255" s="110">
        <v>0</v>
      </c>
      <c r="E1255" s="111"/>
      <c r="F1255" s="111">
        <v>0</v>
      </c>
      <c r="G1255" s="111">
        <v>0</v>
      </c>
      <c r="H1255" s="112"/>
      <c r="I1255" s="110">
        <v>0</v>
      </c>
      <c r="J1255" s="111"/>
      <c r="K1255" s="111">
        <v>0</v>
      </c>
      <c r="L1255" s="111">
        <v>0</v>
      </c>
      <c r="M1255" s="112"/>
    </row>
    <row r="1256" spans="1:13" x14ac:dyDescent="0.2">
      <c r="A1256" s="113" t="s">
        <v>33</v>
      </c>
      <c r="B1256" s="113" t="s">
        <v>111</v>
      </c>
      <c r="C1256" s="113" t="s">
        <v>223</v>
      </c>
      <c r="D1256" s="114"/>
      <c r="E1256" s="115">
        <v>0</v>
      </c>
      <c r="F1256" s="115">
        <v>0</v>
      </c>
      <c r="G1256" s="115"/>
      <c r="H1256" s="116"/>
      <c r="I1256" s="114"/>
      <c r="J1256" s="115">
        <v>0</v>
      </c>
      <c r="K1256" s="115">
        <v>0</v>
      </c>
      <c r="L1256" s="115"/>
      <c r="M1256" s="116"/>
    </row>
    <row r="1257" spans="1:13" x14ac:dyDescent="0.2">
      <c r="A1257" t="s">
        <v>33</v>
      </c>
      <c r="B1257" t="s">
        <v>111</v>
      </c>
      <c r="C1257" t="s">
        <v>224</v>
      </c>
      <c r="D1257" s="110">
        <v>3</v>
      </c>
      <c r="E1257" s="111">
        <v>3</v>
      </c>
      <c r="F1257" s="111"/>
      <c r="G1257" s="111"/>
      <c r="H1257" s="112"/>
      <c r="I1257" s="110">
        <v>3</v>
      </c>
      <c r="J1257" s="111">
        <v>3</v>
      </c>
      <c r="K1257" s="111"/>
      <c r="L1257" s="111"/>
      <c r="M1257" s="112"/>
    </row>
    <row r="1258" spans="1:13" x14ac:dyDescent="0.2">
      <c r="A1258" s="117" t="s">
        <v>33</v>
      </c>
      <c r="B1258" s="117" t="s">
        <v>111</v>
      </c>
      <c r="C1258" s="117" t="s">
        <v>225</v>
      </c>
      <c r="D1258" s="118">
        <v>3</v>
      </c>
      <c r="E1258" s="119"/>
      <c r="F1258" s="119"/>
      <c r="G1258" s="119"/>
      <c r="H1258" s="120"/>
      <c r="I1258" s="118">
        <v>3</v>
      </c>
      <c r="J1258" s="119"/>
      <c r="K1258" s="119"/>
      <c r="L1258" s="119"/>
      <c r="M1258" s="120"/>
    </row>
    <row r="1259" spans="1:13" x14ac:dyDescent="0.2">
      <c r="A1259" s="124" t="s">
        <v>33</v>
      </c>
      <c r="B1259" s="124" t="s">
        <v>109</v>
      </c>
      <c r="C1259" s="124" t="s">
        <v>222</v>
      </c>
      <c r="D1259" s="125">
        <v>14476</v>
      </c>
      <c r="E1259" s="126">
        <v>14476</v>
      </c>
      <c r="F1259" s="126">
        <v>14476</v>
      </c>
      <c r="G1259" s="126">
        <v>14476</v>
      </c>
      <c r="H1259" s="127"/>
      <c r="I1259" s="125">
        <v>2210</v>
      </c>
      <c r="J1259" s="126">
        <v>8694</v>
      </c>
      <c r="K1259" s="126">
        <v>10742</v>
      </c>
      <c r="L1259" s="126">
        <v>11437</v>
      </c>
      <c r="M1259" s="127"/>
    </row>
    <row r="1260" spans="1:13" x14ac:dyDescent="0.2">
      <c r="A1260" s="113" t="s">
        <v>33</v>
      </c>
      <c r="B1260" s="113" t="s">
        <v>109</v>
      </c>
      <c r="C1260" s="113" t="s">
        <v>223</v>
      </c>
      <c r="D1260" s="114">
        <v>15533</v>
      </c>
      <c r="E1260" s="115">
        <v>15533</v>
      </c>
      <c r="F1260" s="115">
        <v>15533</v>
      </c>
      <c r="G1260" s="115"/>
      <c r="H1260" s="116"/>
      <c r="I1260" s="114">
        <v>1952</v>
      </c>
      <c r="J1260" s="115">
        <v>5697</v>
      </c>
      <c r="K1260" s="115">
        <v>7535</v>
      </c>
      <c r="L1260" s="115"/>
      <c r="M1260" s="116"/>
    </row>
    <row r="1261" spans="1:13" x14ac:dyDescent="0.2">
      <c r="A1261" t="s">
        <v>33</v>
      </c>
      <c r="B1261" t="s">
        <v>109</v>
      </c>
      <c r="C1261" t="s">
        <v>224</v>
      </c>
      <c r="D1261" s="110">
        <v>3327</v>
      </c>
      <c r="E1261" s="111">
        <v>3327</v>
      </c>
      <c r="F1261" s="111"/>
      <c r="G1261" s="111"/>
      <c r="H1261" s="112"/>
      <c r="I1261" s="110">
        <v>2935</v>
      </c>
      <c r="J1261" s="111">
        <v>3327</v>
      </c>
      <c r="K1261" s="111"/>
      <c r="L1261" s="111"/>
      <c r="M1261" s="112"/>
    </row>
    <row r="1262" spans="1:13" x14ac:dyDescent="0.2">
      <c r="A1262" s="117" t="s">
        <v>33</v>
      </c>
      <c r="B1262" s="117" t="s">
        <v>109</v>
      </c>
      <c r="C1262" s="117" t="s">
        <v>225</v>
      </c>
      <c r="D1262" s="118">
        <v>3953</v>
      </c>
      <c r="E1262" s="119"/>
      <c r="F1262" s="119"/>
      <c r="G1262" s="119"/>
      <c r="H1262" s="120"/>
      <c r="I1262" s="118">
        <v>1256</v>
      </c>
      <c r="J1262" s="119"/>
      <c r="K1262" s="119"/>
      <c r="L1262" s="119"/>
      <c r="M1262" s="120"/>
    </row>
    <row r="1263" spans="1:13" x14ac:dyDescent="0.2">
      <c r="A1263" t="s">
        <v>33</v>
      </c>
      <c r="B1263" t="s">
        <v>106</v>
      </c>
      <c r="C1263" t="s">
        <v>222</v>
      </c>
      <c r="D1263" s="110">
        <v>8660</v>
      </c>
      <c r="E1263" s="111">
        <v>8660</v>
      </c>
      <c r="F1263" s="111">
        <v>8660</v>
      </c>
      <c r="G1263" s="111">
        <v>8660</v>
      </c>
      <c r="H1263" s="112"/>
      <c r="I1263" s="110">
        <v>8660</v>
      </c>
      <c r="J1263" s="111">
        <v>8660</v>
      </c>
      <c r="K1263" s="111">
        <v>8660</v>
      </c>
      <c r="L1263" s="111">
        <v>8660</v>
      </c>
      <c r="M1263" s="112"/>
    </row>
    <row r="1264" spans="1:13" x14ac:dyDescent="0.2">
      <c r="A1264" s="113" t="s">
        <v>33</v>
      </c>
      <c r="B1264" s="113" t="s">
        <v>106</v>
      </c>
      <c r="C1264" s="113" t="s">
        <v>223</v>
      </c>
      <c r="D1264" s="114">
        <v>5537</v>
      </c>
      <c r="E1264" s="115">
        <v>5537</v>
      </c>
      <c r="F1264" s="115">
        <v>5537</v>
      </c>
      <c r="G1264" s="115"/>
      <c r="H1264" s="116"/>
      <c r="I1264" s="114">
        <v>4737</v>
      </c>
      <c r="J1264" s="115">
        <v>5237</v>
      </c>
      <c r="K1264" s="115">
        <v>5237</v>
      </c>
      <c r="L1264" s="115"/>
      <c r="M1264" s="116"/>
    </row>
    <row r="1265" spans="1:13" x14ac:dyDescent="0.2">
      <c r="A1265" t="s">
        <v>33</v>
      </c>
      <c r="B1265" t="s">
        <v>106</v>
      </c>
      <c r="C1265" t="s">
        <v>224</v>
      </c>
      <c r="D1265" s="110">
        <v>5874</v>
      </c>
      <c r="E1265" s="111">
        <v>5874</v>
      </c>
      <c r="F1265" s="111"/>
      <c r="G1265" s="111"/>
      <c r="H1265" s="112"/>
      <c r="I1265" s="110">
        <v>5474</v>
      </c>
      <c r="J1265" s="111">
        <v>5474</v>
      </c>
      <c r="K1265" s="111"/>
      <c r="L1265" s="111"/>
      <c r="M1265" s="112"/>
    </row>
    <row r="1266" spans="1:13" x14ac:dyDescent="0.2">
      <c r="A1266" s="117" t="s">
        <v>33</v>
      </c>
      <c r="B1266" s="117" t="s">
        <v>106</v>
      </c>
      <c r="C1266" s="117" t="s">
        <v>225</v>
      </c>
      <c r="D1266" s="118">
        <v>8804</v>
      </c>
      <c r="E1266" s="119"/>
      <c r="F1266" s="119"/>
      <c r="G1266" s="119"/>
      <c r="H1266" s="120"/>
      <c r="I1266" s="118">
        <v>8404</v>
      </c>
      <c r="J1266" s="119"/>
      <c r="K1266" s="119"/>
      <c r="L1266" s="119"/>
      <c r="M1266" s="120"/>
    </row>
    <row r="1267" spans="1:13" x14ac:dyDescent="0.2">
      <c r="A1267" t="s">
        <v>33</v>
      </c>
      <c r="B1267" t="s">
        <v>107</v>
      </c>
      <c r="C1267" t="s">
        <v>222</v>
      </c>
      <c r="D1267" s="110">
        <v>12420</v>
      </c>
      <c r="E1267" s="111">
        <v>12420</v>
      </c>
      <c r="F1267" s="111">
        <v>12420</v>
      </c>
      <c r="G1267" s="111">
        <v>12420</v>
      </c>
      <c r="H1267" s="112"/>
      <c r="I1267" s="110">
        <v>12420</v>
      </c>
      <c r="J1267" s="111">
        <v>12420</v>
      </c>
      <c r="K1267" s="111">
        <v>12420</v>
      </c>
      <c r="L1267" s="111">
        <v>12420</v>
      </c>
      <c r="M1267" s="112"/>
    </row>
    <row r="1268" spans="1:13" x14ac:dyDescent="0.2">
      <c r="A1268" s="113" t="s">
        <v>33</v>
      </c>
      <c r="B1268" s="113" t="s">
        <v>107</v>
      </c>
      <c r="C1268" s="113" t="s">
        <v>223</v>
      </c>
      <c r="D1268" s="114">
        <v>11660</v>
      </c>
      <c r="E1268" s="115">
        <v>11660</v>
      </c>
      <c r="F1268" s="115">
        <v>11060</v>
      </c>
      <c r="G1268" s="115"/>
      <c r="H1268" s="116"/>
      <c r="I1268" s="114">
        <v>11060</v>
      </c>
      <c r="J1268" s="115">
        <v>11060</v>
      </c>
      <c r="K1268" s="115">
        <v>11060</v>
      </c>
      <c r="L1268" s="115"/>
      <c r="M1268" s="116"/>
    </row>
    <row r="1269" spans="1:13" x14ac:dyDescent="0.2">
      <c r="A1269" t="s">
        <v>33</v>
      </c>
      <c r="B1269" t="s">
        <v>107</v>
      </c>
      <c r="C1269" t="s">
        <v>224</v>
      </c>
      <c r="D1269" s="110">
        <v>8260</v>
      </c>
      <c r="E1269" s="111">
        <v>8260</v>
      </c>
      <c r="F1269" s="111"/>
      <c r="G1269" s="111"/>
      <c r="H1269" s="112"/>
      <c r="I1269" s="110">
        <v>8210</v>
      </c>
      <c r="J1269" s="111">
        <v>8260</v>
      </c>
      <c r="K1269" s="111"/>
      <c r="L1269" s="111"/>
      <c r="M1269" s="112"/>
    </row>
    <row r="1270" spans="1:13" x14ac:dyDescent="0.2">
      <c r="A1270" s="117" t="s">
        <v>33</v>
      </c>
      <c r="B1270" s="117" t="s">
        <v>107</v>
      </c>
      <c r="C1270" s="117" t="s">
        <v>225</v>
      </c>
      <c r="D1270" s="118">
        <v>9055</v>
      </c>
      <c r="E1270" s="119"/>
      <c r="F1270" s="119"/>
      <c r="G1270" s="119"/>
      <c r="H1270" s="120"/>
      <c r="I1270" s="118">
        <v>9055</v>
      </c>
      <c r="J1270" s="119"/>
      <c r="K1270" s="119"/>
      <c r="L1270" s="119"/>
      <c r="M1270" s="120"/>
    </row>
    <row r="1271" spans="1:13" x14ac:dyDescent="0.2">
      <c r="A1271" t="s">
        <v>33</v>
      </c>
      <c r="B1271" t="s">
        <v>108</v>
      </c>
      <c r="C1271" t="s">
        <v>222</v>
      </c>
      <c r="D1271" s="110">
        <v>2638</v>
      </c>
      <c r="E1271" s="111">
        <v>2638</v>
      </c>
      <c r="F1271" s="111">
        <v>2638</v>
      </c>
      <c r="G1271" s="111">
        <v>2638</v>
      </c>
      <c r="H1271" s="112"/>
      <c r="I1271" s="110">
        <v>2638</v>
      </c>
      <c r="J1271" s="111">
        <v>2638</v>
      </c>
      <c r="K1271" s="111">
        <v>2638</v>
      </c>
      <c r="L1271" s="111">
        <v>2638</v>
      </c>
      <c r="M1271" s="112"/>
    </row>
    <row r="1272" spans="1:13" x14ac:dyDescent="0.2">
      <c r="A1272" s="113" t="s">
        <v>33</v>
      </c>
      <c r="B1272" s="113" t="s">
        <v>108</v>
      </c>
      <c r="C1272" s="113" t="s">
        <v>223</v>
      </c>
      <c r="D1272" s="114">
        <v>2976</v>
      </c>
      <c r="E1272" s="115">
        <v>2976</v>
      </c>
      <c r="F1272" s="115">
        <v>2976</v>
      </c>
      <c r="G1272" s="115"/>
      <c r="H1272" s="116"/>
      <c r="I1272" s="114">
        <v>2976</v>
      </c>
      <c r="J1272" s="115">
        <v>2976</v>
      </c>
      <c r="K1272" s="115">
        <v>2976</v>
      </c>
      <c r="L1272" s="115"/>
      <c r="M1272" s="116"/>
    </row>
    <row r="1273" spans="1:13" x14ac:dyDescent="0.2">
      <c r="A1273" t="s">
        <v>33</v>
      </c>
      <c r="B1273" t="s">
        <v>108</v>
      </c>
      <c r="C1273" t="s">
        <v>224</v>
      </c>
      <c r="D1273" s="110">
        <v>7435</v>
      </c>
      <c r="E1273" s="111">
        <v>7435</v>
      </c>
      <c r="F1273" s="111"/>
      <c r="G1273" s="111"/>
      <c r="H1273" s="112"/>
      <c r="I1273" s="110">
        <v>7435</v>
      </c>
      <c r="J1273" s="111">
        <v>7435</v>
      </c>
      <c r="K1273" s="111"/>
      <c r="L1273" s="111"/>
      <c r="M1273" s="112"/>
    </row>
    <row r="1274" spans="1:13" x14ac:dyDescent="0.2">
      <c r="A1274" s="117" t="s">
        <v>33</v>
      </c>
      <c r="B1274" s="117" t="s">
        <v>108</v>
      </c>
      <c r="C1274" s="117" t="s">
        <v>225</v>
      </c>
      <c r="D1274" s="118">
        <v>5605</v>
      </c>
      <c r="E1274" s="119"/>
      <c r="F1274" s="119"/>
      <c r="G1274" s="119"/>
      <c r="H1274" s="120"/>
      <c r="I1274" s="118">
        <v>5197</v>
      </c>
      <c r="J1274" s="119"/>
      <c r="K1274" s="119"/>
      <c r="L1274" s="119"/>
      <c r="M1274" s="120"/>
    </row>
    <row r="1275" spans="1:13" x14ac:dyDescent="0.2">
      <c r="A1275" t="s">
        <v>33</v>
      </c>
      <c r="B1275" t="s">
        <v>70</v>
      </c>
      <c r="C1275" t="s">
        <v>222</v>
      </c>
      <c r="D1275" s="110">
        <v>4620</v>
      </c>
      <c r="E1275" s="111">
        <v>4620</v>
      </c>
      <c r="F1275" s="111">
        <v>4620</v>
      </c>
      <c r="G1275" s="111">
        <v>4620</v>
      </c>
      <c r="H1275" s="112"/>
      <c r="I1275" s="110">
        <v>3496</v>
      </c>
      <c r="J1275" s="111">
        <v>3526</v>
      </c>
      <c r="K1275" s="111">
        <v>3526</v>
      </c>
      <c r="L1275" s="111">
        <v>3526</v>
      </c>
      <c r="M1275" s="112"/>
    </row>
    <row r="1276" spans="1:13" x14ac:dyDescent="0.2">
      <c r="A1276" s="113" t="s">
        <v>33</v>
      </c>
      <c r="B1276" s="113" t="s">
        <v>70</v>
      </c>
      <c r="C1276" s="113" t="s">
        <v>223</v>
      </c>
      <c r="D1276" s="114">
        <v>5142</v>
      </c>
      <c r="E1276" s="115">
        <v>4742</v>
      </c>
      <c r="F1276" s="115">
        <v>4742</v>
      </c>
      <c r="G1276" s="115"/>
      <c r="H1276" s="116"/>
      <c r="I1276" s="114">
        <v>4742</v>
      </c>
      <c r="J1276" s="115">
        <v>4742</v>
      </c>
      <c r="K1276" s="115">
        <v>4742</v>
      </c>
      <c r="L1276" s="115"/>
      <c r="M1276" s="116"/>
    </row>
    <row r="1277" spans="1:13" x14ac:dyDescent="0.2">
      <c r="A1277" t="s">
        <v>33</v>
      </c>
      <c r="B1277" t="s">
        <v>70</v>
      </c>
      <c r="C1277" t="s">
        <v>224</v>
      </c>
      <c r="D1277" s="110">
        <v>2530</v>
      </c>
      <c r="E1277" s="111">
        <v>2530</v>
      </c>
      <c r="F1277" s="111"/>
      <c r="G1277" s="111"/>
      <c r="H1277" s="112"/>
      <c r="I1277" s="110">
        <v>2530</v>
      </c>
      <c r="J1277" s="111">
        <v>2530</v>
      </c>
      <c r="K1277" s="111"/>
      <c r="L1277" s="111"/>
      <c r="M1277" s="112"/>
    </row>
    <row r="1278" spans="1:13" x14ac:dyDescent="0.2">
      <c r="A1278" s="117" t="s">
        <v>33</v>
      </c>
      <c r="B1278" s="117" t="s">
        <v>70</v>
      </c>
      <c r="C1278" s="117" t="s">
        <v>225</v>
      </c>
      <c r="D1278" s="118">
        <v>5605</v>
      </c>
      <c r="E1278" s="119"/>
      <c r="F1278" s="119"/>
      <c r="G1278" s="119"/>
      <c r="H1278" s="120"/>
      <c r="I1278" s="118">
        <v>5197</v>
      </c>
      <c r="J1278" s="119"/>
      <c r="K1278" s="119"/>
      <c r="L1278" s="119"/>
      <c r="M1278" s="120"/>
    </row>
    <row r="1279" spans="1:13" x14ac:dyDescent="0.2">
      <c r="A1279" t="s">
        <v>33</v>
      </c>
      <c r="B1279" t="s">
        <v>110</v>
      </c>
      <c r="C1279" t="s">
        <v>222</v>
      </c>
      <c r="D1279" s="110">
        <v>189367</v>
      </c>
      <c r="E1279" s="111">
        <v>182223</v>
      </c>
      <c r="F1279" s="111">
        <v>180953</v>
      </c>
      <c r="G1279" s="111">
        <v>179968</v>
      </c>
      <c r="H1279" s="112"/>
      <c r="I1279" s="110">
        <v>87216</v>
      </c>
      <c r="J1279" s="111">
        <v>147572</v>
      </c>
      <c r="K1279" s="111">
        <v>157793</v>
      </c>
      <c r="L1279" s="111">
        <v>161948</v>
      </c>
      <c r="M1279" s="112"/>
    </row>
    <row r="1280" spans="1:13" x14ac:dyDescent="0.2">
      <c r="A1280" s="113" t="s">
        <v>33</v>
      </c>
      <c r="B1280" s="113" t="s">
        <v>110</v>
      </c>
      <c r="C1280" s="113" t="s">
        <v>223</v>
      </c>
      <c r="D1280" s="114">
        <v>125627</v>
      </c>
      <c r="E1280" s="115">
        <v>123719</v>
      </c>
      <c r="F1280" s="115">
        <v>121446</v>
      </c>
      <c r="G1280" s="115"/>
      <c r="H1280" s="116"/>
      <c r="I1280" s="114">
        <v>72616</v>
      </c>
      <c r="J1280" s="115">
        <v>97749</v>
      </c>
      <c r="K1280" s="115">
        <v>108798</v>
      </c>
      <c r="L1280" s="115"/>
      <c r="M1280" s="116"/>
    </row>
    <row r="1281" spans="1:13" x14ac:dyDescent="0.2">
      <c r="A1281" t="s">
        <v>33</v>
      </c>
      <c r="B1281" t="s">
        <v>110</v>
      </c>
      <c r="C1281" t="s">
        <v>224</v>
      </c>
      <c r="D1281" s="110">
        <v>66228</v>
      </c>
      <c r="E1281" s="111">
        <v>65679</v>
      </c>
      <c r="F1281" s="111"/>
      <c r="G1281" s="111"/>
      <c r="H1281" s="112"/>
      <c r="I1281" s="110">
        <v>30295</v>
      </c>
      <c r="J1281" s="111">
        <v>49166</v>
      </c>
      <c r="K1281" s="111"/>
      <c r="L1281" s="111"/>
      <c r="M1281" s="112"/>
    </row>
    <row r="1282" spans="1:13" ht="13.5" thickBot="1" x14ac:dyDescent="0.25">
      <c r="A1282" s="128" t="s">
        <v>33</v>
      </c>
      <c r="B1282" s="128" t="s">
        <v>110</v>
      </c>
      <c r="C1282" s="128" t="s">
        <v>225</v>
      </c>
      <c r="D1282" s="129">
        <v>81887</v>
      </c>
      <c r="E1282" s="130"/>
      <c r="F1282" s="130"/>
      <c r="G1282" s="130"/>
      <c r="H1282" s="131"/>
      <c r="I1282" s="129">
        <v>39338</v>
      </c>
      <c r="J1282" s="130"/>
      <c r="K1282" s="130"/>
      <c r="L1282" s="130"/>
      <c r="M1282" s="131"/>
    </row>
    <row r="1283" spans="1:13" x14ac:dyDescent="0.2">
      <c r="A1283" s="132" t="s">
        <v>34</v>
      </c>
      <c r="B1283" s="132" t="s">
        <v>104</v>
      </c>
      <c r="C1283" s="132" t="s">
        <v>222</v>
      </c>
      <c r="D1283" s="133">
        <v>34516.03</v>
      </c>
      <c r="E1283" s="134">
        <v>34516.03</v>
      </c>
      <c r="F1283" s="134">
        <v>34516.03</v>
      </c>
      <c r="G1283" s="134">
        <v>33266.03</v>
      </c>
      <c r="H1283" s="135"/>
      <c r="I1283" s="133">
        <v>0</v>
      </c>
      <c r="J1283" s="134">
        <v>1334.06</v>
      </c>
      <c r="K1283" s="134">
        <v>1975.74</v>
      </c>
      <c r="L1283" s="134">
        <v>3597.84</v>
      </c>
      <c r="M1283" s="135"/>
    </row>
    <row r="1284" spans="1:13" x14ac:dyDescent="0.2">
      <c r="A1284" s="113" t="s">
        <v>34</v>
      </c>
      <c r="B1284" s="113" t="s">
        <v>104</v>
      </c>
      <c r="C1284" s="113" t="s">
        <v>223</v>
      </c>
      <c r="D1284" s="114">
        <v>21235.66</v>
      </c>
      <c r="E1284" s="115">
        <v>22235.66</v>
      </c>
      <c r="F1284" s="115">
        <v>22235.66</v>
      </c>
      <c r="G1284" s="115"/>
      <c r="H1284" s="116"/>
      <c r="I1284" s="114">
        <v>0</v>
      </c>
      <c r="J1284" s="115">
        <v>1038.47</v>
      </c>
      <c r="K1284" s="115">
        <v>1245.21</v>
      </c>
      <c r="L1284" s="115"/>
      <c r="M1284" s="116"/>
    </row>
    <row r="1285" spans="1:13" x14ac:dyDescent="0.2">
      <c r="A1285" t="s">
        <v>34</v>
      </c>
      <c r="B1285" t="s">
        <v>104</v>
      </c>
      <c r="C1285" t="s">
        <v>224</v>
      </c>
      <c r="D1285" s="110">
        <v>9706</v>
      </c>
      <c r="E1285" s="111">
        <v>9706</v>
      </c>
      <c r="F1285" s="111"/>
      <c r="G1285" s="111"/>
      <c r="H1285" s="112"/>
      <c r="I1285" s="110">
        <v>16.21</v>
      </c>
      <c r="J1285" s="111">
        <v>154.79</v>
      </c>
      <c r="K1285" s="111"/>
      <c r="L1285" s="111"/>
      <c r="M1285" s="112"/>
    </row>
    <row r="1286" spans="1:13" x14ac:dyDescent="0.2">
      <c r="A1286" s="117" t="s">
        <v>34</v>
      </c>
      <c r="B1286" s="117" t="s">
        <v>104</v>
      </c>
      <c r="C1286" s="117" t="s">
        <v>225</v>
      </c>
      <c r="D1286" s="118">
        <v>18685</v>
      </c>
      <c r="E1286" s="119"/>
      <c r="F1286" s="119"/>
      <c r="G1286" s="119"/>
      <c r="H1286" s="120"/>
      <c r="I1286" s="118">
        <v>1340</v>
      </c>
      <c r="J1286" s="119"/>
      <c r="K1286" s="119"/>
      <c r="L1286" s="119"/>
      <c r="M1286" s="120"/>
    </row>
    <row r="1287" spans="1:13" x14ac:dyDescent="0.2">
      <c r="A1287" t="s">
        <v>34</v>
      </c>
      <c r="B1287" t="s">
        <v>140</v>
      </c>
      <c r="C1287" t="s">
        <v>222</v>
      </c>
      <c r="D1287" s="110">
        <v>0</v>
      </c>
      <c r="E1287" s="111">
        <v>0</v>
      </c>
      <c r="F1287" s="111">
        <v>0</v>
      </c>
      <c r="G1287" s="111"/>
      <c r="H1287" s="112"/>
      <c r="I1287" s="110">
        <v>0</v>
      </c>
      <c r="J1287" s="111">
        <v>0</v>
      </c>
      <c r="K1287" s="111">
        <v>0</v>
      </c>
      <c r="L1287" s="111"/>
      <c r="M1287" s="112"/>
    </row>
    <row r="1288" spans="1:13" x14ac:dyDescent="0.2">
      <c r="A1288" s="113" t="s">
        <v>34</v>
      </c>
      <c r="B1288" s="113" t="s">
        <v>140</v>
      </c>
      <c r="C1288" s="113" t="s">
        <v>223</v>
      </c>
      <c r="D1288" s="114">
        <v>0</v>
      </c>
      <c r="E1288" s="115">
        <v>0</v>
      </c>
      <c r="F1288" s="115"/>
      <c r="G1288" s="115"/>
      <c r="H1288" s="116"/>
      <c r="I1288" s="114">
        <v>0</v>
      </c>
      <c r="J1288" s="115">
        <v>0</v>
      </c>
      <c r="K1288" s="115"/>
      <c r="L1288" s="115"/>
      <c r="M1288" s="116"/>
    </row>
    <row r="1289" spans="1:13" x14ac:dyDescent="0.2">
      <c r="A1289" t="s">
        <v>34</v>
      </c>
      <c r="B1289" t="s">
        <v>140</v>
      </c>
      <c r="C1289" t="s">
        <v>224</v>
      </c>
      <c r="D1289" s="110">
        <v>0</v>
      </c>
      <c r="E1289" s="111"/>
      <c r="F1289" s="111"/>
      <c r="G1289" s="111"/>
      <c r="H1289" s="112"/>
      <c r="I1289" s="110">
        <v>0</v>
      </c>
      <c r="J1289" s="111"/>
      <c r="K1289" s="111"/>
      <c r="L1289" s="111"/>
      <c r="M1289" s="112"/>
    </row>
    <row r="1290" spans="1:13" x14ac:dyDescent="0.2">
      <c r="A1290" s="117" t="s">
        <v>34</v>
      </c>
      <c r="B1290" s="117" t="s">
        <v>140</v>
      </c>
      <c r="C1290" s="117" t="s">
        <v>225</v>
      </c>
      <c r="D1290" s="118"/>
      <c r="E1290" s="119"/>
      <c r="F1290" s="119"/>
      <c r="G1290" s="119"/>
      <c r="H1290" s="120"/>
      <c r="I1290" s="118"/>
      <c r="J1290" s="119"/>
      <c r="K1290" s="119"/>
      <c r="L1290" s="119"/>
      <c r="M1290" s="120"/>
    </row>
    <row r="1291" spans="1:13" x14ac:dyDescent="0.2">
      <c r="A1291" t="s">
        <v>34</v>
      </c>
      <c r="B1291" t="s">
        <v>105</v>
      </c>
      <c r="C1291" t="s">
        <v>222</v>
      </c>
      <c r="D1291" s="110">
        <v>9904</v>
      </c>
      <c r="E1291" s="111">
        <v>9904</v>
      </c>
      <c r="F1291" s="111">
        <v>9904</v>
      </c>
      <c r="G1291" s="111">
        <v>9904</v>
      </c>
      <c r="H1291" s="112"/>
      <c r="I1291" s="110">
        <v>4330</v>
      </c>
      <c r="J1291" s="111">
        <v>6512</v>
      </c>
      <c r="K1291" s="111">
        <v>7289</v>
      </c>
      <c r="L1291" s="111">
        <v>7289</v>
      </c>
      <c r="M1291" s="112"/>
    </row>
    <row r="1292" spans="1:13" x14ac:dyDescent="0.2">
      <c r="A1292" s="113" t="s">
        <v>34</v>
      </c>
      <c r="B1292" s="113" t="s">
        <v>105</v>
      </c>
      <c r="C1292" s="113" t="s">
        <v>223</v>
      </c>
      <c r="D1292" s="114">
        <v>3667</v>
      </c>
      <c r="E1292" s="115">
        <v>3667</v>
      </c>
      <c r="F1292" s="115">
        <v>3667</v>
      </c>
      <c r="G1292" s="115"/>
      <c r="H1292" s="116"/>
      <c r="I1292" s="114">
        <v>657</v>
      </c>
      <c r="J1292" s="115">
        <v>757</v>
      </c>
      <c r="K1292" s="115">
        <v>757</v>
      </c>
      <c r="L1292" s="115"/>
      <c r="M1292" s="116"/>
    </row>
    <row r="1293" spans="1:13" x14ac:dyDescent="0.2">
      <c r="A1293" t="s">
        <v>34</v>
      </c>
      <c r="B1293" t="s">
        <v>105</v>
      </c>
      <c r="C1293" t="s">
        <v>224</v>
      </c>
      <c r="D1293" s="110">
        <v>1672</v>
      </c>
      <c r="E1293" s="111">
        <v>1622</v>
      </c>
      <c r="F1293" s="111"/>
      <c r="G1293" s="111"/>
      <c r="H1293" s="112"/>
      <c r="I1293" s="110">
        <v>1202</v>
      </c>
      <c r="J1293" s="111">
        <v>1432</v>
      </c>
      <c r="K1293" s="111"/>
      <c r="L1293" s="111"/>
      <c r="M1293" s="112"/>
    </row>
    <row r="1294" spans="1:13" x14ac:dyDescent="0.2">
      <c r="A1294" s="117" t="s">
        <v>34</v>
      </c>
      <c r="B1294" s="117" t="s">
        <v>105</v>
      </c>
      <c r="C1294" s="117" t="s">
        <v>225</v>
      </c>
      <c r="D1294" s="118">
        <v>4156</v>
      </c>
      <c r="E1294" s="119"/>
      <c r="F1294" s="119"/>
      <c r="G1294" s="119"/>
      <c r="H1294" s="120"/>
      <c r="I1294" s="118">
        <v>2110</v>
      </c>
      <c r="J1294" s="119"/>
      <c r="K1294" s="119"/>
      <c r="L1294" s="119"/>
      <c r="M1294" s="120"/>
    </row>
    <row r="1295" spans="1:13" x14ac:dyDescent="0.2">
      <c r="A1295" t="s">
        <v>34</v>
      </c>
      <c r="B1295" t="s">
        <v>111</v>
      </c>
      <c r="C1295" t="s">
        <v>222</v>
      </c>
      <c r="D1295" s="110">
        <v>3.5</v>
      </c>
      <c r="E1295" s="111">
        <v>3.5</v>
      </c>
      <c r="F1295" s="111">
        <v>3.5</v>
      </c>
      <c r="G1295" s="111">
        <v>3.5</v>
      </c>
      <c r="H1295" s="112"/>
      <c r="I1295" s="110">
        <v>3.5</v>
      </c>
      <c r="J1295" s="111">
        <v>3.5</v>
      </c>
      <c r="K1295" s="111">
        <v>3.5</v>
      </c>
      <c r="L1295" s="111">
        <v>3.5</v>
      </c>
      <c r="M1295" s="112"/>
    </row>
    <row r="1296" spans="1:13" x14ac:dyDescent="0.2">
      <c r="A1296" s="113" t="s">
        <v>34</v>
      </c>
      <c r="B1296" s="113" t="s">
        <v>111</v>
      </c>
      <c r="C1296" s="113" t="s">
        <v>223</v>
      </c>
      <c r="D1296" s="114">
        <v>0</v>
      </c>
      <c r="E1296" s="115">
        <v>0</v>
      </c>
      <c r="F1296" s="115">
        <v>0</v>
      </c>
      <c r="G1296" s="115"/>
      <c r="H1296" s="116"/>
      <c r="I1296" s="114">
        <v>0</v>
      </c>
      <c r="J1296" s="115">
        <v>0</v>
      </c>
      <c r="K1296" s="115">
        <v>0</v>
      </c>
      <c r="L1296" s="115"/>
      <c r="M1296" s="116"/>
    </row>
    <row r="1297" spans="1:13" x14ac:dyDescent="0.2">
      <c r="A1297" t="s">
        <v>34</v>
      </c>
      <c r="B1297" t="s">
        <v>111</v>
      </c>
      <c r="C1297" t="s">
        <v>224</v>
      </c>
      <c r="D1297" s="110">
        <v>0</v>
      </c>
      <c r="E1297" s="111">
        <v>0</v>
      </c>
      <c r="F1297" s="111"/>
      <c r="G1297" s="111"/>
      <c r="H1297" s="112"/>
      <c r="I1297" s="110">
        <v>0</v>
      </c>
      <c r="J1297" s="111">
        <v>0</v>
      </c>
      <c r="K1297" s="111"/>
      <c r="L1297" s="111"/>
      <c r="M1297" s="112"/>
    </row>
    <row r="1298" spans="1:13" x14ac:dyDescent="0.2">
      <c r="A1298" s="117" t="s">
        <v>34</v>
      </c>
      <c r="B1298" s="117" t="s">
        <v>111</v>
      </c>
      <c r="C1298" s="117" t="s">
        <v>225</v>
      </c>
      <c r="D1298" s="118">
        <v>0</v>
      </c>
      <c r="E1298" s="119"/>
      <c r="F1298" s="119"/>
      <c r="G1298" s="119"/>
      <c r="H1298" s="120"/>
      <c r="I1298" s="118">
        <v>0</v>
      </c>
      <c r="J1298" s="119"/>
      <c r="K1298" s="119"/>
      <c r="L1298" s="119"/>
      <c r="M1298" s="120"/>
    </row>
    <row r="1299" spans="1:13" x14ac:dyDescent="0.2">
      <c r="A1299" s="124" t="s">
        <v>34</v>
      </c>
      <c r="B1299" s="124" t="s">
        <v>109</v>
      </c>
      <c r="C1299" s="124" t="s">
        <v>222</v>
      </c>
      <c r="D1299" s="125">
        <v>13815.88</v>
      </c>
      <c r="E1299" s="126">
        <v>13815.88</v>
      </c>
      <c r="F1299" s="126">
        <v>13815.88</v>
      </c>
      <c r="G1299" s="126">
        <v>13815.88</v>
      </c>
      <c r="H1299" s="127"/>
      <c r="I1299" s="125">
        <v>4633.38</v>
      </c>
      <c r="J1299" s="126">
        <v>6544.38</v>
      </c>
      <c r="K1299" s="126">
        <v>8615.3799999999992</v>
      </c>
      <c r="L1299" s="126">
        <v>10158.379999999999</v>
      </c>
      <c r="M1299" s="127"/>
    </row>
    <row r="1300" spans="1:13" x14ac:dyDescent="0.2">
      <c r="A1300" s="113" t="s">
        <v>34</v>
      </c>
      <c r="B1300" s="113" t="s">
        <v>109</v>
      </c>
      <c r="C1300" s="113" t="s">
        <v>223</v>
      </c>
      <c r="D1300" s="114">
        <v>10309</v>
      </c>
      <c r="E1300" s="115">
        <v>10309</v>
      </c>
      <c r="F1300" s="115">
        <v>10309</v>
      </c>
      <c r="G1300" s="115"/>
      <c r="H1300" s="116"/>
      <c r="I1300" s="114">
        <v>3032</v>
      </c>
      <c r="J1300" s="115">
        <v>5209</v>
      </c>
      <c r="K1300" s="115">
        <v>7502</v>
      </c>
      <c r="L1300" s="115"/>
      <c r="M1300" s="116"/>
    </row>
    <row r="1301" spans="1:13" x14ac:dyDescent="0.2">
      <c r="A1301" t="s">
        <v>34</v>
      </c>
      <c r="B1301" t="s">
        <v>109</v>
      </c>
      <c r="C1301" t="s">
        <v>224</v>
      </c>
      <c r="D1301" s="110">
        <v>500</v>
      </c>
      <c r="E1301" s="111">
        <v>500</v>
      </c>
      <c r="F1301" s="111"/>
      <c r="G1301" s="111"/>
      <c r="H1301" s="112"/>
      <c r="I1301" s="110">
        <v>500</v>
      </c>
      <c r="J1301" s="111">
        <v>500</v>
      </c>
      <c r="K1301" s="111"/>
      <c r="L1301" s="111"/>
      <c r="M1301" s="112"/>
    </row>
    <row r="1302" spans="1:13" x14ac:dyDescent="0.2">
      <c r="A1302" s="117" t="s">
        <v>34</v>
      </c>
      <c r="B1302" s="117" t="s">
        <v>109</v>
      </c>
      <c r="C1302" s="117" t="s">
        <v>225</v>
      </c>
      <c r="D1302" s="118">
        <v>4055</v>
      </c>
      <c r="E1302" s="119"/>
      <c r="F1302" s="119"/>
      <c r="G1302" s="119"/>
      <c r="H1302" s="120"/>
      <c r="I1302" s="118">
        <v>0</v>
      </c>
      <c r="J1302" s="119"/>
      <c r="K1302" s="119"/>
      <c r="L1302" s="119"/>
      <c r="M1302" s="120"/>
    </row>
    <row r="1303" spans="1:13" x14ac:dyDescent="0.2">
      <c r="A1303" t="s">
        <v>34</v>
      </c>
      <c r="B1303" t="s">
        <v>106</v>
      </c>
      <c r="C1303" t="s">
        <v>222</v>
      </c>
      <c r="D1303" s="110">
        <v>5425</v>
      </c>
      <c r="E1303" s="111">
        <v>5425</v>
      </c>
      <c r="F1303" s="111">
        <v>5425</v>
      </c>
      <c r="G1303" s="111">
        <v>5425</v>
      </c>
      <c r="H1303" s="112"/>
      <c r="I1303" s="110">
        <v>5425</v>
      </c>
      <c r="J1303" s="111">
        <v>5425</v>
      </c>
      <c r="K1303" s="111">
        <v>5425</v>
      </c>
      <c r="L1303" s="111">
        <v>5425</v>
      </c>
      <c r="M1303" s="112"/>
    </row>
    <row r="1304" spans="1:13" x14ac:dyDescent="0.2">
      <c r="A1304" s="113" t="s">
        <v>34</v>
      </c>
      <c r="B1304" s="113" t="s">
        <v>106</v>
      </c>
      <c r="C1304" s="113" t="s">
        <v>223</v>
      </c>
      <c r="D1304" s="114">
        <v>1510</v>
      </c>
      <c r="E1304" s="115">
        <v>1510</v>
      </c>
      <c r="F1304" s="115">
        <v>1510</v>
      </c>
      <c r="G1304" s="115"/>
      <c r="H1304" s="116"/>
      <c r="I1304" s="114">
        <v>1510</v>
      </c>
      <c r="J1304" s="115">
        <v>1510</v>
      </c>
      <c r="K1304" s="115">
        <v>1510</v>
      </c>
      <c r="L1304" s="115"/>
      <c r="M1304" s="116"/>
    </row>
    <row r="1305" spans="1:13" x14ac:dyDescent="0.2">
      <c r="A1305" t="s">
        <v>34</v>
      </c>
      <c r="B1305" t="s">
        <v>106</v>
      </c>
      <c r="C1305" t="s">
        <v>224</v>
      </c>
      <c r="D1305" s="110">
        <v>1670</v>
      </c>
      <c r="E1305" s="111">
        <v>1670</v>
      </c>
      <c r="F1305" s="111"/>
      <c r="G1305" s="111"/>
      <c r="H1305" s="112"/>
      <c r="I1305" s="110">
        <v>1670</v>
      </c>
      <c r="J1305" s="111">
        <v>1670</v>
      </c>
      <c r="K1305" s="111"/>
      <c r="L1305" s="111"/>
      <c r="M1305" s="112"/>
    </row>
    <row r="1306" spans="1:13" x14ac:dyDescent="0.2">
      <c r="A1306" s="117" t="s">
        <v>34</v>
      </c>
      <c r="B1306" s="117" t="s">
        <v>106</v>
      </c>
      <c r="C1306" s="117" t="s">
        <v>225</v>
      </c>
      <c r="D1306" s="118">
        <v>1263</v>
      </c>
      <c r="E1306" s="119"/>
      <c r="F1306" s="119"/>
      <c r="G1306" s="119"/>
      <c r="H1306" s="120"/>
      <c r="I1306" s="118">
        <v>1263</v>
      </c>
      <c r="J1306" s="119"/>
      <c r="K1306" s="119"/>
      <c r="L1306" s="119"/>
      <c r="M1306" s="120"/>
    </row>
    <row r="1307" spans="1:13" x14ac:dyDescent="0.2">
      <c r="A1307" t="s">
        <v>34</v>
      </c>
      <c r="B1307" t="s">
        <v>107</v>
      </c>
      <c r="C1307" t="s">
        <v>222</v>
      </c>
      <c r="D1307" s="110">
        <v>7005</v>
      </c>
      <c r="E1307" s="111">
        <v>7005</v>
      </c>
      <c r="F1307" s="111">
        <v>7005</v>
      </c>
      <c r="G1307" s="111">
        <v>7005</v>
      </c>
      <c r="H1307" s="112"/>
      <c r="I1307" s="110">
        <v>7005</v>
      </c>
      <c r="J1307" s="111">
        <v>7005</v>
      </c>
      <c r="K1307" s="111">
        <v>7005</v>
      </c>
      <c r="L1307" s="111">
        <v>7005</v>
      </c>
      <c r="M1307" s="112"/>
    </row>
    <row r="1308" spans="1:13" x14ac:dyDescent="0.2">
      <c r="A1308" s="113" t="s">
        <v>34</v>
      </c>
      <c r="B1308" s="113" t="s">
        <v>107</v>
      </c>
      <c r="C1308" s="113" t="s">
        <v>223</v>
      </c>
      <c r="D1308" s="114">
        <v>6580</v>
      </c>
      <c r="E1308" s="115">
        <v>6580</v>
      </c>
      <c r="F1308" s="115">
        <v>6580</v>
      </c>
      <c r="G1308" s="115"/>
      <c r="H1308" s="116"/>
      <c r="I1308" s="114">
        <v>6495</v>
      </c>
      <c r="J1308" s="115">
        <v>6495</v>
      </c>
      <c r="K1308" s="115">
        <v>6495</v>
      </c>
      <c r="L1308" s="115"/>
      <c r="M1308" s="116"/>
    </row>
    <row r="1309" spans="1:13" x14ac:dyDescent="0.2">
      <c r="A1309" t="s">
        <v>34</v>
      </c>
      <c r="B1309" t="s">
        <v>107</v>
      </c>
      <c r="C1309" t="s">
        <v>224</v>
      </c>
      <c r="D1309" s="110">
        <v>6720</v>
      </c>
      <c r="E1309" s="111">
        <v>6720</v>
      </c>
      <c r="F1309" s="111"/>
      <c r="G1309" s="111"/>
      <c r="H1309" s="112"/>
      <c r="I1309" s="110">
        <v>6720</v>
      </c>
      <c r="J1309" s="111">
        <v>6720</v>
      </c>
      <c r="K1309" s="111"/>
      <c r="L1309" s="111"/>
      <c r="M1309" s="112"/>
    </row>
    <row r="1310" spans="1:13" x14ac:dyDescent="0.2">
      <c r="A1310" s="117" t="s">
        <v>34</v>
      </c>
      <c r="B1310" s="117" t="s">
        <v>107</v>
      </c>
      <c r="C1310" s="117" t="s">
        <v>225</v>
      </c>
      <c r="D1310" s="118">
        <v>7133</v>
      </c>
      <c r="E1310" s="119"/>
      <c r="F1310" s="119"/>
      <c r="G1310" s="119"/>
      <c r="H1310" s="120"/>
      <c r="I1310" s="118">
        <v>6833</v>
      </c>
      <c r="J1310" s="119"/>
      <c r="K1310" s="119"/>
      <c r="L1310" s="119"/>
      <c r="M1310" s="120"/>
    </row>
    <row r="1311" spans="1:13" x14ac:dyDescent="0.2">
      <c r="A1311" t="s">
        <v>34</v>
      </c>
      <c r="B1311" t="s">
        <v>108</v>
      </c>
      <c r="C1311" t="s">
        <v>222</v>
      </c>
      <c r="D1311" s="110">
        <v>2925</v>
      </c>
      <c r="E1311" s="111">
        <v>2925</v>
      </c>
      <c r="F1311" s="111">
        <v>2925</v>
      </c>
      <c r="G1311" s="111">
        <v>2925</v>
      </c>
      <c r="H1311" s="112"/>
      <c r="I1311" s="110">
        <v>2690</v>
      </c>
      <c r="J1311" s="111">
        <v>2690</v>
      </c>
      <c r="K1311" s="111">
        <v>2690</v>
      </c>
      <c r="L1311" s="111">
        <v>2690</v>
      </c>
      <c r="M1311" s="112"/>
    </row>
    <row r="1312" spans="1:13" x14ac:dyDescent="0.2">
      <c r="A1312" s="113" t="s">
        <v>34</v>
      </c>
      <c r="B1312" s="113" t="s">
        <v>108</v>
      </c>
      <c r="C1312" s="113" t="s">
        <v>223</v>
      </c>
      <c r="D1312" s="114">
        <v>3266</v>
      </c>
      <c r="E1312" s="115">
        <v>3266</v>
      </c>
      <c r="F1312" s="115">
        <v>3266</v>
      </c>
      <c r="G1312" s="115"/>
      <c r="H1312" s="116"/>
      <c r="I1312" s="114">
        <v>3266</v>
      </c>
      <c r="J1312" s="115">
        <v>3266</v>
      </c>
      <c r="K1312" s="115">
        <v>3266</v>
      </c>
      <c r="L1312" s="115"/>
      <c r="M1312" s="116"/>
    </row>
    <row r="1313" spans="1:13" x14ac:dyDescent="0.2">
      <c r="A1313" t="s">
        <v>34</v>
      </c>
      <c r="B1313" t="s">
        <v>108</v>
      </c>
      <c r="C1313" t="s">
        <v>224</v>
      </c>
      <c r="D1313" s="110">
        <v>1490</v>
      </c>
      <c r="E1313" s="111">
        <v>1490</v>
      </c>
      <c r="F1313" s="111"/>
      <c r="G1313" s="111"/>
      <c r="H1313" s="112"/>
      <c r="I1313" s="110">
        <v>1490</v>
      </c>
      <c r="J1313" s="111">
        <v>1490</v>
      </c>
      <c r="K1313" s="111"/>
      <c r="L1313" s="111"/>
      <c r="M1313" s="112"/>
    </row>
    <row r="1314" spans="1:13" x14ac:dyDescent="0.2">
      <c r="A1314" s="117" t="s">
        <v>34</v>
      </c>
      <c r="B1314" s="117" t="s">
        <v>108</v>
      </c>
      <c r="C1314" s="117" t="s">
        <v>225</v>
      </c>
      <c r="D1314" s="118">
        <v>3555</v>
      </c>
      <c r="E1314" s="119"/>
      <c r="F1314" s="119"/>
      <c r="G1314" s="119"/>
      <c r="H1314" s="120"/>
      <c r="I1314" s="118">
        <v>3555</v>
      </c>
      <c r="J1314" s="119"/>
      <c r="K1314" s="119"/>
      <c r="L1314" s="119"/>
      <c r="M1314" s="120"/>
    </row>
    <row r="1315" spans="1:13" x14ac:dyDescent="0.2">
      <c r="A1315" t="s">
        <v>34</v>
      </c>
      <c r="B1315" t="s">
        <v>70</v>
      </c>
      <c r="C1315" t="s">
        <v>222</v>
      </c>
      <c r="D1315" s="110">
        <v>4340.5</v>
      </c>
      <c r="E1315" s="111">
        <v>4340.5</v>
      </c>
      <c r="F1315" s="111">
        <v>4340.5</v>
      </c>
      <c r="G1315" s="111">
        <v>4340.5</v>
      </c>
      <c r="H1315" s="112"/>
      <c r="I1315" s="110">
        <v>4340.5</v>
      </c>
      <c r="J1315" s="111">
        <v>4340.5</v>
      </c>
      <c r="K1315" s="111">
        <v>4340.5</v>
      </c>
      <c r="L1315" s="111">
        <v>4340.5</v>
      </c>
      <c r="M1315" s="112"/>
    </row>
    <row r="1316" spans="1:13" x14ac:dyDescent="0.2">
      <c r="A1316" s="113" t="s">
        <v>34</v>
      </c>
      <c r="B1316" s="113" t="s">
        <v>70</v>
      </c>
      <c r="C1316" s="113" t="s">
        <v>223</v>
      </c>
      <c r="D1316" s="114">
        <v>3992</v>
      </c>
      <c r="E1316" s="115">
        <v>3992</v>
      </c>
      <c r="F1316" s="115">
        <v>3992</v>
      </c>
      <c r="G1316" s="115"/>
      <c r="H1316" s="116"/>
      <c r="I1316" s="114">
        <v>3992</v>
      </c>
      <c r="J1316" s="115">
        <v>3992</v>
      </c>
      <c r="K1316" s="115">
        <v>3992</v>
      </c>
      <c r="L1316" s="115"/>
      <c r="M1316" s="116"/>
    </row>
    <row r="1317" spans="1:13" x14ac:dyDescent="0.2">
      <c r="A1317" t="s">
        <v>34</v>
      </c>
      <c r="B1317" t="s">
        <v>70</v>
      </c>
      <c r="C1317" t="s">
        <v>224</v>
      </c>
      <c r="D1317" s="110">
        <v>3420</v>
      </c>
      <c r="E1317" s="111">
        <v>3420</v>
      </c>
      <c r="F1317" s="111"/>
      <c r="G1317" s="111"/>
      <c r="H1317" s="112"/>
      <c r="I1317" s="110">
        <v>2882</v>
      </c>
      <c r="J1317" s="111">
        <v>3360</v>
      </c>
      <c r="K1317" s="111"/>
      <c r="L1317" s="111"/>
      <c r="M1317" s="112"/>
    </row>
    <row r="1318" spans="1:13" x14ac:dyDescent="0.2">
      <c r="A1318" s="117" t="s">
        <v>34</v>
      </c>
      <c r="B1318" s="117" t="s">
        <v>70</v>
      </c>
      <c r="C1318" s="117" t="s">
        <v>225</v>
      </c>
      <c r="D1318" s="118">
        <v>6342.08</v>
      </c>
      <c r="E1318" s="119"/>
      <c r="F1318" s="119"/>
      <c r="G1318" s="119"/>
      <c r="H1318" s="120"/>
      <c r="I1318" s="118">
        <v>6342.08</v>
      </c>
      <c r="J1318" s="119"/>
      <c r="K1318" s="119"/>
      <c r="L1318" s="119"/>
      <c r="M1318" s="120"/>
    </row>
    <row r="1319" spans="1:13" x14ac:dyDescent="0.2">
      <c r="A1319" t="s">
        <v>34</v>
      </c>
      <c r="B1319" t="s">
        <v>110</v>
      </c>
      <c r="C1319" t="s">
        <v>222</v>
      </c>
      <c r="D1319" s="110">
        <v>13850.5</v>
      </c>
      <c r="E1319" s="111">
        <v>13318.5</v>
      </c>
      <c r="F1319" s="111">
        <v>13251.25</v>
      </c>
      <c r="G1319" s="111">
        <v>13251.25</v>
      </c>
      <c r="H1319" s="112"/>
      <c r="I1319" s="110">
        <v>7643.5</v>
      </c>
      <c r="J1319" s="111">
        <v>10996.5</v>
      </c>
      <c r="K1319" s="111">
        <v>11161.25</v>
      </c>
      <c r="L1319" s="111">
        <v>11207.25</v>
      </c>
      <c r="M1319" s="112"/>
    </row>
    <row r="1320" spans="1:13" x14ac:dyDescent="0.2">
      <c r="A1320" s="113" t="s">
        <v>34</v>
      </c>
      <c r="B1320" s="113" t="s">
        <v>110</v>
      </c>
      <c r="C1320" s="113" t="s">
        <v>223</v>
      </c>
      <c r="D1320" s="114">
        <v>4903.6000000000004</v>
      </c>
      <c r="E1320" s="115">
        <v>4645.6000000000004</v>
      </c>
      <c r="F1320" s="115">
        <v>4645.6000000000004</v>
      </c>
      <c r="G1320" s="115"/>
      <c r="H1320" s="116"/>
      <c r="I1320" s="114">
        <v>1923.6</v>
      </c>
      <c r="J1320" s="115">
        <v>3437.6</v>
      </c>
      <c r="K1320" s="115">
        <v>3437.6</v>
      </c>
      <c r="L1320" s="115"/>
      <c r="M1320" s="116"/>
    </row>
    <row r="1321" spans="1:13" x14ac:dyDescent="0.2">
      <c r="A1321" t="s">
        <v>34</v>
      </c>
      <c r="B1321" t="s">
        <v>110</v>
      </c>
      <c r="C1321" t="s">
        <v>224</v>
      </c>
      <c r="D1321" s="110">
        <v>5467.4</v>
      </c>
      <c r="E1321" s="111">
        <v>5544.65</v>
      </c>
      <c r="F1321" s="111"/>
      <c r="G1321" s="111"/>
      <c r="H1321" s="112"/>
      <c r="I1321" s="110">
        <v>3219.4</v>
      </c>
      <c r="J1321" s="111">
        <v>5173.6499999999996</v>
      </c>
      <c r="K1321" s="111"/>
      <c r="L1321" s="111"/>
      <c r="M1321" s="112"/>
    </row>
    <row r="1322" spans="1:13" ht="13.5" thickBot="1" x14ac:dyDescent="0.25">
      <c r="A1322" s="128" t="s">
        <v>34</v>
      </c>
      <c r="B1322" s="128" t="s">
        <v>110</v>
      </c>
      <c r="C1322" s="128" t="s">
        <v>225</v>
      </c>
      <c r="D1322" s="129">
        <v>9492.2999999999993</v>
      </c>
      <c r="E1322" s="130"/>
      <c r="F1322" s="130"/>
      <c r="G1322" s="130"/>
      <c r="H1322" s="131"/>
      <c r="I1322" s="129">
        <v>3802.3</v>
      </c>
      <c r="J1322" s="130"/>
      <c r="K1322" s="130"/>
      <c r="L1322" s="130"/>
      <c r="M1322" s="131"/>
    </row>
    <row r="1323" spans="1:13" x14ac:dyDescent="0.2">
      <c r="A1323" s="132" t="s">
        <v>35</v>
      </c>
      <c r="B1323" s="132" t="s">
        <v>104</v>
      </c>
      <c r="C1323" s="132" t="s">
        <v>222</v>
      </c>
      <c r="D1323" s="133">
        <v>1608025.43</v>
      </c>
      <c r="E1323" s="134">
        <v>1605275.43</v>
      </c>
      <c r="F1323" s="134">
        <v>1604975.43</v>
      </c>
      <c r="G1323" s="134">
        <v>1604852.43</v>
      </c>
      <c r="H1323" s="135"/>
      <c r="I1323" s="133">
        <v>27178.04</v>
      </c>
      <c r="J1323" s="134">
        <v>48779.07</v>
      </c>
      <c r="K1323" s="134">
        <v>67272.570000000007</v>
      </c>
      <c r="L1323" s="134">
        <v>77068.820000000007</v>
      </c>
      <c r="M1323" s="135"/>
    </row>
    <row r="1324" spans="1:13" x14ac:dyDescent="0.2">
      <c r="A1324" s="113" t="s">
        <v>35</v>
      </c>
      <c r="B1324" s="113" t="s">
        <v>104</v>
      </c>
      <c r="C1324" s="113" t="s">
        <v>223</v>
      </c>
      <c r="D1324" s="114">
        <v>1234665.3600000001</v>
      </c>
      <c r="E1324" s="115">
        <v>1232820.8600000001</v>
      </c>
      <c r="F1324" s="115">
        <v>1231606.8600000001</v>
      </c>
      <c r="G1324" s="115"/>
      <c r="H1324" s="116"/>
      <c r="I1324" s="114">
        <v>31752.27</v>
      </c>
      <c r="J1324" s="115">
        <v>43110.07</v>
      </c>
      <c r="K1324" s="115">
        <v>53739.65</v>
      </c>
      <c r="L1324" s="115"/>
      <c r="M1324" s="116"/>
    </row>
    <row r="1325" spans="1:13" x14ac:dyDescent="0.2">
      <c r="A1325" t="s">
        <v>35</v>
      </c>
      <c r="B1325" t="s">
        <v>104</v>
      </c>
      <c r="C1325" t="s">
        <v>224</v>
      </c>
      <c r="D1325" s="110">
        <v>364755.45</v>
      </c>
      <c r="E1325" s="111">
        <v>362505.45</v>
      </c>
      <c r="F1325" s="111"/>
      <c r="G1325" s="111"/>
      <c r="H1325" s="112"/>
      <c r="I1325" s="110">
        <v>11785.3</v>
      </c>
      <c r="J1325" s="111">
        <v>14266.79</v>
      </c>
      <c r="K1325" s="111"/>
      <c r="L1325" s="111"/>
      <c r="M1325" s="112"/>
    </row>
    <row r="1326" spans="1:13" x14ac:dyDescent="0.2">
      <c r="A1326" s="117" t="s">
        <v>35</v>
      </c>
      <c r="B1326" s="117" t="s">
        <v>104</v>
      </c>
      <c r="C1326" s="117" t="s">
        <v>225</v>
      </c>
      <c r="D1326" s="118">
        <v>741288.47</v>
      </c>
      <c r="E1326" s="119"/>
      <c r="F1326" s="119"/>
      <c r="G1326" s="119"/>
      <c r="H1326" s="120"/>
      <c r="I1326" s="118">
        <v>44010.71</v>
      </c>
      <c r="J1326" s="119"/>
      <c r="K1326" s="119"/>
      <c r="L1326" s="119"/>
      <c r="M1326" s="120"/>
    </row>
    <row r="1327" spans="1:13" x14ac:dyDescent="0.2">
      <c r="A1327" t="s">
        <v>35</v>
      </c>
      <c r="B1327" t="s">
        <v>140</v>
      </c>
      <c r="C1327" t="s">
        <v>222</v>
      </c>
      <c r="D1327" s="110">
        <v>650000</v>
      </c>
      <c r="E1327" s="111">
        <v>650000</v>
      </c>
      <c r="F1327" s="111">
        <v>650000</v>
      </c>
      <c r="G1327" s="111">
        <v>650000</v>
      </c>
      <c r="H1327" s="112"/>
      <c r="I1327" s="110">
        <v>0</v>
      </c>
      <c r="J1327" s="111">
        <v>0</v>
      </c>
      <c r="K1327" s="111">
        <v>0</v>
      </c>
      <c r="L1327" s="111">
        <v>0</v>
      </c>
      <c r="M1327" s="112"/>
    </row>
    <row r="1328" spans="1:13" x14ac:dyDescent="0.2">
      <c r="A1328" s="113" t="s">
        <v>35</v>
      </c>
      <c r="B1328" s="113" t="s">
        <v>140</v>
      </c>
      <c r="C1328" s="113" t="s">
        <v>223</v>
      </c>
      <c r="D1328" s="114">
        <v>450000</v>
      </c>
      <c r="E1328" s="115">
        <v>450000</v>
      </c>
      <c r="F1328" s="115">
        <v>450000</v>
      </c>
      <c r="G1328" s="115"/>
      <c r="H1328" s="116"/>
      <c r="I1328" s="114">
        <v>0</v>
      </c>
      <c r="J1328" s="115">
        <v>0</v>
      </c>
      <c r="K1328" s="115">
        <v>0</v>
      </c>
      <c r="L1328" s="115"/>
      <c r="M1328" s="116"/>
    </row>
    <row r="1329" spans="1:13" x14ac:dyDescent="0.2">
      <c r="A1329" t="s">
        <v>35</v>
      </c>
      <c r="B1329" t="s">
        <v>140</v>
      </c>
      <c r="C1329" t="s">
        <v>224</v>
      </c>
      <c r="D1329" s="110">
        <v>50000</v>
      </c>
      <c r="E1329" s="111">
        <v>50000</v>
      </c>
      <c r="F1329" s="111"/>
      <c r="G1329" s="111"/>
      <c r="H1329" s="112"/>
      <c r="I1329" s="110">
        <v>0</v>
      </c>
      <c r="J1329" s="111">
        <v>0</v>
      </c>
      <c r="K1329" s="111"/>
      <c r="L1329" s="111"/>
      <c r="M1329" s="112"/>
    </row>
    <row r="1330" spans="1:13" x14ac:dyDescent="0.2">
      <c r="A1330" s="117" t="s">
        <v>35</v>
      </c>
      <c r="B1330" s="117" t="s">
        <v>140</v>
      </c>
      <c r="C1330" s="117" t="s">
        <v>225</v>
      </c>
      <c r="D1330" s="118">
        <v>250000</v>
      </c>
      <c r="E1330" s="119"/>
      <c r="F1330" s="119"/>
      <c r="G1330" s="119"/>
      <c r="H1330" s="120"/>
      <c r="I1330" s="118">
        <v>0</v>
      </c>
      <c r="J1330" s="119"/>
      <c r="K1330" s="119"/>
      <c r="L1330" s="119"/>
      <c r="M1330" s="120"/>
    </row>
    <row r="1331" spans="1:13" x14ac:dyDescent="0.2">
      <c r="A1331" t="s">
        <v>35</v>
      </c>
      <c r="B1331" t="s">
        <v>105</v>
      </c>
      <c r="C1331" t="s">
        <v>222</v>
      </c>
      <c r="D1331" s="110">
        <v>345425.37</v>
      </c>
      <c r="E1331" s="111">
        <v>340958.37</v>
      </c>
      <c r="F1331" s="111">
        <v>338508.37</v>
      </c>
      <c r="G1331" s="111">
        <v>338259.37</v>
      </c>
      <c r="H1331" s="112"/>
      <c r="I1331" s="110">
        <v>66875.41</v>
      </c>
      <c r="J1331" s="111">
        <v>92639.55</v>
      </c>
      <c r="K1331" s="111">
        <v>109643.19</v>
      </c>
      <c r="L1331" s="111">
        <v>118788.89</v>
      </c>
      <c r="M1331" s="112"/>
    </row>
    <row r="1332" spans="1:13" x14ac:dyDescent="0.2">
      <c r="A1332" s="113" t="s">
        <v>35</v>
      </c>
      <c r="B1332" s="113" t="s">
        <v>105</v>
      </c>
      <c r="C1332" s="113" t="s">
        <v>223</v>
      </c>
      <c r="D1332" s="114">
        <v>281073</v>
      </c>
      <c r="E1332" s="115">
        <v>278668</v>
      </c>
      <c r="F1332" s="115">
        <v>276293.5</v>
      </c>
      <c r="G1332" s="115"/>
      <c r="H1332" s="116"/>
      <c r="I1332" s="114">
        <v>61598</v>
      </c>
      <c r="J1332" s="115">
        <v>81432.100000000006</v>
      </c>
      <c r="K1332" s="115">
        <v>94300.94</v>
      </c>
      <c r="L1332" s="115"/>
      <c r="M1332" s="116"/>
    </row>
    <row r="1333" spans="1:13" x14ac:dyDescent="0.2">
      <c r="A1333" t="s">
        <v>35</v>
      </c>
      <c r="B1333" t="s">
        <v>105</v>
      </c>
      <c r="C1333" t="s">
        <v>224</v>
      </c>
      <c r="D1333" s="110">
        <v>144599.15</v>
      </c>
      <c r="E1333" s="111">
        <v>142604.15</v>
      </c>
      <c r="F1333" s="111"/>
      <c r="G1333" s="111"/>
      <c r="H1333" s="112"/>
      <c r="I1333" s="110">
        <v>39017.120000000003</v>
      </c>
      <c r="J1333" s="111">
        <v>48163.07</v>
      </c>
      <c r="K1333" s="111"/>
      <c r="L1333" s="111"/>
      <c r="M1333" s="112"/>
    </row>
    <row r="1334" spans="1:13" x14ac:dyDescent="0.2">
      <c r="A1334" s="117" t="s">
        <v>35</v>
      </c>
      <c r="B1334" s="117" t="s">
        <v>105</v>
      </c>
      <c r="C1334" s="117" t="s">
        <v>225</v>
      </c>
      <c r="D1334" s="118">
        <v>267890</v>
      </c>
      <c r="E1334" s="119"/>
      <c r="F1334" s="119"/>
      <c r="G1334" s="119"/>
      <c r="H1334" s="120"/>
      <c r="I1334" s="118">
        <v>54017.25</v>
      </c>
      <c r="J1334" s="119"/>
      <c r="K1334" s="119"/>
      <c r="L1334" s="119"/>
      <c r="M1334" s="120"/>
    </row>
    <row r="1335" spans="1:13" x14ac:dyDescent="0.2">
      <c r="A1335" t="s">
        <v>35</v>
      </c>
      <c r="B1335" t="s">
        <v>111</v>
      </c>
      <c r="C1335" t="s">
        <v>222</v>
      </c>
      <c r="D1335" s="110">
        <v>16280.5</v>
      </c>
      <c r="E1335" s="111">
        <v>16280.5</v>
      </c>
      <c r="F1335" s="111">
        <v>16280.5</v>
      </c>
      <c r="G1335" s="111">
        <v>16280.5</v>
      </c>
      <c r="H1335" s="112"/>
      <c r="I1335" s="110">
        <v>87.5</v>
      </c>
      <c r="J1335" s="111">
        <v>162.19999999999999</v>
      </c>
      <c r="K1335" s="111">
        <v>728.5</v>
      </c>
      <c r="L1335" s="111">
        <v>753.5</v>
      </c>
      <c r="M1335" s="112"/>
    </row>
    <row r="1336" spans="1:13" x14ac:dyDescent="0.2">
      <c r="A1336" s="113" t="s">
        <v>35</v>
      </c>
      <c r="B1336" s="113" t="s">
        <v>111</v>
      </c>
      <c r="C1336" s="113" t="s">
        <v>223</v>
      </c>
      <c r="D1336" s="114">
        <v>14722</v>
      </c>
      <c r="E1336" s="115">
        <v>14722</v>
      </c>
      <c r="F1336" s="115">
        <v>14722</v>
      </c>
      <c r="G1336" s="115"/>
      <c r="H1336" s="116"/>
      <c r="I1336" s="114">
        <v>766</v>
      </c>
      <c r="J1336" s="115">
        <v>766</v>
      </c>
      <c r="K1336" s="115">
        <v>984</v>
      </c>
      <c r="L1336" s="115"/>
      <c r="M1336" s="116"/>
    </row>
    <row r="1337" spans="1:13" x14ac:dyDescent="0.2">
      <c r="A1337" t="s">
        <v>35</v>
      </c>
      <c r="B1337" t="s">
        <v>111</v>
      </c>
      <c r="C1337" t="s">
        <v>224</v>
      </c>
      <c r="D1337" s="110">
        <v>4323.5</v>
      </c>
      <c r="E1337" s="111">
        <v>4323.5</v>
      </c>
      <c r="F1337" s="111"/>
      <c r="G1337" s="111"/>
      <c r="H1337" s="112"/>
      <c r="I1337" s="110">
        <v>59.5</v>
      </c>
      <c r="J1337" s="111">
        <v>59.5</v>
      </c>
      <c r="K1337" s="111"/>
      <c r="L1337" s="111"/>
      <c r="M1337" s="112"/>
    </row>
    <row r="1338" spans="1:13" x14ac:dyDescent="0.2">
      <c r="A1338" s="117" t="s">
        <v>35</v>
      </c>
      <c r="B1338" s="117" t="s">
        <v>111</v>
      </c>
      <c r="C1338" s="117" t="s">
        <v>225</v>
      </c>
      <c r="D1338" s="118">
        <v>8158.5</v>
      </c>
      <c r="E1338" s="119"/>
      <c r="F1338" s="119"/>
      <c r="G1338" s="119"/>
      <c r="H1338" s="120"/>
      <c r="I1338" s="118">
        <v>217.5</v>
      </c>
      <c r="J1338" s="119"/>
      <c r="K1338" s="119"/>
      <c r="L1338" s="119"/>
      <c r="M1338" s="120"/>
    </row>
    <row r="1339" spans="1:13" x14ac:dyDescent="0.2">
      <c r="A1339" s="124" t="s">
        <v>35</v>
      </c>
      <c r="B1339" s="124" t="s">
        <v>109</v>
      </c>
      <c r="C1339" s="124" t="s">
        <v>222</v>
      </c>
      <c r="D1339" s="125">
        <v>439711.63</v>
      </c>
      <c r="E1339" s="126">
        <v>438685.63</v>
      </c>
      <c r="F1339" s="126">
        <v>438503.63</v>
      </c>
      <c r="G1339" s="126">
        <v>438414.63</v>
      </c>
      <c r="H1339" s="127"/>
      <c r="I1339" s="125">
        <v>171003.58</v>
      </c>
      <c r="J1339" s="126">
        <v>222246.85</v>
      </c>
      <c r="K1339" s="126">
        <v>249277.51</v>
      </c>
      <c r="L1339" s="126">
        <v>270210.26</v>
      </c>
      <c r="M1339" s="127"/>
    </row>
    <row r="1340" spans="1:13" x14ac:dyDescent="0.2">
      <c r="A1340" s="113" t="s">
        <v>35</v>
      </c>
      <c r="B1340" s="113" t="s">
        <v>109</v>
      </c>
      <c r="C1340" s="113" t="s">
        <v>223</v>
      </c>
      <c r="D1340" s="114">
        <v>375631</v>
      </c>
      <c r="E1340" s="115">
        <v>375106</v>
      </c>
      <c r="F1340" s="115">
        <v>374599</v>
      </c>
      <c r="G1340" s="115"/>
      <c r="H1340" s="116"/>
      <c r="I1340" s="114">
        <v>147375.57</v>
      </c>
      <c r="J1340" s="115">
        <v>176769.48</v>
      </c>
      <c r="K1340" s="115">
        <v>200997.42</v>
      </c>
      <c r="L1340" s="115"/>
      <c r="M1340" s="116"/>
    </row>
    <row r="1341" spans="1:13" x14ac:dyDescent="0.2">
      <c r="A1341" t="s">
        <v>35</v>
      </c>
      <c r="B1341" t="s">
        <v>109</v>
      </c>
      <c r="C1341" t="s">
        <v>224</v>
      </c>
      <c r="D1341" s="110">
        <v>136463.5</v>
      </c>
      <c r="E1341" s="111">
        <v>136341.5</v>
      </c>
      <c r="F1341" s="111"/>
      <c r="G1341" s="111"/>
      <c r="H1341" s="112"/>
      <c r="I1341" s="110">
        <v>57122.37</v>
      </c>
      <c r="J1341" s="111">
        <v>73180.45</v>
      </c>
      <c r="K1341" s="111"/>
      <c r="L1341" s="111"/>
      <c r="M1341" s="112"/>
    </row>
    <row r="1342" spans="1:13" x14ac:dyDescent="0.2">
      <c r="A1342" s="117" t="s">
        <v>35</v>
      </c>
      <c r="B1342" s="117" t="s">
        <v>109</v>
      </c>
      <c r="C1342" s="117" t="s">
        <v>225</v>
      </c>
      <c r="D1342" s="118">
        <v>372014.51</v>
      </c>
      <c r="E1342" s="119"/>
      <c r="F1342" s="119"/>
      <c r="G1342" s="119"/>
      <c r="H1342" s="120"/>
      <c r="I1342" s="118">
        <v>164819.73000000001</v>
      </c>
      <c r="J1342" s="119"/>
      <c r="K1342" s="119"/>
      <c r="L1342" s="119"/>
      <c r="M1342" s="120"/>
    </row>
    <row r="1343" spans="1:13" x14ac:dyDescent="0.2">
      <c r="A1343" t="s">
        <v>35</v>
      </c>
      <c r="B1343" t="s">
        <v>106</v>
      </c>
      <c r="C1343" t="s">
        <v>222</v>
      </c>
      <c r="D1343" s="110">
        <v>421891.63</v>
      </c>
      <c r="E1343" s="111">
        <v>421776.63</v>
      </c>
      <c r="F1343" s="111">
        <v>421776.63</v>
      </c>
      <c r="G1343" s="111">
        <v>421776.63</v>
      </c>
      <c r="H1343" s="112"/>
      <c r="I1343" s="110">
        <v>416903.63</v>
      </c>
      <c r="J1343" s="111">
        <v>418997.13</v>
      </c>
      <c r="K1343" s="111">
        <v>418997.13</v>
      </c>
      <c r="L1343" s="111">
        <v>419097.13</v>
      </c>
      <c r="M1343" s="112"/>
    </row>
    <row r="1344" spans="1:13" x14ac:dyDescent="0.2">
      <c r="A1344" s="113" t="s">
        <v>35</v>
      </c>
      <c r="B1344" s="113" t="s">
        <v>106</v>
      </c>
      <c r="C1344" s="113" t="s">
        <v>223</v>
      </c>
      <c r="D1344" s="114">
        <v>405978.63</v>
      </c>
      <c r="E1344" s="115">
        <v>405967.63</v>
      </c>
      <c r="F1344" s="115">
        <v>405967.63</v>
      </c>
      <c r="G1344" s="115"/>
      <c r="H1344" s="116"/>
      <c r="I1344" s="114">
        <v>401428.33</v>
      </c>
      <c r="J1344" s="115">
        <v>403399.13</v>
      </c>
      <c r="K1344" s="115">
        <v>403399.13</v>
      </c>
      <c r="L1344" s="115"/>
      <c r="M1344" s="116"/>
    </row>
    <row r="1345" spans="1:13" x14ac:dyDescent="0.2">
      <c r="A1345" t="s">
        <v>35</v>
      </c>
      <c r="B1345" t="s">
        <v>106</v>
      </c>
      <c r="C1345" t="s">
        <v>224</v>
      </c>
      <c r="D1345" s="110">
        <v>214429.8</v>
      </c>
      <c r="E1345" s="111">
        <v>214429.8</v>
      </c>
      <c r="F1345" s="111"/>
      <c r="G1345" s="111"/>
      <c r="H1345" s="112"/>
      <c r="I1345" s="110">
        <v>209115.8</v>
      </c>
      <c r="J1345" s="111">
        <v>210150.8</v>
      </c>
      <c r="K1345" s="111"/>
      <c r="L1345" s="111"/>
      <c r="M1345" s="112"/>
    </row>
    <row r="1346" spans="1:13" x14ac:dyDescent="0.2">
      <c r="A1346" s="117" t="s">
        <v>35</v>
      </c>
      <c r="B1346" s="117" t="s">
        <v>106</v>
      </c>
      <c r="C1346" s="117" t="s">
        <v>225</v>
      </c>
      <c r="D1346" s="118">
        <v>263523.5</v>
      </c>
      <c r="E1346" s="119"/>
      <c r="F1346" s="119"/>
      <c r="G1346" s="119"/>
      <c r="H1346" s="120"/>
      <c r="I1346" s="118">
        <v>258019</v>
      </c>
      <c r="J1346" s="119"/>
      <c r="K1346" s="119"/>
      <c r="L1346" s="119"/>
      <c r="M1346" s="120"/>
    </row>
    <row r="1347" spans="1:13" x14ac:dyDescent="0.2">
      <c r="A1347" t="s">
        <v>35</v>
      </c>
      <c r="B1347" t="s">
        <v>107</v>
      </c>
      <c r="C1347" t="s">
        <v>222</v>
      </c>
      <c r="D1347" s="110">
        <v>460026.43</v>
      </c>
      <c r="E1347" s="111">
        <v>460026.43</v>
      </c>
      <c r="F1347" s="111">
        <v>460026.43</v>
      </c>
      <c r="G1347" s="111">
        <v>460026.43</v>
      </c>
      <c r="H1347" s="112"/>
      <c r="I1347" s="110">
        <v>459612.93</v>
      </c>
      <c r="J1347" s="111">
        <v>459612.93</v>
      </c>
      <c r="K1347" s="111">
        <v>459612.93</v>
      </c>
      <c r="L1347" s="111">
        <v>459612.93</v>
      </c>
      <c r="M1347" s="112"/>
    </row>
    <row r="1348" spans="1:13" x14ac:dyDescent="0.2">
      <c r="A1348" s="113" t="s">
        <v>35</v>
      </c>
      <c r="B1348" s="113" t="s">
        <v>107</v>
      </c>
      <c r="C1348" s="113" t="s">
        <v>223</v>
      </c>
      <c r="D1348" s="114">
        <v>480778.33</v>
      </c>
      <c r="E1348" s="115">
        <v>480778.33</v>
      </c>
      <c r="F1348" s="115">
        <v>480778.33</v>
      </c>
      <c r="G1348" s="115"/>
      <c r="H1348" s="116"/>
      <c r="I1348" s="114">
        <v>480427.33</v>
      </c>
      <c r="J1348" s="115">
        <v>480427.33</v>
      </c>
      <c r="K1348" s="115">
        <v>480427.33</v>
      </c>
      <c r="L1348" s="115"/>
      <c r="M1348" s="116"/>
    </row>
    <row r="1349" spans="1:13" x14ac:dyDescent="0.2">
      <c r="A1349" t="s">
        <v>35</v>
      </c>
      <c r="B1349" t="s">
        <v>107</v>
      </c>
      <c r="C1349" t="s">
        <v>224</v>
      </c>
      <c r="D1349" s="110">
        <v>264065.65999999997</v>
      </c>
      <c r="E1349" s="111">
        <v>263890.65999999997</v>
      </c>
      <c r="F1349" s="111"/>
      <c r="G1349" s="111"/>
      <c r="H1349" s="112"/>
      <c r="I1349" s="110">
        <v>262691.65999999997</v>
      </c>
      <c r="J1349" s="111">
        <v>262698.65999999997</v>
      </c>
      <c r="K1349" s="111"/>
      <c r="L1349" s="111"/>
      <c r="M1349" s="112"/>
    </row>
    <row r="1350" spans="1:13" x14ac:dyDescent="0.2">
      <c r="A1350" s="117" t="s">
        <v>35</v>
      </c>
      <c r="B1350" s="117" t="s">
        <v>107</v>
      </c>
      <c r="C1350" s="117" t="s">
        <v>225</v>
      </c>
      <c r="D1350" s="118">
        <v>312847.08</v>
      </c>
      <c r="E1350" s="119"/>
      <c r="F1350" s="119"/>
      <c r="G1350" s="119"/>
      <c r="H1350" s="120"/>
      <c r="I1350" s="118">
        <v>312047.08</v>
      </c>
      <c r="J1350" s="119"/>
      <c r="K1350" s="119"/>
      <c r="L1350" s="119"/>
      <c r="M1350" s="120"/>
    </row>
    <row r="1351" spans="1:13" x14ac:dyDescent="0.2">
      <c r="A1351" t="s">
        <v>35</v>
      </c>
      <c r="B1351" t="s">
        <v>108</v>
      </c>
      <c r="C1351" t="s">
        <v>222</v>
      </c>
      <c r="D1351" s="110">
        <v>119060.37</v>
      </c>
      <c r="E1351" s="111">
        <v>118570.37</v>
      </c>
      <c r="F1351" s="111">
        <v>118570.37</v>
      </c>
      <c r="G1351" s="111">
        <v>118570.37</v>
      </c>
      <c r="H1351" s="112"/>
      <c r="I1351" s="110">
        <v>116743.37</v>
      </c>
      <c r="J1351" s="111">
        <v>117138.37</v>
      </c>
      <c r="K1351" s="111">
        <v>117138.37</v>
      </c>
      <c r="L1351" s="111">
        <v>117138.37</v>
      </c>
      <c r="M1351" s="112"/>
    </row>
    <row r="1352" spans="1:13" x14ac:dyDescent="0.2">
      <c r="A1352" s="113" t="s">
        <v>35</v>
      </c>
      <c r="B1352" s="113" t="s">
        <v>108</v>
      </c>
      <c r="C1352" s="113" t="s">
        <v>223</v>
      </c>
      <c r="D1352" s="114">
        <v>124561.14</v>
      </c>
      <c r="E1352" s="115">
        <v>124216.14</v>
      </c>
      <c r="F1352" s="115">
        <v>124216.14</v>
      </c>
      <c r="G1352" s="115"/>
      <c r="H1352" s="116"/>
      <c r="I1352" s="114">
        <v>122421.14</v>
      </c>
      <c r="J1352" s="115">
        <v>123461.14</v>
      </c>
      <c r="K1352" s="115">
        <v>123711.14</v>
      </c>
      <c r="L1352" s="115"/>
      <c r="M1352" s="116"/>
    </row>
    <row r="1353" spans="1:13" x14ac:dyDescent="0.2">
      <c r="A1353" t="s">
        <v>35</v>
      </c>
      <c r="B1353" t="s">
        <v>108</v>
      </c>
      <c r="C1353" t="s">
        <v>224</v>
      </c>
      <c r="D1353" s="110">
        <v>126280.53</v>
      </c>
      <c r="E1353" s="111">
        <v>125700.53</v>
      </c>
      <c r="F1353" s="111"/>
      <c r="G1353" s="111"/>
      <c r="H1353" s="112"/>
      <c r="I1353" s="110">
        <v>124769.53</v>
      </c>
      <c r="J1353" s="111">
        <v>125105.53</v>
      </c>
      <c r="K1353" s="111"/>
      <c r="L1353" s="111"/>
      <c r="M1353" s="112"/>
    </row>
    <row r="1354" spans="1:13" x14ac:dyDescent="0.2">
      <c r="A1354" s="117" t="s">
        <v>35</v>
      </c>
      <c r="B1354" s="117" t="s">
        <v>108</v>
      </c>
      <c r="C1354" s="117" t="s">
        <v>225</v>
      </c>
      <c r="D1354" s="118">
        <v>146341.79999999999</v>
      </c>
      <c r="E1354" s="119"/>
      <c r="F1354" s="119"/>
      <c r="G1354" s="119"/>
      <c r="H1354" s="120"/>
      <c r="I1354" s="118">
        <v>143669.79999999999</v>
      </c>
      <c r="J1354" s="119"/>
      <c r="K1354" s="119"/>
      <c r="L1354" s="119"/>
      <c r="M1354" s="120"/>
    </row>
    <row r="1355" spans="1:13" x14ac:dyDescent="0.2">
      <c r="A1355" t="s">
        <v>35</v>
      </c>
      <c r="B1355" t="s">
        <v>70</v>
      </c>
      <c r="C1355" t="s">
        <v>222</v>
      </c>
      <c r="D1355" s="110">
        <v>186824</v>
      </c>
      <c r="E1355" s="111">
        <v>185361.5</v>
      </c>
      <c r="F1355" s="111">
        <v>185361.5</v>
      </c>
      <c r="G1355" s="111">
        <v>185361.5</v>
      </c>
      <c r="H1355" s="112"/>
      <c r="I1355" s="110">
        <v>156650.64000000001</v>
      </c>
      <c r="J1355" s="111">
        <v>164552.28</v>
      </c>
      <c r="K1355" s="111">
        <v>165079.85</v>
      </c>
      <c r="L1355" s="111">
        <v>165398</v>
      </c>
      <c r="M1355" s="112"/>
    </row>
    <row r="1356" spans="1:13" x14ac:dyDescent="0.2">
      <c r="A1356" s="113" t="s">
        <v>35</v>
      </c>
      <c r="B1356" s="113" t="s">
        <v>70</v>
      </c>
      <c r="C1356" s="113" t="s">
        <v>223</v>
      </c>
      <c r="D1356" s="114">
        <v>182542.95</v>
      </c>
      <c r="E1356" s="115">
        <v>179910.45</v>
      </c>
      <c r="F1356" s="115">
        <v>179502.95</v>
      </c>
      <c r="G1356" s="115"/>
      <c r="H1356" s="116"/>
      <c r="I1356" s="114">
        <v>163126.22</v>
      </c>
      <c r="J1356" s="115">
        <v>167713.65</v>
      </c>
      <c r="K1356" s="115">
        <v>167844.15</v>
      </c>
      <c r="L1356" s="115"/>
      <c r="M1356" s="116"/>
    </row>
    <row r="1357" spans="1:13" x14ac:dyDescent="0.2">
      <c r="A1357" t="s">
        <v>35</v>
      </c>
      <c r="B1357" t="s">
        <v>70</v>
      </c>
      <c r="C1357" t="s">
        <v>224</v>
      </c>
      <c r="D1357" s="110">
        <v>165691.15</v>
      </c>
      <c r="E1357" s="111">
        <v>164626.15</v>
      </c>
      <c r="F1357" s="111"/>
      <c r="G1357" s="111"/>
      <c r="H1357" s="112"/>
      <c r="I1357" s="110">
        <v>138277.65</v>
      </c>
      <c r="J1357" s="111">
        <v>143282.15</v>
      </c>
      <c r="K1357" s="111"/>
      <c r="L1357" s="111"/>
      <c r="M1357" s="112"/>
    </row>
    <row r="1358" spans="1:13" x14ac:dyDescent="0.2">
      <c r="A1358" s="117" t="s">
        <v>35</v>
      </c>
      <c r="B1358" s="117" t="s">
        <v>70</v>
      </c>
      <c r="C1358" s="117" t="s">
        <v>225</v>
      </c>
      <c r="D1358" s="118">
        <v>191785.75</v>
      </c>
      <c r="E1358" s="119"/>
      <c r="F1358" s="119"/>
      <c r="G1358" s="119"/>
      <c r="H1358" s="120"/>
      <c r="I1358" s="118">
        <v>171533.75</v>
      </c>
      <c r="J1358" s="119"/>
      <c r="K1358" s="119"/>
      <c r="L1358" s="119"/>
      <c r="M1358" s="120"/>
    </row>
    <row r="1359" spans="1:13" x14ac:dyDescent="0.2">
      <c r="A1359" t="s">
        <v>35</v>
      </c>
      <c r="B1359" t="s">
        <v>110</v>
      </c>
      <c r="C1359" t="s">
        <v>222</v>
      </c>
      <c r="D1359" s="110">
        <v>1113531.5900000001</v>
      </c>
      <c r="E1359" s="111">
        <v>1106307.3899999999</v>
      </c>
      <c r="F1359" s="111">
        <v>1101600.1399999999</v>
      </c>
      <c r="G1359" s="111">
        <v>1099813.1399999999</v>
      </c>
      <c r="H1359" s="112"/>
      <c r="I1359" s="110">
        <v>575657.05000000005</v>
      </c>
      <c r="J1359" s="111">
        <v>942027.67</v>
      </c>
      <c r="K1359" s="111">
        <v>991968</v>
      </c>
      <c r="L1359" s="111">
        <v>1010186.5</v>
      </c>
      <c r="M1359" s="112"/>
    </row>
    <row r="1360" spans="1:13" x14ac:dyDescent="0.2">
      <c r="A1360" s="113" t="s">
        <v>35</v>
      </c>
      <c r="B1360" s="113" t="s">
        <v>110</v>
      </c>
      <c r="C1360" s="113" t="s">
        <v>223</v>
      </c>
      <c r="D1360" s="114">
        <v>1071365.48</v>
      </c>
      <c r="E1360" s="115">
        <v>1069252.28</v>
      </c>
      <c r="F1360" s="115">
        <v>1066937.08</v>
      </c>
      <c r="G1360" s="115"/>
      <c r="H1360" s="116"/>
      <c r="I1360" s="114">
        <v>604460.76</v>
      </c>
      <c r="J1360" s="115">
        <v>852306.68</v>
      </c>
      <c r="K1360" s="115">
        <v>888023.53</v>
      </c>
      <c r="L1360" s="115"/>
      <c r="M1360" s="116"/>
    </row>
    <row r="1361" spans="1:13" x14ac:dyDescent="0.2">
      <c r="A1361" t="s">
        <v>35</v>
      </c>
      <c r="B1361" t="s">
        <v>110</v>
      </c>
      <c r="C1361" t="s">
        <v>224</v>
      </c>
      <c r="D1361" s="110">
        <v>646433.18000000005</v>
      </c>
      <c r="E1361" s="111">
        <v>640688.57999999996</v>
      </c>
      <c r="F1361" s="111"/>
      <c r="G1361" s="111"/>
      <c r="H1361" s="112"/>
      <c r="I1361" s="110">
        <v>287406.18</v>
      </c>
      <c r="J1361" s="111">
        <v>485039.68</v>
      </c>
      <c r="K1361" s="111"/>
      <c r="L1361" s="111"/>
      <c r="M1361" s="112"/>
    </row>
    <row r="1362" spans="1:13" ht="13.5" thickBot="1" x14ac:dyDescent="0.25">
      <c r="A1362" s="128" t="s">
        <v>35</v>
      </c>
      <c r="B1362" s="128" t="s">
        <v>110</v>
      </c>
      <c r="C1362" s="128" t="s">
        <v>225</v>
      </c>
      <c r="D1362" s="129">
        <v>947893.5</v>
      </c>
      <c r="E1362" s="130"/>
      <c r="F1362" s="130"/>
      <c r="G1362" s="130"/>
      <c r="H1362" s="131"/>
      <c r="I1362" s="129">
        <v>431189</v>
      </c>
      <c r="J1362" s="130"/>
      <c r="K1362" s="130"/>
      <c r="L1362" s="130"/>
      <c r="M1362" s="131"/>
    </row>
    <row r="1363" spans="1:13" x14ac:dyDescent="0.2">
      <c r="A1363" s="132" t="s">
        <v>36</v>
      </c>
      <c r="B1363" s="132" t="s">
        <v>104</v>
      </c>
      <c r="C1363" s="132" t="s">
        <v>222</v>
      </c>
      <c r="D1363" s="133">
        <v>1425911</v>
      </c>
      <c r="E1363" s="134">
        <v>1362922</v>
      </c>
      <c r="F1363" s="134">
        <v>1418572</v>
      </c>
      <c r="G1363" s="134">
        <v>1362266</v>
      </c>
      <c r="H1363" s="135"/>
      <c r="I1363" s="133">
        <v>37954</v>
      </c>
      <c r="J1363" s="134">
        <v>74004</v>
      </c>
      <c r="K1363" s="134">
        <v>106897</v>
      </c>
      <c r="L1363" s="134">
        <v>124607</v>
      </c>
      <c r="M1363" s="135"/>
    </row>
    <row r="1364" spans="1:13" x14ac:dyDescent="0.2">
      <c r="A1364" s="113" t="s">
        <v>36</v>
      </c>
      <c r="B1364" s="113" t="s">
        <v>104</v>
      </c>
      <c r="C1364" s="113" t="s">
        <v>223</v>
      </c>
      <c r="D1364" s="114">
        <v>961763</v>
      </c>
      <c r="E1364" s="115">
        <v>1016427</v>
      </c>
      <c r="F1364" s="115">
        <v>960913</v>
      </c>
      <c r="G1364" s="115"/>
      <c r="H1364" s="116"/>
      <c r="I1364" s="114">
        <v>40396</v>
      </c>
      <c r="J1364" s="115">
        <v>62673</v>
      </c>
      <c r="K1364" s="115">
        <v>73634</v>
      </c>
      <c r="L1364" s="115"/>
      <c r="M1364" s="116"/>
    </row>
    <row r="1365" spans="1:13" x14ac:dyDescent="0.2">
      <c r="A1365" t="s">
        <v>36</v>
      </c>
      <c r="B1365" t="s">
        <v>104</v>
      </c>
      <c r="C1365" t="s">
        <v>224</v>
      </c>
      <c r="D1365" s="110">
        <v>210830</v>
      </c>
      <c r="E1365" s="111">
        <v>172104</v>
      </c>
      <c r="F1365" s="111"/>
      <c r="G1365" s="111"/>
      <c r="H1365" s="112"/>
      <c r="I1365" s="110">
        <v>35396</v>
      </c>
      <c r="J1365" s="111">
        <v>45765</v>
      </c>
      <c r="K1365" s="111"/>
      <c r="L1365" s="111"/>
      <c r="M1365" s="112"/>
    </row>
    <row r="1366" spans="1:13" x14ac:dyDescent="0.2">
      <c r="A1366" s="117" t="s">
        <v>36</v>
      </c>
      <c r="B1366" s="117" t="s">
        <v>104</v>
      </c>
      <c r="C1366" s="117" t="s">
        <v>225</v>
      </c>
      <c r="D1366" s="118">
        <v>736772</v>
      </c>
      <c r="E1366" s="119"/>
      <c r="F1366" s="119"/>
      <c r="G1366" s="119"/>
      <c r="H1366" s="120"/>
      <c r="I1366" s="118">
        <v>30121</v>
      </c>
      <c r="J1366" s="119"/>
      <c r="K1366" s="119"/>
      <c r="L1366" s="119"/>
      <c r="M1366" s="120"/>
    </row>
    <row r="1367" spans="1:13" x14ac:dyDescent="0.2">
      <c r="A1367" t="s">
        <v>36</v>
      </c>
      <c r="B1367" t="s">
        <v>140</v>
      </c>
      <c r="C1367" t="s">
        <v>222</v>
      </c>
      <c r="D1367" s="110">
        <v>409517</v>
      </c>
      <c r="E1367" s="111">
        <v>408758</v>
      </c>
      <c r="F1367" s="111">
        <v>419061</v>
      </c>
      <c r="G1367" s="111">
        <v>408965</v>
      </c>
      <c r="H1367" s="112"/>
      <c r="I1367" s="110">
        <v>2190</v>
      </c>
      <c r="J1367" s="111">
        <v>9164</v>
      </c>
      <c r="K1367" s="111">
        <v>14182</v>
      </c>
      <c r="L1367" s="111">
        <v>17327</v>
      </c>
      <c r="M1367" s="112"/>
    </row>
    <row r="1368" spans="1:13" x14ac:dyDescent="0.2">
      <c r="A1368" s="113" t="s">
        <v>36</v>
      </c>
      <c r="B1368" s="113" t="s">
        <v>140</v>
      </c>
      <c r="C1368" s="113" t="s">
        <v>223</v>
      </c>
      <c r="D1368" s="114">
        <v>333863</v>
      </c>
      <c r="E1368" s="115">
        <v>342681</v>
      </c>
      <c r="F1368" s="115">
        <v>333209</v>
      </c>
      <c r="G1368" s="115"/>
      <c r="H1368" s="116"/>
      <c r="I1368" s="114">
        <v>4428</v>
      </c>
      <c r="J1368" s="115">
        <v>8187</v>
      </c>
      <c r="K1368" s="115">
        <v>10719</v>
      </c>
      <c r="L1368" s="115"/>
      <c r="M1368" s="116"/>
    </row>
    <row r="1369" spans="1:13" x14ac:dyDescent="0.2">
      <c r="A1369" t="s">
        <v>36</v>
      </c>
      <c r="B1369" t="s">
        <v>140</v>
      </c>
      <c r="C1369" t="s">
        <v>224</v>
      </c>
      <c r="D1369" s="110">
        <v>37225</v>
      </c>
      <c r="E1369" s="111">
        <v>31399</v>
      </c>
      <c r="F1369" s="111"/>
      <c r="G1369" s="111"/>
      <c r="H1369" s="112"/>
      <c r="I1369" s="110">
        <v>2722</v>
      </c>
      <c r="J1369" s="111">
        <v>4481</v>
      </c>
      <c r="K1369" s="111"/>
      <c r="L1369" s="111"/>
      <c r="M1369" s="112"/>
    </row>
    <row r="1370" spans="1:13" x14ac:dyDescent="0.2">
      <c r="A1370" s="117" t="s">
        <v>36</v>
      </c>
      <c r="B1370" s="117" t="s">
        <v>140</v>
      </c>
      <c r="C1370" s="117" t="s">
        <v>225</v>
      </c>
      <c r="D1370" s="118">
        <v>321089</v>
      </c>
      <c r="E1370" s="119"/>
      <c r="F1370" s="119"/>
      <c r="G1370" s="119"/>
      <c r="H1370" s="120"/>
      <c r="I1370" s="118">
        <v>5122</v>
      </c>
      <c r="J1370" s="119"/>
      <c r="K1370" s="119"/>
      <c r="L1370" s="119"/>
      <c r="M1370" s="120"/>
    </row>
    <row r="1371" spans="1:13" x14ac:dyDescent="0.2">
      <c r="A1371" t="s">
        <v>36</v>
      </c>
      <c r="B1371" t="s">
        <v>105</v>
      </c>
      <c r="C1371" t="s">
        <v>222</v>
      </c>
      <c r="D1371" s="110">
        <v>404502</v>
      </c>
      <c r="E1371" s="111">
        <v>395898</v>
      </c>
      <c r="F1371" s="111">
        <v>390134</v>
      </c>
      <c r="G1371" s="111">
        <v>388530</v>
      </c>
      <c r="H1371" s="112"/>
      <c r="I1371" s="110">
        <v>93310</v>
      </c>
      <c r="J1371" s="111">
        <v>147379</v>
      </c>
      <c r="K1371" s="111">
        <v>174818</v>
      </c>
      <c r="L1371" s="111">
        <v>190911</v>
      </c>
      <c r="M1371" s="112"/>
    </row>
    <row r="1372" spans="1:13" x14ac:dyDescent="0.2">
      <c r="A1372" s="113" t="s">
        <v>36</v>
      </c>
      <c r="B1372" s="113" t="s">
        <v>105</v>
      </c>
      <c r="C1372" s="113" t="s">
        <v>223</v>
      </c>
      <c r="D1372" s="114">
        <v>360543</v>
      </c>
      <c r="E1372" s="115">
        <v>352930</v>
      </c>
      <c r="F1372" s="115">
        <v>345089</v>
      </c>
      <c r="G1372" s="115"/>
      <c r="H1372" s="116"/>
      <c r="I1372" s="114">
        <v>82055</v>
      </c>
      <c r="J1372" s="115">
        <v>115569</v>
      </c>
      <c r="K1372" s="115">
        <v>139239</v>
      </c>
      <c r="L1372" s="115"/>
      <c r="M1372" s="116"/>
    </row>
    <row r="1373" spans="1:13" x14ac:dyDescent="0.2">
      <c r="A1373" t="s">
        <v>36</v>
      </c>
      <c r="B1373" t="s">
        <v>105</v>
      </c>
      <c r="C1373" t="s">
        <v>224</v>
      </c>
      <c r="D1373" s="110">
        <v>148482</v>
      </c>
      <c r="E1373" s="111">
        <v>145435</v>
      </c>
      <c r="F1373" s="111"/>
      <c r="G1373" s="111"/>
      <c r="H1373" s="112"/>
      <c r="I1373" s="110">
        <v>41544</v>
      </c>
      <c r="J1373" s="111">
        <v>55144</v>
      </c>
      <c r="K1373" s="111"/>
      <c r="L1373" s="111"/>
      <c r="M1373" s="112"/>
    </row>
    <row r="1374" spans="1:13" x14ac:dyDescent="0.2">
      <c r="A1374" s="117" t="s">
        <v>36</v>
      </c>
      <c r="B1374" s="117" t="s">
        <v>105</v>
      </c>
      <c r="C1374" s="117" t="s">
        <v>225</v>
      </c>
      <c r="D1374" s="118">
        <v>284511</v>
      </c>
      <c r="E1374" s="119"/>
      <c r="F1374" s="119"/>
      <c r="G1374" s="119"/>
      <c r="H1374" s="120"/>
      <c r="I1374" s="118">
        <v>60840</v>
      </c>
      <c r="J1374" s="119"/>
      <c r="K1374" s="119"/>
      <c r="L1374" s="119"/>
      <c r="M1374" s="120"/>
    </row>
    <row r="1375" spans="1:13" x14ac:dyDescent="0.2">
      <c r="A1375" t="s">
        <v>36</v>
      </c>
      <c r="B1375" t="s">
        <v>111</v>
      </c>
      <c r="C1375" t="s">
        <v>222</v>
      </c>
      <c r="D1375" s="110">
        <v>22543</v>
      </c>
      <c r="E1375" s="111">
        <v>22543</v>
      </c>
      <c r="F1375" s="111">
        <v>22543</v>
      </c>
      <c r="G1375" s="111">
        <v>22543</v>
      </c>
      <c r="H1375" s="112"/>
      <c r="I1375" s="110">
        <v>1026</v>
      </c>
      <c r="J1375" s="111">
        <v>1739</v>
      </c>
      <c r="K1375" s="111">
        <v>2166</v>
      </c>
      <c r="L1375" s="111">
        <v>2658</v>
      </c>
      <c r="M1375" s="112"/>
    </row>
    <row r="1376" spans="1:13" x14ac:dyDescent="0.2">
      <c r="A1376" s="113" t="s">
        <v>36</v>
      </c>
      <c r="B1376" s="113" t="s">
        <v>111</v>
      </c>
      <c r="C1376" s="113" t="s">
        <v>223</v>
      </c>
      <c r="D1376" s="114">
        <v>17774</v>
      </c>
      <c r="E1376" s="115">
        <v>17774</v>
      </c>
      <c r="F1376" s="115">
        <v>17636</v>
      </c>
      <c r="G1376" s="115"/>
      <c r="H1376" s="116"/>
      <c r="I1376" s="114">
        <v>735</v>
      </c>
      <c r="J1376" s="115">
        <v>907</v>
      </c>
      <c r="K1376" s="115">
        <v>1466</v>
      </c>
      <c r="L1376" s="115"/>
      <c r="M1376" s="116"/>
    </row>
    <row r="1377" spans="1:13" x14ac:dyDescent="0.2">
      <c r="A1377" t="s">
        <v>36</v>
      </c>
      <c r="B1377" t="s">
        <v>111</v>
      </c>
      <c r="C1377" t="s">
        <v>224</v>
      </c>
      <c r="D1377" s="110">
        <v>4375</v>
      </c>
      <c r="E1377" s="111">
        <v>4375</v>
      </c>
      <c r="F1377" s="111"/>
      <c r="G1377" s="111"/>
      <c r="H1377" s="112"/>
      <c r="I1377" s="110">
        <v>327</v>
      </c>
      <c r="J1377" s="111">
        <v>327</v>
      </c>
      <c r="K1377" s="111"/>
      <c r="L1377" s="111"/>
      <c r="M1377" s="112"/>
    </row>
    <row r="1378" spans="1:13" x14ac:dyDescent="0.2">
      <c r="A1378" s="117" t="s">
        <v>36</v>
      </c>
      <c r="B1378" s="117" t="s">
        <v>111</v>
      </c>
      <c r="C1378" s="117" t="s">
        <v>225</v>
      </c>
      <c r="D1378" s="118">
        <v>17241</v>
      </c>
      <c r="E1378" s="119"/>
      <c r="F1378" s="119"/>
      <c r="G1378" s="119"/>
      <c r="H1378" s="120"/>
      <c r="I1378" s="118">
        <v>1047</v>
      </c>
      <c r="J1378" s="119"/>
      <c r="K1378" s="119"/>
      <c r="L1378" s="119"/>
      <c r="M1378" s="120"/>
    </row>
    <row r="1379" spans="1:13" x14ac:dyDescent="0.2">
      <c r="A1379" s="124" t="s">
        <v>36</v>
      </c>
      <c r="B1379" s="124" t="s">
        <v>109</v>
      </c>
      <c r="C1379" s="124" t="s">
        <v>222</v>
      </c>
      <c r="D1379" s="125">
        <v>919858</v>
      </c>
      <c r="E1379" s="126">
        <v>917591</v>
      </c>
      <c r="F1379" s="126">
        <v>915534</v>
      </c>
      <c r="G1379" s="126">
        <v>904421</v>
      </c>
      <c r="H1379" s="127"/>
      <c r="I1379" s="125">
        <v>306411</v>
      </c>
      <c r="J1379" s="126">
        <v>456672</v>
      </c>
      <c r="K1379" s="126">
        <v>531535</v>
      </c>
      <c r="L1379" s="126">
        <v>612022</v>
      </c>
      <c r="M1379" s="127"/>
    </row>
    <row r="1380" spans="1:13" x14ac:dyDescent="0.2">
      <c r="A1380" s="113" t="s">
        <v>36</v>
      </c>
      <c r="B1380" s="113" t="s">
        <v>109</v>
      </c>
      <c r="C1380" s="113" t="s">
        <v>223</v>
      </c>
      <c r="D1380" s="114">
        <v>848100</v>
      </c>
      <c r="E1380" s="115">
        <v>848911</v>
      </c>
      <c r="F1380" s="115">
        <v>841769</v>
      </c>
      <c r="G1380" s="115"/>
      <c r="H1380" s="116"/>
      <c r="I1380" s="114">
        <v>304086</v>
      </c>
      <c r="J1380" s="115">
        <v>423232</v>
      </c>
      <c r="K1380" s="115">
        <v>509551</v>
      </c>
      <c r="L1380" s="115"/>
      <c r="M1380" s="116"/>
    </row>
    <row r="1381" spans="1:13" x14ac:dyDescent="0.2">
      <c r="A1381" t="s">
        <v>36</v>
      </c>
      <c r="B1381" t="s">
        <v>109</v>
      </c>
      <c r="C1381" t="s">
        <v>224</v>
      </c>
      <c r="D1381" s="110">
        <v>231926</v>
      </c>
      <c r="E1381" s="111">
        <v>233395</v>
      </c>
      <c r="F1381" s="111"/>
      <c r="G1381" s="111"/>
      <c r="H1381" s="112"/>
      <c r="I1381" s="110">
        <v>91139</v>
      </c>
      <c r="J1381" s="111">
        <v>131354</v>
      </c>
      <c r="K1381" s="111"/>
      <c r="L1381" s="111"/>
      <c r="M1381" s="112"/>
    </row>
    <row r="1382" spans="1:13" x14ac:dyDescent="0.2">
      <c r="A1382" s="117" t="s">
        <v>36</v>
      </c>
      <c r="B1382" s="117" t="s">
        <v>109</v>
      </c>
      <c r="C1382" s="117" t="s">
        <v>225</v>
      </c>
      <c r="D1382" s="118">
        <v>633720</v>
      </c>
      <c r="E1382" s="119"/>
      <c r="F1382" s="119"/>
      <c r="G1382" s="119"/>
      <c r="H1382" s="120"/>
      <c r="I1382" s="118">
        <v>193148</v>
      </c>
      <c r="J1382" s="119"/>
      <c r="K1382" s="119"/>
      <c r="L1382" s="119"/>
      <c r="M1382" s="120"/>
    </row>
    <row r="1383" spans="1:13" x14ac:dyDescent="0.2">
      <c r="A1383" t="s">
        <v>36</v>
      </c>
      <c r="B1383" t="s">
        <v>106</v>
      </c>
      <c r="C1383" t="s">
        <v>222</v>
      </c>
      <c r="D1383" s="110">
        <v>1359210</v>
      </c>
      <c r="E1383" s="111">
        <v>1355347</v>
      </c>
      <c r="F1383" s="111">
        <v>1344185</v>
      </c>
      <c r="G1383" s="111">
        <v>1355297</v>
      </c>
      <c r="H1383" s="112"/>
      <c r="I1383" s="110">
        <v>1349749</v>
      </c>
      <c r="J1383" s="111">
        <v>1349775</v>
      </c>
      <c r="K1383" s="111">
        <v>1338766</v>
      </c>
      <c r="L1383" s="111">
        <v>1349883</v>
      </c>
      <c r="M1383" s="112"/>
    </row>
    <row r="1384" spans="1:13" x14ac:dyDescent="0.2">
      <c r="A1384" s="113" t="s">
        <v>36</v>
      </c>
      <c r="B1384" s="113" t="s">
        <v>106</v>
      </c>
      <c r="C1384" s="113" t="s">
        <v>223</v>
      </c>
      <c r="D1384" s="114">
        <v>1249586</v>
      </c>
      <c r="E1384" s="115">
        <v>1245305</v>
      </c>
      <c r="F1384" s="115">
        <v>1245370</v>
      </c>
      <c r="G1384" s="115"/>
      <c r="H1384" s="116"/>
      <c r="I1384" s="114">
        <v>1237530</v>
      </c>
      <c r="J1384" s="115">
        <v>1236676</v>
      </c>
      <c r="K1384" s="115">
        <v>1237624</v>
      </c>
      <c r="L1384" s="115"/>
      <c r="M1384" s="116"/>
    </row>
    <row r="1385" spans="1:13" x14ac:dyDescent="0.2">
      <c r="A1385" t="s">
        <v>36</v>
      </c>
      <c r="B1385" t="s">
        <v>106</v>
      </c>
      <c r="C1385" t="s">
        <v>224</v>
      </c>
      <c r="D1385" s="110">
        <v>973705</v>
      </c>
      <c r="E1385" s="111">
        <v>974863</v>
      </c>
      <c r="F1385" s="111"/>
      <c r="G1385" s="111"/>
      <c r="H1385" s="112"/>
      <c r="I1385" s="110">
        <v>964476</v>
      </c>
      <c r="J1385" s="111">
        <v>969269</v>
      </c>
      <c r="K1385" s="111"/>
      <c r="L1385" s="111"/>
      <c r="M1385" s="112"/>
    </row>
    <row r="1386" spans="1:13" x14ac:dyDescent="0.2">
      <c r="A1386" s="117" t="s">
        <v>36</v>
      </c>
      <c r="B1386" s="117" t="s">
        <v>106</v>
      </c>
      <c r="C1386" s="117" t="s">
        <v>225</v>
      </c>
      <c r="D1386" s="118">
        <v>1132094</v>
      </c>
      <c r="E1386" s="119"/>
      <c r="F1386" s="119"/>
      <c r="G1386" s="119"/>
      <c r="H1386" s="120"/>
      <c r="I1386" s="118">
        <v>1124127</v>
      </c>
      <c r="J1386" s="119"/>
      <c r="K1386" s="119"/>
      <c r="L1386" s="119"/>
      <c r="M1386" s="120"/>
    </row>
    <row r="1387" spans="1:13" x14ac:dyDescent="0.2">
      <c r="A1387" t="s">
        <v>36</v>
      </c>
      <c r="B1387" t="s">
        <v>107</v>
      </c>
      <c r="C1387" t="s">
        <v>222</v>
      </c>
      <c r="D1387" s="110">
        <v>968781</v>
      </c>
      <c r="E1387" s="111">
        <v>967227</v>
      </c>
      <c r="F1387" s="111">
        <v>966668</v>
      </c>
      <c r="G1387" s="111">
        <v>966668</v>
      </c>
      <c r="H1387" s="112"/>
      <c r="I1387" s="110">
        <v>964114</v>
      </c>
      <c r="J1387" s="111">
        <v>964917</v>
      </c>
      <c r="K1387" s="111">
        <v>964564</v>
      </c>
      <c r="L1387" s="111">
        <v>964664</v>
      </c>
      <c r="M1387" s="112"/>
    </row>
    <row r="1388" spans="1:13" x14ac:dyDescent="0.2">
      <c r="A1388" s="113" t="s">
        <v>36</v>
      </c>
      <c r="B1388" s="113" t="s">
        <v>107</v>
      </c>
      <c r="C1388" s="113" t="s">
        <v>223</v>
      </c>
      <c r="D1388" s="114">
        <v>521946</v>
      </c>
      <c r="E1388" s="115">
        <v>1109458</v>
      </c>
      <c r="F1388" s="115">
        <v>1109458</v>
      </c>
      <c r="G1388" s="115"/>
      <c r="H1388" s="116"/>
      <c r="I1388" s="114">
        <v>518451</v>
      </c>
      <c r="J1388" s="115">
        <v>1106915</v>
      </c>
      <c r="K1388" s="115">
        <v>1107563</v>
      </c>
      <c r="L1388" s="115"/>
      <c r="M1388" s="116"/>
    </row>
    <row r="1389" spans="1:13" x14ac:dyDescent="0.2">
      <c r="A1389" t="s">
        <v>36</v>
      </c>
      <c r="B1389" t="s">
        <v>107</v>
      </c>
      <c r="C1389" t="s">
        <v>224</v>
      </c>
      <c r="D1389" s="110">
        <v>755542</v>
      </c>
      <c r="E1389" s="111">
        <v>754932</v>
      </c>
      <c r="F1389" s="111"/>
      <c r="G1389" s="111"/>
      <c r="H1389" s="112"/>
      <c r="I1389" s="110">
        <v>752985</v>
      </c>
      <c r="J1389" s="111">
        <v>753010</v>
      </c>
      <c r="K1389" s="111"/>
      <c r="L1389" s="111"/>
      <c r="M1389" s="112"/>
    </row>
    <row r="1390" spans="1:13" x14ac:dyDescent="0.2">
      <c r="A1390" s="117" t="s">
        <v>36</v>
      </c>
      <c r="B1390" s="117" t="s">
        <v>107</v>
      </c>
      <c r="C1390" s="117" t="s">
        <v>225</v>
      </c>
      <c r="D1390" s="118">
        <v>851138</v>
      </c>
      <c r="E1390" s="119"/>
      <c r="F1390" s="119"/>
      <c r="G1390" s="119"/>
      <c r="H1390" s="120"/>
      <c r="I1390" s="118">
        <v>847443</v>
      </c>
      <c r="J1390" s="119"/>
      <c r="K1390" s="119"/>
      <c r="L1390" s="119"/>
      <c r="M1390" s="120"/>
    </row>
    <row r="1391" spans="1:13" x14ac:dyDescent="0.2">
      <c r="A1391" t="s">
        <v>36</v>
      </c>
      <c r="B1391" t="s">
        <v>108</v>
      </c>
      <c r="C1391" t="s">
        <v>222</v>
      </c>
      <c r="D1391" s="110">
        <v>262530</v>
      </c>
      <c r="E1391" s="111">
        <v>262930</v>
      </c>
      <c r="F1391" s="111">
        <v>262930</v>
      </c>
      <c r="G1391" s="111">
        <v>262930</v>
      </c>
      <c r="H1391" s="112"/>
      <c r="I1391" s="110">
        <v>261485</v>
      </c>
      <c r="J1391" s="111">
        <v>262289</v>
      </c>
      <c r="K1391" s="111">
        <v>262289</v>
      </c>
      <c r="L1391" s="111">
        <v>262374</v>
      </c>
      <c r="M1391" s="112"/>
    </row>
    <row r="1392" spans="1:13" x14ac:dyDescent="0.2">
      <c r="A1392" s="113" t="s">
        <v>36</v>
      </c>
      <c r="B1392" s="113" t="s">
        <v>108</v>
      </c>
      <c r="C1392" s="113" t="s">
        <v>223</v>
      </c>
      <c r="D1392" s="114">
        <v>308926</v>
      </c>
      <c r="E1392" s="115">
        <v>308821</v>
      </c>
      <c r="F1392" s="115">
        <v>307955</v>
      </c>
      <c r="G1392" s="115"/>
      <c r="H1392" s="116"/>
      <c r="I1392" s="114">
        <v>306323</v>
      </c>
      <c r="J1392" s="115">
        <v>307564</v>
      </c>
      <c r="K1392" s="115">
        <v>307845</v>
      </c>
      <c r="L1392" s="115"/>
      <c r="M1392" s="116"/>
    </row>
    <row r="1393" spans="1:13" x14ac:dyDescent="0.2">
      <c r="A1393" t="s">
        <v>36</v>
      </c>
      <c r="B1393" t="s">
        <v>108</v>
      </c>
      <c r="C1393" t="s">
        <v>224</v>
      </c>
      <c r="D1393" s="110">
        <v>286544</v>
      </c>
      <c r="E1393" s="111">
        <v>284482</v>
      </c>
      <c r="F1393" s="111"/>
      <c r="G1393" s="111"/>
      <c r="H1393" s="112"/>
      <c r="I1393" s="110">
        <v>282734</v>
      </c>
      <c r="J1393" s="111">
        <v>283893</v>
      </c>
      <c r="K1393" s="111"/>
      <c r="L1393" s="111"/>
      <c r="M1393" s="112"/>
    </row>
    <row r="1394" spans="1:13" x14ac:dyDescent="0.2">
      <c r="A1394" s="117" t="s">
        <v>36</v>
      </c>
      <c r="B1394" s="117" t="s">
        <v>108</v>
      </c>
      <c r="C1394" s="117" t="s">
        <v>225</v>
      </c>
      <c r="D1394" s="118">
        <v>295656</v>
      </c>
      <c r="E1394" s="119"/>
      <c r="F1394" s="119"/>
      <c r="G1394" s="119"/>
      <c r="H1394" s="120"/>
      <c r="I1394" s="118">
        <v>292119</v>
      </c>
      <c r="J1394" s="119"/>
      <c r="K1394" s="119"/>
      <c r="L1394" s="119"/>
      <c r="M1394" s="120"/>
    </row>
    <row r="1395" spans="1:13" x14ac:dyDescent="0.2">
      <c r="A1395" t="s">
        <v>36</v>
      </c>
      <c r="B1395" t="s">
        <v>70</v>
      </c>
      <c r="C1395" t="s">
        <v>222</v>
      </c>
      <c r="D1395" s="110">
        <v>494239</v>
      </c>
      <c r="E1395" s="111">
        <v>480457</v>
      </c>
      <c r="F1395" s="111">
        <v>479658</v>
      </c>
      <c r="G1395" s="111">
        <v>478593</v>
      </c>
      <c r="H1395" s="112"/>
      <c r="I1395" s="110">
        <v>456427</v>
      </c>
      <c r="J1395" s="111">
        <v>458642</v>
      </c>
      <c r="K1395" s="111">
        <v>459782</v>
      </c>
      <c r="L1395" s="111">
        <v>459772</v>
      </c>
      <c r="M1395" s="112"/>
    </row>
    <row r="1396" spans="1:13" x14ac:dyDescent="0.2">
      <c r="A1396" s="113" t="s">
        <v>36</v>
      </c>
      <c r="B1396" s="113" t="s">
        <v>70</v>
      </c>
      <c r="C1396" s="113" t="s">
        <v>223</v>
      </c>
      <c r="D1396" s="114">
        <v>523937</v>
      </c>
      <c r="E1396" s="115">
        <v>519707</v>
      </c>
      <c r="F1396" s="115">
        <v>510687</v>
      </c>
      <c r="G1396" s="115"/>
      <c r="H1396" s="116"/>
      <c r="I1396" s="114">
        <v>491616</v>
      </c>
      <c r="J1396" s="115">
        <v>492277</v>
      </c>
      <c r="K1396" s="115">
        <v>494682</v>
      </c>
      <c r="L1396" s="115"/>
      <c r="M1396" s="116"/>
    </row>
    <row r="1397" spans="1:13" x14ac:dyDescent="0.2">
      <c r="A1397" t="s">
        <v>36</v>
      </c>
      <c r="B1397" t="s">
        <v>70</v>
      </c>
      <c r="C1397" t="s">
        <v>224</v>
      </c>
      <c r="D1397" s="110">
        <v>476708</v>
      </c>
      <c r="E1397" s="111">
        <v>467289</v>
      </c>
      <c r="F1397" s="111"/>
      <c r="G1397" s="111"/>
      <c r="H1397" s="112"/>
      <c r="I1397" s="110">
        <v>446567</v>
      </c>
      <c r="J1397" s="111">
        <v>446975</v>
      </c>
      <c r="K1397" s="111"/>
      <c r="L1397" s="111"/>
      <c r="M1397" s="112"/>
    </row>
    <row r="1398" spans="1:13" x14ac:dyDescent="0.2">
      <c r="A1398" s="117" t="s">
        <v>36</v>
      </c>
      <c r="B1398" s="117" t="s">
        <v>70</v>
      </c>
      <c r="C1398" s="117" t="s">
        <v>225</v>
      </c>
      <c r="D1398" s="118">
        <v>623693</v>
      </c>
      <c r="E1398" s="119"/>
      <c r="F1398" s="119"/>
      <c r="G1398" s="119"/>
      <c r="H1398" s="120"/>
      <c r="I1398" s="118">
        <v>590401</v>
      </c>
      <c r="J1398" s="119"/>
      <c r="K1398" s="119"/>
      <c r="L1398" s="119"/>
      <c r="M1398" s="120"/>
    </row>
    <row r="1399" spans="1:13" x14ac:dyDescent="0.2">
      <c r="A1399" t="s">
        <v>36</v>
      </c>
      <c r="B1399" t="s">
        <v>110</v>
      </c>
      <c r="C1399" t="s">
        <v>222</v>
      </c>
      <c r="D1399" s="110">
        <v>5302710</v>
      </c>
      <c r="E1399" s="111">
        <v>4643425</v>
      </c>
      <c r="F1399" s="111">
        <v>4538722</v>
      </c>
      <c r="G1399" s="111">
        <v>4208086</v>
      </c>
      <c r="H1399" s="112"/>
      <c r="I1399" s="110">
        <v>1942370</v>
      </c>
      <c r="J1399" s="111">
        <v>2670016</v>
      </c>
      <c r="K1399" s="111">
        <v>2806650</v>
      </c>
      <c r="L1399" s="111">
        <v>2945621</v>
      </c>
      <c r="M1399" s="112"/>
    </row>
    <row r="1400" spans="1:13" x14ac:dyDescent="0.2">
      <c r="A1400" s="113" t="s">
        <v>36</v>
      </c>
      <c r="B1400" s="113" t="s">
        <v>110</v>
      </c>
      <c r="C1400" s="113" t="s">
        <v>223</v>
      </c>
      <c r="D1400" s="114">
        <v>2810372</v>
      </c>
      <c r="E1400" s="115">
        <v>2766962</v>
      </c>
      <c r="F1400" s="115">
        <v>2459025</v>
      </c>
      <c r="G1400" s="115"/>
      <c r="H1400" s="116"/>
      <c r="I1400" s="114">
        <v>1499622</v>
      </c>
      <c r="J1400" s="115">
        <v>1860148</v>
      </c>
      <c r="K1400" s="115">
        <v>2017377</v>
      </c>
      <c r="L1400" s="115"/>
      <c r="M1400" s="116"/>
    </row>
    <row r="1401" spans="1:13" x14ac:dyDescent="0.2">
      <c r="A1401" t="s">
        <v>36</v>
      </c>
      <c r="B1401" t="s">
        <v>110</v>
      </c>
      <c r="C1401" t="s">
        <v>224</v>
      </c>
      <c r="D1401" s="110">
        <v>995911</v>
      </c>
      <c r="E1401" s="111">
        <v>817618</v>
      </c>
      <c r="F1401" s="111"/>
      <c r="G1401" s="111"/>
      <c r="H1401" s="112"/>
      <c r="I1401" s="110">
        <v>360908</v>
      </c>
      <c r="J1401" s="111">
        <v>616779</v>
      </c>
      <c r="K1401" s="111"/>
      <c r="L1401" s="111"/>
      <c r="M1401" s="112"/>
    </row>
    <row r="1402" spans="1:13" ht="13.5" thickBot="1" x14ac:dyDescent="0.25">
      <c r="A1402" s="128" t="s">
        <v>36</v>
      </c>
      <c r="B1402" s="128" t="s">
        <v>110</v>
      </c>
      <c r="C1402" s="128" t="s">
        <v>225</v>
      </c>
      <c r="D1402" s="129">
        <v>2147936</v>
      </c>
      <c r="E1402" s="130"/>
      <c r="F1402" s="130"/>
      <c r="G1402" s="130"/>
      <c r="H1402" s="131"/>
      <c r="I1402" s="129">
        <v>819765</v>
      </c>
      <c r="J1402" s="130"/>
      <c r="K1402" s="130"/>
      <c r="L1402" s="130"/>
      <c r="M1402" s="131"/>
    </row>
    <row r="1403" spans="1:13" x14ac:dyDescent="0.2">
      <c r="A1403" s="132" t="s">
        <v>37</v>
      </c>
      <c r="B1403" s="132" t="s">
        <v>104</v>
      </c>
      <c r="C1403" s="132" t="s">
        <v>222</v>
      </c>
      <c r="D1403" s="133">
        <v>1252487.3999999999</v>
      </c>
      <c r="E1403" s="134">
        <v>1251595.19</v>
      </c>
      <c r="F1403" s="134">
        <v>1249305.8999999999</v>
      </c>
      <c r="G1403" s="134">
        <v>1248670.7</v>
      </c>
      <c r="H1403" s="135"/>
      <c r="I1403" s="133">
        <v>49036.66</v>
      </c>
      <c r="J1403" s="134">
        <v>88706.41</v>
      </c>
      <c r="K1403" s="134">
        <v>112035.86</v>
      </c>
      <c r="L1403" s="134">
        <v>136333.26999999999</v>
      </c>
      <c r="M1403" s="135"/>
    </row>
    <row r="1404" spans="1:13" x14ac:dyDescent="0.2">
      <c r="A1404" s="113" t="s">
        <v>37</v>
      </c>
      <c r="B1404" s="113" t="s">
        <v>104</v>
      </c>
      <c r="C1404" s="113" t="s">
        <v>223</v>
      </c>
      <c r="D1404" s="114">
        <v>1438252.9</v>
      </c>
      <c r="E1404" s="115">
        <v>1509674.81</v>
      </c>
      <c r="F1404" s="115">
        <v>1521432.08</v>
      </c>
      <c r="G1404" s="115"/>
      <c r="H1404" s="116"/>
      <c r="I1404" s="114">
        <v>59699.97</v>
      </c>
      <c r="J1404" s="115">
        <v>91351.42</v>
      </c>
      <c r="K1404" s="115">
        <v>126912.32000000001</v>
      </c>
      <c r="L1404" s="115"/>
      <c r="M1404" s="116"/>
    </row>
    <row r="1405" spans="1:13" x14ac:dyDescent="0.2">
      <c r="A1405" t="s">
        <v>37</v>
      </c>
      <c r="B1405" t="s">
        <v>104</v>
      </c>
      <c r="C1405" t="s">
        <v>224</v>
      </c>
      <c r="D1405" s="110">
        <v>394005.47</v>
      </c>
      <c r="E1405" s="111">
        <v>393485.83</v>
      </c>
      <c r="F1405" s="111"/>
      <c r="G1405" s="111"/>
      <c r="H1405" s="112"/>
      <c r="I1405" s="110">
        <v>11683.61</v>
      </c>
      <c r="J1405" s="111">
        <v>15447.37</v>
      </c>
      <c r="K1405" s="111"/>
      <c r="L1405" s="111"/>
      <c r="M1405" s="112"/>
    </row>
    <row r="1406" spans="1:13" x14ac:dyDescent="0.2">
      <c r="A1406" s="117" t="s">
        <v>37</v>
      </c>
      <c r="B1406" s="117" t="s">
        <v>104</v>
      </c>
      <c r="C1406" s="117" t="s">
        <v>225</v>
      </c>
      <c r="D1406" s="118">
        <v>460884.53</v>
      </c>
      <c r="E1406" s="119"/>
      <c r="F1406" s="119"/>
      <c r="G1406" s="119"/>
      <c r="H1406" s="120"/>
      <c r="I1406" s="118">
        <v>35317.67</v>
      </c>
      <c r="J1406" s="119"/>
      <c r="K1406" s="119"/>
      <c r="L1406" s="119"/>
      <c r="M1406" s="120"/>
    </row>
    <row r="1407" spans="1:13" x14ac:dyDescent="0.2">
      <c r="A1407" t="s">
        <v>37</v>
      </c>
      <c r="B1407" t="s">
        <v>140</v>
      </c>
      <c r="C1407" t="s">
        <v>222</v>
      </c>
      <c r="D1407" s="110">
        <v>212000.1</v>
      </c>
      <c r="E1407" s="111">
        <v>212000.1</v>
      </c>
      <c r="F1407" s="111">
        <v>212000.1</v>
      </c>
      <c r="G1407" s="111">
        <v>212000.1</v>
      </c>
      <c r="H1407" s="112"/>
      <c r="I1407" s="110">
        <v>381</v>
      </c>
      <c r="J1407" s="111">
        <v>1298</v>
      </c>
      <c r="K1407" s="111">
        <v>1765</v>
      </c>
      <c r="L1407" s="111">
        <v>2165</v>
      </c>
      <c r="M1407" s="112"/>
    </row>
    <row r="1408" spans="1:13" x14ac:dyDescent="0.2">
      <c r="A1408" s="113" t="s">
        <v>37</v>
      </c>
      <c r="B1408" s="113" t="s">
        <v>140</v>
      </c>
      <c r="C1408" s="113" t="s">
        <v>223</v>
      </c>
      <c r="D1408" s="114">
        <v>481546.76</v>
      </c>
      <c r="E1408" s="115">
        <v>481546.76</v>
      </c>
      <c r="F1408" s="115">
        <v>481546.76</v>
      </c>
      <c r="G1408" s="115"/>
      <c r="H1408" s="116"/>
      <c r="I1408" s="114">
        <v>215.01</v>
      </c>
      <c r="J1408" s="115">
        <v>232.01</v>
      </c>
      <c r="K1408" s="115">
        <v>249.01</v>
      </c>
      <c r="L1408" s="115"/>
      <c r="M1408" s="116"/>
    </row>
    <row r="1409" spans="1:13" x14ac:dyDescent="0.2">
      <c r="A1409" t="s">
        <v>37</v>
      </c>
      <c r="B1409" t="s">
        <v>140</v>
      </c>
      <c r="C1409" t="s">
        <v>224</v>
      </c>
      <c r="D1409" s="110">
        <v>63557.22</v>
      </c>
      <c r="E1409" s="111">
        <v>63557.22</v>
      </c>
      <c r="F1409" s="111"/>
      <c r="G1409" s="111"/>
      <c r="H1409" s="112"/>
      <c r="I1409" s="110">
        <v>75.5</v>
      </c>
      <c r="J1409" s="111">
        <v>92.5</v>
      </c>
      <c r="K1409" s="111"/>
      <c r="L1409" s="111"/>
      <c r="M1409" s="112"/>
    </row>
    <row r="1410" spans="1:13" x14ac:dyDescent="0.2">
      <c r="A1410" s="117" t="s">
        <v>37</v>
      </c>
      <c r="B1410" s="117" t="s">
        <v>140</v>
      </c>
      <c r="C1410" s="117" t="s">
        <v>225</v>
      </c>
      <c r="D1410" s="118">
        <v>8550.25</v>
      </c>
      <c r="E1410" s="119"/>
      <c r="F1410" s="119"/>
      <c r="G1410" s="119"/>
      <c r="H1410" s="120"/>
      <c r="I1410" s="118">
        <v>44</v>
      </c>
      <c r="J1410" s="119"/>
      <c r="K1410" s="119"/>
      <c r="L1410" s="119"/>
      <c r="M1410" s="120"/>
    </row>
    <row r="1411" spans="1:13" x14ac:dyDescent="0.2">
      <c r="A1411" t="s">
        <v>37</v>
      </c>
      <c r="B1411" t="s">
        <v>105</v>
      </c>
      <c r="C1411" t="s">
        <v>222</v>
      </c>
      <c r="D1411" s="110">
        <v>222207.53</v>
      </c>
      <c r="E1411" s="111">
        <v>223431.36</v>
      </c>
      <c r="F1411" s="111">
        <v>223357.16</v>
      </c>
      <c r="G1411" s="111">
        <v>223309.18</v>
      </c>
      <c r="H1411" s="112"/>
      <c r="I1411" s="110">
        <v>18945.45</v>
      </c>
      <c r="J1411" s="111">
        <v>35904.42</v>
      </c>
      <c r="K1411" s="111">
        <v>43686.34</v>
      </c>
      <c r="L1411" s="111">
        <v>49896.33</v>
      </c>
      <c r="M1411" s="112"/>
    </row>
    <row r="1412" spans="1:13" x14ac:dyDescent="0.2">
      <c r="A1412" s="113" t="s">
        <v>37</v>
      </c>
      <c r="B1412" s="113" t="s">
        <v>105</v>
      </c>
      <c r="C1412" s="113" t="s">
        <v>223</v>
      </c>
      <c r="D1412" s="114">
        <v>219206.37</v>
      </c>
      <c r="E1412" s="115">
        <v>230362.82</v>
      </c>
      <c r="F1412" s="115">
        <v>231488.42</v>
      </c>
      <c r="G1412" s="115"/>
      <c r="H1412" s="116"/>
      <c r="I1412" s="114">
        <v>19962.490000000002</v>
      </c>
      <c r="J1412" s="115">
        <v>28786.36</v>
      </c>
      <c r="K1412" s="115">
        <v>38462.080000000002</v>
      </c>
      <c r="L1412" s="115"/>
      <c r="M1412" s="116"/>
    </row>
    <row r="1413" spans="1:13" x14ac:dyDescent="0.2">
      <c r="A1413" t="s">
        <v>37</v>
      </c>
      <c r="B1413" t="s">
        <v>105</v>
      </c>
      <c r="C1413" t="s">
        <v>224</v>
      </c>
      <c r="D1413" s="110">
        <v>64483.54</v>
      </c>
      <c r="E1413" s="111">
        <v>64115.96</v>
      </c>
      <c r="F1413" s="111"/>
      <c r="G1413" s="111"/>
      <c r="H1413" s="112"/>
      <c r="I1413" s="110">
        <v>4278.9799999999996</v>
      </c>
      <c r="J1413" s="111">
        <v>6235.98</v>
      </c>
      <c r="K1413" s="111"/>
      <c r="L1413" s="111"/>
      <c r="M1413" s="112"/>
    </row>
    <row r="1414" spans="1:13" x14ac:dyDescent="0.2">
      <c r="A1414" s="117" t="s">
        <v>37</v>
      </c>
      <c r="B1414" s="117" t="s">
        <v>105</v>
      </c>
      <c r="C1414" s="117" t="s">
        <v>225</v>
      </c>
      <c r="D1414" s="118">
        <v>68825.600000000006</v>
      </c>
      <c r="E1414" s="119"/>
      <c r="F1414" s="119"/>
      <c r="G1414" s="119"/>
      <c r="H1414" s="120"/>
      <c r="I1414" s="118">
        <v>9541.7000000000007</v>
      </c>
      <c r="J1414" s="119"/>
      <c r="K1414" s="119"/>
      <c r="L1414" s="119"/>
      <c r="M1414" s="120"/>
    </row>
    <row r="1415" spans="1:13" x14ac:dyDescent="0.2">
      <c r="A1415" t="s">
        <v>37</v>
      </c>
      <c r="B1415" t="s">
        <v>111</v>
      </c>
      <c r="C1415" t="s">
        <v>222</v>
      </c>
      <c r="D1415" s="110">
        <v>13977</v>
      </c>
      <c r="E1415" s="111">
        <v>13877</v>
      </c>
      <c r="F1415" s="111">
        <v>13877</v>
      </c>
      <c r="G1415" s="111">
        <v>13877</v>
      </c>
      <c r="H1415" s="112"/>
      <c r="I1415" s="110">
        <v>582</v>
      </c>
      <c r="J1415" s="111">
        <v>1408</v>
      </c>
      <c r="K1415" s="111">
        <v>1786</v>
      </c>
      <c r="L1415" s="111">
        <v>2011</v>
      </c>
      <c r="M1415" s="112"/>
    </row>
    <row r="1416" spans="1:13" x14ac:dyDescent="0.2">
      <c r="A1416" s="113" t="s">
        <v>37</v>
      </c>
      <c r="B1416" s="113" t="s">
        <v>111</v>
      </c>
      <c r="C1416" s="113" t="s">
        <v>223</v>
      </c>
      <c r="D1416" s="114">
        <v>11239.5</v>
      </c>
      <c r="E1416" s="115">
        <v>11189.5</v>
      </c>
      <c r="F1416" s="115">
        <v>11189.5</v>
      </c>
      <c r="G1416" s="115"/>
      <c r="H1416" s="116"/>
      <c r="I1416" s="114">
        <v>578</v>
      </c>
      <c r="J1416" s="115">
        <v>996</v>
      </c>
      <c r="K1416" s="115">
        <v>1196</v>
      </c>
      <c r="L1416" s="115"/>
      <c r="M1416" s="116"/>
    </row>
    <row r="1417" spans="1:13" x14ac:dyDescent="0.2">
      <c r="A1417" t="s">
        <v>37</v>
      </c>
      <c r="B1417" t="s">
        <v>111</v>
      </c>
      <c r="C1417" t="s">
        <v>224</v>
      </c>
      <c r="D1417" s="110">
        <v>4590</v>
      </c>
      <c r="E1417" s="111">
        <v>4590</v>
      </c>
      <c r="F1417" s="111"/>
      <c r="G1417" s="111"/>
      <c r="H1417" s="112"/>
      <c r="I1417" s="110">
        <v>82</v>
      </c>
      <c r="J1417" s="111">
        <v>82</v>
      </c>
      <c r="K1417" s="111"/>
      <c r="L1417" s="111"/>
      <c r="M1417" s="112"/>
    </row>
    <row r="1418" spans="1:13" x14ac:dyDescent="0.2">
      <c r="A1418" s="117" t="s">
        <v>37</v>
      </c>
      <c r="B1418" s="117" t="s">
        <v>111</v>
      </c>
      <c r="C1418" s="117" t="s">
        <v>225</v>
      </c>
      <c r="D1418" s="118">
        <v>3472</v>
      </c>
      <c r="E1418" s="119"/>
      <c r="F1418" s="119"/>
      <c r="G1418" s="119"/>
      <c r="H1418" s="120"/>
      <c r="I1418" s="118">
        <v>60</v>
      </c>
      <c r="J1418" s="119"/>
      <c r="K1418" s="119"/>
      <c r="L1418" s="119"/>
      <c r="M1418" s="120"/>
    </row>
    <row r="1419" spans="1:13" x14ac:dyDescent="0.2">
      <c r="A1419" s="124" t="s">
        <v>37</v>
      </c>
      <c r="B1419" s="124" t="s">
        <v>109</v>
      </c>
      <c r="C1419" s="124" t="s">
        <v>222</v>
      </c>
      <c r="D1419" s="125">
        <v>227520.81</v>
      </c>
      <c r="E1419" s="126">
        <v>226555.79</v>
      </c>
      <c r="F1419" s="126">
        <v>228138.79</v>
      </c>
      <c r="G1419" s="126">
        <v>228035.54</v>
      </c>
      <c r="H1419" s="127"/>
      <c r="I1419" s="125">
        <v>52490.34</v>
      </c>
      <c r="J1419" s="126">
        <v>76698.240000000005</v>
      </c>
      <c r="K1419" s="126">
        <v>90009.46</v>
      </c>
      <c r="L1419" s="126">
        <v>98095.98</v>
      </c>
      <c r="M1419" s="127"/>
    </row>
    <row r="1420" spans="1:13" x14ac:dyDescent="0.2">
      <c r="A1420" s="113" t="s">
        <v>37</v>
      </c>
      <c r="B1420" s="113" t="s">
        <v>109</v>
      </c>
      <c r="C1420" s="113" t="s">
        <v>223</v>
      </c>
      <c r="D1420" s="114">
        <v>181585.35</v>
      </c>
      <c r="E1420" s="115">
        <v>186341.46</v>
      </c>
      <c r="F1420" s="115">
        <v>186676.57</v>
      </c>
      <c r="G1420" s="115"/>
      <c r="H1420" s="116"/>
      <c r="I1420" s="114">
        <v>45318.48</v>
      </c>
      <c r="J1420" s="115">
        <v>57680.53</v>
      </c>
      <c r="K1420" s="115">
        <v>72858.539999999994</v>
      </c>
      <c r="L1420" s="115"/>
      <c r="M1420" s="116"/>
    </row>
    <row r="1421" spans="1:13" x14ac:dyDescent="0.2">
      <c r="A1421" t="s">
        <v>37</v>
      </c>
      <c r="B1421" t="s">
        <v>109</v>
      </c>
      <c r="C1421" t="s">
        <v>224</v>
      </c>
      <c r="D1421" s="110">
        <v>22672.639999999999</v>
      </c>
      <c r="E1421" s="111">
        <v>22563.13</v>
      </c>
      <c r="F1421" s="111"/>
      <c r="G1421" s="111"/>
      <c r="H1421" s="112"/>
      <c r="I1421" s="110">
        <v>7146.86</v>
      </c>
      <c r="J1421" s="111">
        <v>8473.9699999999993</v>
      </c>
      <c r="K1421" s="111"/>
      <c r="L1421" s="111"/>
      <c r="M1421" s="112"/>
    </row>
    <row r="1422" spans="1:13" x14ac:dyDescent="0.2">
      <c r="A1422" s="117" t="s">
        <v>37</v>
      </c>
      <c r="B1422" s="117" t="s">
        <v>109</v>
      </c>
      <c r="C1422" s="117" t="s">
        <v>225</v>
      </c>
      <c r="D1422" s="118">
        <v>44092.53</v>
      </c>
      <c r="E1422" s="119"/>
      <c r="F1422" s="119"/>
      <c r="G1422" s="119"/>
      <c r="H1422" s="120"/>
      <c r="I1422" s="118">
        <v>11675.22</v>
      </c>
      <c r="J1422" s="119"/>
      <c r="K1422" s="119"/>
      <c r="L1422" s="119"/>
      <c r="M1422" s="120"/>
    </row>
    <row r="1423" spans="1:13" x14ac:dyDescent="0.2">
      <c r="A1423" t="s">
        <v>37</v>
      </c>
      <c r="B1423" t="s">
        <v>106</v>
      </c>
      <c r="C1423" t="s">
        <v>222</v>
      </c>
      <c r="D1423" s="110">
        <v>379856.72</v>
      </c>
      <c r="E1423" s="111">
        <v>372195.22</v>
      </c>
      <c r="F1423" s="111">
        <v>370510.22</v>
      </c>
      <c r="G1423" s="111">
        <v>369160.22</v>
      </c>
      <c r="H1423" s="112"/>
      <c r="I1423" s="110">
        <v>319763.15000000002</v>
      </c>
      <c r="J1423" s="111">
        <v>320971.71999999997</v>
      </c>
      <c r="K1423" s="111">
        <v>322480.7</v>
      </c>
      <c r="L1423" s="111">
        <v>323822.65000000002</v>
      </c>
      <c r="M1423" s="112"/>
    </row>
    <row r="1424" spans="1:13" x14ac:dyDescent="0.2">
      <c r="A1424" s="113" t="s">
        <v>37</v>
      </c>
      <c r="B1424" s="113" t="s">
        <v>106</v>
      </c>
      <c r="C1424" s="113" t="s">
        <v>223</v>
      </c>
      <c r="D1424" s="114">
        <v>343169.32</v>
      </c>
      <c r="E1424" s="115">
        <v>331624.32000000001</v>
      </c>
      <c r="F1424" s="115">
        <v>329949.32</v>
      </c>
      <c r="G1424" s="115"/>
      <c r="H1424" s="116"/>
      <c r="I1424" s="114">
        <v>283371.37</v>
      </c>
      <c r="J1424" s="115">
        <v>287296.59999999998</v>
      </c>
      <c r="K1424" s="115">
        <v>288296.15000000002</v>
      </c>
      <c r="L1424" s="115"/>
      <c r="M1424" s="116"/>
    </row>
    <row r="1425" spans="1:13" x14ac:dyDescent="0.2">
      <c r="A1425" t="s">
        <v>37</v>
      </c>
      <c r="B1425" t="s">
        <v>106</v>
      </c>
      <c r="C1425" t="s">
        <v>224</v>
      </c>
      <c r="D1425" s="110">
        <v>250392.7</v>
      </c>
      <c r="E1425" s="111">
        <v>241162.7</v>
      </c>
      <c r="F1425" s="111"/>
      <c r="G1425" s="111"/>
      <c r="H1425" s="112"/>
      <c r="I1425" s="110">
        <v>186778.26</v>
      </c>
      <c r="J1425" s="111">
        <v>193258.61</v>
      </c>
      <c r="K1425" s="111"/>
      <c r="L1425" s="111"/>
      <c r="M1425" s="112"/>
    </row>
    <row r="1426" spans="1:13" x14ac:dyDescent="0.2">
      <c r="A1426" s="117" t="s">
        <v>37</v>
      </c>
      <c r="B1426" s="117" t="s">
        <v>106</v>
      </c>
      <c r="C1426" s="117" t="s">
        <v>225</v>
      </c>
      <c r="D1426" s="118">
        <v>266189.95</v>
      </c>
      <c r="E1426" s="119"/>
      <c r="F1426" s="119"/>
      <c r="G1426" s="119"/>
      <c r="H1426" s="120"/>
      <c r="I1426" s="118">
        <v>208764.35</v>
      </c>
      <c r="J1426" s="119"/>
      <c r="K1426" s="119"/>
      <c r="L1426" s="119"/>
      <c r="M1426" s="120"/>
    </row>
    <row r="1427" spans="1:13" x14ac:dyDescent="0.2">
      <c r="A1427" t="s">
        <v>37</v>
      </c>
      <c r="B1427" t="s">
        <v>107</v>
      </c>
      <c r="C1427" t="s">
        <v>222</v>
      </c>
      <c r="D1427" s="110">
        <v>438433.24</v>
      </c>
      <c r="E1427" s="111">
        <v>438083.24</v>
      </c>
      <c r="F1427" s="111">
        <v>437629.24</v>
      </c>
      <c r="G1427" s="111">
        <v>437629.24</v>
      </c>
      <c r="H1427" s="112"/>
      <c r="I1427" s="110">
        <v>429767.99</v>
      </c>
      <c r="J1427" s="111">
        <v>433743.99</v>
      </c>
      <c r="K1427" s="111">
        <v>433673.99</v>
      </c>
      <c r="L1427" s="111">
        <v>433715.99</v>
      </c>
      <c r="M1427" s="112"/>
    </row>
    <row r="1428" spans="1:13" x14ac:dyDescent="0.2">
      <c r="A1428" s="113" t="s">
        <v>37</v>
      </c>
      <c r="B1428" s="113" t="s">
        <v>107</v>
      </c>
      <c r="C1428" s="113" t="s">
        <v>223</v>
      </c>
      <c r="D1428" s="114">
        <v>448300.67</v>
      </c>
      <c r="E1428" s="115">
        <v>447429.67</v>
      </c>
      <c r="F1428" s="115">
        <v>447429.67</v>
      </c>
      <c r="G1428" s="115"/>
      <c r="H1428" s="116"/>
      <c r="I1428" s="114">
        <v>441337.62</v>
      </c>
      <c r="J1428" s="115">
        <v>441695.62</v>
      </c>
      <c r="K1428" s="115">
        <v>442245.62</v>
      </c>
      <c r="L1428" s="115"/>
      <c r="M1428" s="116"/>
    </row>
    <row r="1429" spans="1:13" x14ac:dyDescent="0.2">
      <c r="A1429" t="s">
        <v>37</v>
      </c>
      <c r="B1429" t="s">
        <v>107</v>
      </c>
      <c r="C1429" t="s">
        <v>224</v>
      </c>
      <c r="D1429" s="110">
        <v>182424.62</v>
      </c>
      <c r="E1429" s="111">
        <v>182399.62</v>
      </c>
      <c r="F1429" s="111"/>
      <c r="G1429" s="111"/>
      <c r="H1429" s="112"/>
      <c r="I1429" s="110">
        <v>176124.12</v>
      </c>
      <c r="J1429" s="111">
        <v>177232.12</v>
      </c>
      <c r="K1429" s="111"/>
      <c r="L1429" s="111"/>
      <c r="M1429" s="112"/>
    </row>
    <row r="1430" spans="1:13" x14ac:dyDescent="0.2">
      <c r="A1430" s="117" t="s">
        <v>37</v>
      </c>
      <c r="B1430" s="117" t="s">
        <v>107</v>
      </c>
      <c r="C1430" s="117" t="s">
        <v>225</v>
      </c>
      <c r="D1430" s="118">
        <v>237257.78</v>
      </c>
      <c r="E1430" s="119"/>
      <c r="F1430" s="119"/>
      <c r="G1430" s="119"/>
      <c r="H1430" s="120"/>
      <c r="I1430" s="118">
        <v>233385.78</v>
      </c>
      <c r="J1430" s="119"/>
      <c r="K1430" s="119"/>
      <c r="L1430" s="119"/>
      <c r="M1430" s="120"/>
    </row>
    <row r="1431" spans="1:13" x14ac:dyDescent="0.2">
      <c r="A1431" t="s">
        <v>37</v>
      </c>
      <c r="B1431" t="s">
        <v>108</v>
      </c>
      <c r="C1431" t="s">
        <v>222</v>
      </c>
      <c r="D1431" s="110">
        <v>72049.5</v>
      </c>
      <c r="E1431" s="111">
        <v>71473.5</v>
      </c>
      <c r="F1431" s="111">
        <v>71073.5</v>
      </c>
      <c r="G1431" s="111">
        <v>71073.5</v>
      </c>
      <c r="H1431" s="112"/>
      <c r="I1431" s="110">
        <v>68559.5</v>
      </c>
      <c r="J1431" s="111">
        <v>69300.5</v>
      </c>
      <c r="K1431" s="111">
        <v>69300.5</v>
      </c>
      <c r="L1431" s="111">
        <v>69300.5</v>
      </c>
      <c r="M1431" s="112"/>
    </row>
    <row r="1432" spans="1:13" x14ac:dyDescent="0.2">
      <c r="A1432" s="113" t="s">
        <v>37</v>
      </c>
      <c r="B1432" s="113" t="s">
        <v>108</v>
      </c>
      <c r="C1432" s="113" t="s">
        <v>223</v>
      </c>
      <c r="D1432" s="114">
        <v>86687.15</v>
      </c>
      <c r="E1432" s="115">
        <v>86727.15</v>
      </c>
      <c r="F1432" s="115">
        <v>86896.15</v>
      </c>
      <c r="G1432" s="115"/>
      <c r="H1432" s="116"/>
      <c r="I1432" s="114">
        <v>79304.149999999994</v>
      </c>
      <c r="J1432" s="115">
        <v>83651.149999999994</v>
      </c>
      <c r="K1432" s="115">
        <v>84242.15</v>
      </c>
      <c r="L1432" s="115"/>
      <c r="M1432" s="116"/>
    </row>
    <row r="1433" spans="1:13" x14ac:dyDescent="0.2">
      <c r="A1433" t="s">
        <v>37</v>
      </c>
      <c r="B1433" t="s">
        <v>108</v>
      </c>
      <c r="C1433" t="s">
        <v>224</v>
      </c>
      <c r="D1433" s="110">
        <v>78388.89</v>
      </c>
      <c r="E1433" s="111">
        <v>77913.89</v>
      </c>
      <c r="F1433" s="111"/>
      <c r="G1433" s="111"/>
      <c r="H1433" s="112"/>
      <c r="I1433" s="110">
        <v>74554.89</v>
      </c>
      <c r="J1433" s="111">
        <v>76263.89</v>
      </c>
      <c r="K1433" s="111"/>
      <c r="L1433" s="111"/>
      <c r="M1433" s="112"/>
    </row>
    <row r="1434" spans="1:13" x14ac:dyDescent="0.2">
      <c r="A1434" s="117" t="s">
        <v>37</v>
      </c>
      <c r="B1434" s="117" t="s">
        <v>108</v>
      </c>
      <c r="C1434" s="117" t="s">
        <v>225</v>
      </c>
      <c r="D1434" s="118">
        <v>82279</v>
      </c>
      <c r="E1434" s="119"/>
      <c r="F1434" s="119"/>
      <c r="G1434" s="119"/>
      <c r="H1434" s="120"/>
      <c r="I1434" s="118">
        <v>78808</v>
      </c>
      <c r="J1434" s="119"/>
      <c r="K1434" s="119"/>
      <c r="L1434" s="119"/>
      <c r="M1434" s="120"/>
    </row>
    <row r="1435" spans="1:13" x14ac:dyDescent="0.2">
      <c r="A1435" t="s">
        <v>37</v>
      </c>
      <c r="B1435" t="s">
        <v>70</v>
      </c>
      <c r="C1435" t="s">
        <v>222</v>
      </c>
      <c r="D1435" s="110">
        <v>113021.85</v>
      </c>
      <c r="E1435" s="111">
        <v>110186.85</v>
      </c>
      <c r="F1435" s="111">
        <v>109006.85</v>
      </c>
      <c r="G1435" s="111">
        <v>108576.35</v>
      </c>
      <c r="H1435" s="112"/>
      <c r="I1435" s="110">
        <v>96938.4</v>
      </c>
      <c r="J1435" s="111">
        <v>99901.85</v>
      </c>
      <c r="K1435" s="111">
        <v>100424.35</v>
      </c>
      <c r="L1435" s="111">
        <v>100524.35</v>
      </c>
      <c r="M1435" s="112"/>
    </row>
    <row r="1436" spans="1:13" x14ac:dyDescent="0.2">
      <c r="A1436" s="113" t="s">
        <v>37</v>
      </c>
      <c r="B1436" s="113" t="s">
        <v>70</v>
      </c>
      <c r="C1436" s="113" t="s">
        <v>223</v>
      </c>
      <c r="D1436" s="114">
        <v>112995.4</v>
      </c>
      <c r="E1436" s="115">
        <v>109135.9</v>
      </c>
      <c r="F1436" s="115">
        <v>109080.9</v>
      </c>
      <c r="G1436" s="115"/>
      <c r="H1436" s="116"/>
      <c r="I1436" s="114">
        <v>92968.55</v>
      </c>
      <c r="J1436" s="115">
        <v>95382.05</v>
      </c>
      <c r="K1436" s="115">
        <v>95830.55</v>
      </c>
      <c r="L1436" s="115"/>
      <c r="M1436" s="116"/>
    </row>
    <row r="1437" spans="1:13" x14ac:dyDescent="0.2">
      <c r="A1437" t="s">
        <v>37</v>
      </c>
      <c r="B1437" t="s">
        <v>70</v>
      </c>
      <c r="C1437" t="s">
        <v>224</v>
      </c>
      <c r="D1437" s="110">
        <v>103717.95</v>
      </c>
      <c r="E1437" s="111">
        <v>100237.95</v>
      </c>
      <c r="F1437" s="111"/>
      <c r="G1437" s="111"/>
      <c r="H1437" s="112"/>
      <c r="I1437" s="110">
        <v>84345.9</v>
      </c>
      <c r="J1437" s="111">
        <v>89630.9</v>
      </c>
      <c r="K1437" s="111"/>
      <c r="L1437" s="111"/>
      <c r="M1437" s="112"/>
    </row>
    <row r="1438" spans="1:13" x14ac:dyDescent="0.2">
      <c r="A1438" s="117" t="s">
        <v>37</v>
      </c>
      <c r="B1438" s="117" t="s">
        <v>70</v>
      </c>
      <c r="C1438" s="117" t="s">
        <v>225</v>
      </c>
      <c r="D1438" s="118">
        <v>123140.55</v>
      </c>
      <c r="E1438" s="119"/>
      <c r="F1438" s="119"/>
      <c r="G1438" s="119"/>
      <c r="H1438" s="120"/>
      <c r="I1438" s="118">
        <v>96577.4</v>
      </c>
      <c r="J1438" s="119"/>
      <c r="K1438" s="119"/>
      <c r="L1438" s="119"/>
      <c r="M1438" s="120"/>
    </row>
    <row r="1439" spans="1:13" x14ac:dyDescent="0.2">
      <c r="A1439" t="s">
        <v>37</v>
      </c>
      <c r="B1439" t="s">
        <v>110</v>
      </c>
      <c r="C1439" t="s">
        <v>222</v>
      </c>
      <c r="D1439" s="110">
        <v>1032217.6</v>
      </c>
      <c r="E1439" s="111">
        <v>988170.1</v>
      </c>
      <c r="F1439" s="111">
        <v>987848.35</v>
      </c>
      <c r="G1439" s="111">
        <v>982941.55</v>
      </c>
      <c r="H1439" s="112"/>
      <c r="I1439" s="110">
        <v>483293.15</v>
      </c>
      <c r="J1439" s="111">
        <v>748615.9</v>
      </c>
      <c r="K1439" s="111">
        <v>810431.38</v>
      </c>
      <c r="L1439" s="111">
        <v>840964.91</v>
      </c>
      <c r="M1439" s="112"/>
    </row>
    <row r="1440" spans="1:13" x14ac:dyDescent="0.2">
      <c r="A1440" s="113" t="s">
        <v>37</v>
      </c>
      <c r="B1440" s="113" t="s">
        <v>110</v>
      </c>
      <c r="C1440" s="113" t="s">
        <v>223</v>
      </c>
      <c r="D1440" s="114">
        <v>873334</v>
      </c>
      <c r="E1440" s="115">
        <v>865211.7</v>
      </c>
      <c r="F1440" s="115">
        <v>852963.4</v>
      </c>
      <c r="G1440" s="115"/>
      <c r="H1440" s="116"/>
      <c r="I1440" s="114">
        <v>421372.36</v>
      </c>
      <c r="J1440" s="115">
        <v>561763.80000000005</v>
      </c>
      <c r="K1440" s="115">
        <v>642377.36</v>
      </c>
      <c r="L1440" s="115"/>
      <c r="M1440" s="116"/>
    </row>
    <row r="1441" spans="1:13" x14ac:dyDescent="0.2">
      <c r="A1441" t="s">
        <v>37</v>
      </c>
      <c r="B1441" t="s">
        <v>110</v>
      </c>
      <c r="C1441" t="s">
        <v>224</v>
      </c>
      <c r="D1441" s="110">
        <v>416561.75</v>
      </c>
      <c r="E1441" s="111">
        <v>404421.55</v>
      </c>
      <c r="F1441" s="111"/>
      <c r="G1441" s="111"/>
      <c r="H1441" s="112"/>
      <c r="I1441" s="110">
        <v>163642.54999999999</v>
      </c>
      <c r="J1441" s="111">
        <v>259484.05</v>
      </c>
      <c r="K1441" s="111"/>
      <c r="L1441" s="111"/>
      <c r="M1441" s="112"/>
    </row>
    <row r="1442" spans="1:13" ht="13.5" thickBot="1" x14ac:dyDescent="0.25">
      <c r="A1442" s="128" t="s">
        <v>37</v>
      </c>
      <c r="B1442" s="128" t="s">
        <v>110</v>
      </c>
      <c r="C1442" s="128" t="s">
        <v>225</v>
      </c>
      <c r="D1442" s="129">
        <v>561281.85</v>
      </c>
      <c r="E1442" s="130"/>
      <c r="F1442" s="130"/>
      <c r="G1442" s="130"/>
      <c r="H1442" s="131"/>
      <c r="I1442" s="129">
        <v>202617.35</v>
      </c>
      <c r="J1442" s="130"/>
      <c r="K1442" s="130"/>
      <c r="L1442" s="130"/>
      <c r="M1442" s="131"/>
    </row>
    <row r="1443" spans="1:13" x14ac:dyDescent="0.2">
      <c r="A1443" s="132" t="s">
        <v>38</v>
      </c>
      <c r="B1443" s="132" t="s">
        <v>104</v>
      </c>
      <c r="C1443" s="132" t="s">
        <v>222</v>
      </c>
      <c r="D1443" s="133">
        <v>113983</v>
      </c>
      <c r="E1443" s="134">
        <v>113983</v>
      </c>
      <c r="F1443" s="134">
        <v>180653.65</v>
      </c>
      <c r="G1443" s="134">
        <v>235128.65</v>
      </c>
      <c r="H1443" s="135"/>
      <c r="I1443" s="133">
        <v>1956.53</v>
      </c>
      <c r="J1443" s="134">
        <v>5835.9</v>
      </c>
      <c r="K1443" s="134">
        <v>11568.07</v>
      </c>
      <c r="L1443" s="134">
        <v>18697.52</v>
      </c>
      <c r="M1443" s="135"/>
    </row>
    <row r="1444" spans="1:13" x14ac:dyDescent="0.2">
      <c r="A1444" s="113" t="s">
        <v>38</v>
      </c>
      <c r="B1444" s="113" t="s">
        <v>104</v>
      </c>
      <c r="C1444" s="113" t="s">
        <v>223</v>
      </c>
      <c r="D1444" s="114">
        <v>65561</v>
      </c>
      <c r="E1444" s="115">
        <v>103564</v>
      </c>
      <c r="F1444" s="115">
        <v>158039</v>
      </c>
      <c r="G1444" s="115"/>
      <c r="H1444" s="116"/>
      <c r="I1444" s="114">
        <v>3118.6</v>
      </c>
      <c r="J1444" s="115">
        <v>4809.75</v>
      </c>
      <c r="K1444" s="115">
        <v>10191.39</v>
      </c>
      <c r="L1444" s="115"/>
      <c r="M1444" s="116"/>
    </row>
    <row r="1445" spans="1:13" x14ac:dyDescent="0.2">
      <c r="A1445" t="s">
        <v>38</v>
      </c>
      <c r="B1445" t="s">
        <v>104</v>
      </c>
      <c r="C1445" t="s">
        <v>224</v>
      </c>
      <c r="D1445" s="110">
        <v>38403</v>
      </c>
      <c r="E1445" s="111">
        <v>92978</v>
      </c>
      <c r="F1445" s="111"/>
      <c r="G1445" s="111"/>
      <c r="H1445" s="112"/>
      <c r="I1445" s="110">
        <v>155</v>
      </c>
      <c r="J1445" s="111">
        <v>3479.47</v>
      </c>
      <c r="K1445" s="111"/>
      <c r="L1445" s="111"/>
      <c r="M1445" s="112"/>
    </row>
    <row r="1446" spans="1:13" x14ac:dyDescent="0.2">
      <c r="A1446" s="117" t="s">
        <v>38</v>
      </c>
      <c r="B1446" s="117" t="s">
        <v>104</v>
      </c>
      <c r="C1446" s="117" t="s">
        <v>225</v>
      </c>
      <c r="D1446" s="118">
        <v>55025</v>
      </c>
      <c r="E1446" s="119"/>
      <c r="F1446" s="119"/>
      <c r="G1446" s="119"/>
      <c r="H1446" s="120"/>
      <c r="I1446" s="118">
        <v>1635.82</v>
      </c>
      <c r="J1446" s="119"/>
      <c r="K1446" s="119"/>
      <c r="L1446" s="119"/>
      <c r="M1446" s="120"/>
    </row>
    <row r="1447" spans="1:13" x14ac:dyDescent="0.2">
      <c r="A1447" t="s">
        <v>38</v>
      </c>
      <c r="B1447" t="s">
        <v>140</v>
      </c>
      <c r="C1447" t="s">
        <v>222</v>
      </c>
      <c r="D1447" s="110"/>
      <c r="E1447" s="111">
        <v>53115</v>
      </c>
      <c r="F1447" s="111">
        <v>53147</v>
      </c>
      <c r="G1447" s="111">
        <v>53147</v>
      </c>
      <c r="H1447" s="112"/>
      <c r="I1447" s="110"/>
      <c r="J1447" s="111"/>
      <c r="K1447" s="111"/>
      <c r="L1447" s="111"/>
      <c r="M1447" s="112"/>
    </row>
    <row r="1448" spans="1:13" x14ac:dyDescent="0.2">
      <c r="A1448" s="113" t="s">
        <v>38</v>
      </c>
      <c r="B1448" s="113" t="s">
        <v>140</v>
      </c>
      <c r="C1448" s="113" t="s">
        <v>223</v>
      </c>
      <c r="D1448" s="114">
        <v>0</v>
      </c>
      <c r="E1448" s="115"/>
      <c r="F1448" s="115"/>
      <c r="G1448" s="115"/>
      <c r="H1448" s="116"/>
      <c r="I1448" s="114"/>
      <c r="J1448" s="115"/>
      <c r="K1448" s="115"/>
      <c r="L1448" s="115"/>
      <c r="M1448" s="116"/>
    </row>
    <row r="1449" spans="1:13" x14ac:dyDescent="0.2">
      <c r="A1449" t="s">
        <v>38</v>
      </c>
      <c r="B1449" t="s">
        <v>140</v>
      </c>
      <c r="C1449" t="s">
        <v>224</v>
      </c>
      <c r="D1449" s="110"/>
      <c r="E1449" s="111"/>
      <c r="F1449" s="111"/>
      <c r="G1449" s="111"/>
      <c r="H1449" s="112"/>
      <c r="I1449" s="110"/>
      <c r="J1449" s="111"/>
      <c r="K1449" s="111"/>
      <c r="L1449" s="111"/>
      <c r="M1449" s="112"/>
    </row>
    <row r="1450" spans="1:13" x14ac:dyDescent="0.2">
      <c r="A1450" s="117" t="s">
        <v>38</v>
      </c>
      <c r="B1450" s="117" t="s">
        <v>140</v>
      </c>
      <c r="C1450" s="117" t="s">
        <v>225</v>
      </c>
      <c r="D1450" s="118"/>
      <c r="E1450" s="119"/>
      <c r="F1450" s="119"/>
      <c r="G1450" s="119"/>
      <c r="H1450" s="120"/>
      <c r="I1450" s="118"/>
      <c r="J1450" s="119"/>
      <c r="K1450" s="119"/>
      <c r="L1450" s="119"/>
      <c r="M1450" s="120"/>
    </row>
    <row r="1451" spans="1:13" x14ac:dyDescent="0.2">
      <c r="A1451" t="s">
        <v>38</v>
      </c>
      <c r="B1451" t="s">
        <v>105</v>
      </c>
      <c r="C1451" t="s">
        <v>222</v>
      </c>
      <c r="D1451" s="110">
        <v>34190.15</v>
      </c>
      <c r="E1451" s="111">
        <v>52111.839999999997</v>
      </c>
      <c r="F1451" s="111">
        <v>83014.81</v>
      </c>
      <c r="G1451" s="111">
        <v>159497.60000000001</v>
      </c>
      <c r="H1451" s="112"/>
      <c r="I1451" s="110">
        <v>6396.59</v>
      </c>
      <c r="J1451" s="111">
        <v>12727.51</v>
      </c>
      <c r="K1451" s="111">
        <v>32687.95</v>
      </c>
      <c r="L1451" s="111">
        <v>54885.35</v>
      </c>
      <c r="M1451" s="112"/>
    </row>
    <row r="1452" spans="1:13" x14ac:dyDescent="0.2">
      <c r="A1452" s="113" t="s">
        <v>38</v>
      </c>
      <c r="B1452" s="113" t="s">
        <v>105</v>
      </c>
      <c r="C1452" s="113" t="s">
        <v>223</v>
      </c>
      <c r="D1452" s="114">
        <v>54144.52</v>
      </c>
      <c r="E1452" s="115">
        <v>76523.37</v>
      </c>
      <c r="F1452" s="115">
        <v>108487.87</v>
      </c>
      <c r="G1452" s="115"/>
      <c r="H1452" s="116"/>
      <c r="I1452" s="114">
        <v>15333.64</v>
      </c>
      <c r="J1452" s="115">
        <v>25688.31</v>
      </c>
      <c r="K1452" s="115">
        <v>36968.58</v>
      </c>
      <c r="L1452" s="115"/>
      <c r="M1452" s="116"/>
    </row>
    <row r="1453" spans="1:13" x14ac:dyDescent="0.2">
      <c r="A1453" t="s">
        <v>38</v>
      </c>
      <c r="B1453" t="s">
        <v>105</v>
      </c>
      <c r="C1453" t="s">
        <v>224</v>
      </c>
      <c r="D1453" s="110">
        <v>24583.85</v>
      </c>
      <c r="E1453" s="111">
        <v>57219.35</v>
      </c>
      <c r="F1453" s="111"/>
      <c r="G1453" s="111"/>
      <c r="H1453" s="112"/>
      <c r="I1453" s="110">
        <v>4939.17</v>
      </c>
      <c r="J1453" s="111">
        <v>12792.56</v>
      </c>
      <c r="K1453" s="111"/>
      <c r="L1453" s="111"/>
      <c r="M1453" s="112"/>
    </row>
    <row r="1454" spans="1:13" x14ac:dyDescent="0.2">
      <c r="A1454" s="117" t="s">
        <v>38</v>
      </c>
      <c r="B1454" s="117" t="s">
        <v>105</v>
      </c>
      <c r="C1454" s="117" t="s">
        <v>225</v>
      </c>
      <c r="D1454" s="118">
        <v>32835.5</v>
      </c>
      <c r="E1454" s="119"/>
      <c r="F1454" s="119"/>
      <c r="G1454" s="119"/>
      <c r="H1454" s="120"/>
      <c r="I1454" s="118">
        <v>4691.6400000000003</v>
      </c>
      <c r="J1454" s="119"/>
      <c r="K1454" s="119"/>
      <c r="L1454" s="119"/>
      <c r="M1454" s="120"/>
    </row>
    <row r="1455" spans="1:13" x14ac:dyDescent="0.2">
      <c r="A1455" t="s">
        <v>38</v>
      </c>
      <c r="B1455" t="s">
        <v>111</v>
      </c>
      <c r="C1455" t="s">
        <v>222</v>
      </c>
      <c r="D1455" s="110">
        <v>2670</v>
      </c>
      <c r="E1455" s="111">
        <v>3320</v>
      </c>
      <c r="F1455" s="111">
        <v>6585.5</v>
      </c>
      <c r="G1455" s="111">
        <v>17882.5</v>
      </c>
      <c r="H1455" s="112"/>
      <c r="I1455" s="110">
        <v>1218.3</v>
      </c>
      <c r="J1455" s="111">
        <v>1949.8</v>
      </c>
      <c r="K1455" s="111">
        <v>3357.47</v>
      </c>
      <c r="L1455" s="111">
        <v>4067.47</v>
      </c>
      <c r="M1455" s="112"/>
    </row>
    <row r="1456" spans="1:13" x14ac:dyDescent="0.2">
      <c r="A1456" s="113" t="s">
        <v>38</v>
      </c>
      <c r="B1456" s="113" t="s">
        <v>111</v>
      </c>
      <c r="C1456" s="113" t="s">
        <v>223</v>
      </c>
      <c r="D1456" s="114">
        <v>2479.38</v>
      </c>
      <c r="E1456" s="115">
        <v>3325.5</v>
      </c>
      <c r="F1456" s="115">
        <v>14622.5</v>
      </c>
      <c r="G1456" s="115"/>
      <c r="H1456" s="116"/>
      <c r="I1456" s="114">
        <v>845.5</v>
      </c>
      <c r="J1456" s="115">
        <v>1294.67</v>
      </c>
      <c r="K1456" s="115">
        <v>1818.67</v>
      </c>
      <c r="L1456" s="115"/>
      <c r="M1456" s="116"/>
    </row>
    <row r="1457" spans="1:13" x14ac:dyDescent="0.2">
      <c r="A1457" t="s">
        <v>38</v>
      </c>
      <c r="B1457" t="s">
        <v>111</v>
      </c>
      <c r="C1457" t="s">
        <v>224</v>
      </c>
      <c r="D1457" s="110">
        <v>1010</v>
      </c>
      <c r="E1457" s="111">
        <v>12407</v>
      </c>
      <c r="F1457" s="111"/>
      <c r="G1457" s="111"/>
      <c r="H1457" s="112"/>
      <c r="I1457" s="110">
        <v>190</v>
      </c>
      <c r="J1457" s="111">
        <v>614</v>
      </c>
      <c r="K1457" s="111"/>
      <c r="L1457" s="111"/>
      <c r="M1457" s="112"/>
    </row>
    <row r="1458" spans="1:13" x14ac:dyDescent="0.2">
      <c r="A1458" s="117" t="s">
        <v>38</v>
      </c>
      <c r="B1458" s="117" t="s">
        <v>111</v>
      </c>
      <c r="C1458" s="117" t="s">
        <v>225</v>
      </c>
      <c r="D1458" s="118">
        <v>11547</v>
      </c>
      <c r="E1458" s="119"/>
      <c r="F1458" s="119"/>
      <c r="G1458" s="119"/>
      <c r="H1458" s="120"/>
      <c r="I1458" s="118">
        <v>274</v>
      </c>
      <c r="J1458" s="119"/>
      <c r="K1458" s="119"/>
      <c r="L1458" s="119"/>
      <c r="M1458" s="120"/>
    </row>
    <row r="1459" spans="1:13" x14ac:dyDescent="0.2">
      <c r="A1459" s="124" t="s">
        <v>38</v>
      </c>
      <c r="B1459" s="124" t="s">
        <v>109</v>
      </c>
      <c r="C1459" s="124" t="s">
        <v>222</v>
      </c>
      <c r="D1459" s="125">
        <v>55623.75</v>
      </c>
      <c r="E1459" s="126">
        <v>62176.83</v>
      </c>
      <c r="F1459" s="126">
        <v>83750.41</v>
      </c>
      <c r="G1459" s="126">
        <v>175509.65</v>
      </c>
      <c r="H1459" s="127"/>
      <c r="I1459" s="125">
        <v>5553.95</v>
      </c>
      <c r="J1459" s="126">
        <v>13149.83</v>
      </c>
      <c r="K1459" s="126">
        <v>23732.49</v>
      </c>
      <c r="L1459" s="126">
        <v>58336.11</v>
      </c>
      <c r="M1459" s="127"/>
    </row>
    <row r="1460" spans="1:13" x14ac:dyDescent="0.2">
      <c r="A1460" s="113" t="s">
        <v>38</v>
      </c>
      <c r="B1460" s="113" t="s">
        <v>109</v>
      </c>
      <c r="C1460" s="113" t="s">
        <v>223</v>
      </c>
      <c r="D1460" s="114">
        <v>63870.68</v>
      </c>
      <c r="E1460" s="115">
        <v>80308.75</v>
      </c>
      <c r="F1460" s="115">
        <v>116214.32</v>
      </c>
      <c r="G1460" s="115"/>
      <c r="H1460" s="116"/>
      <c r="I1460" s="114">
        <v>12918.11</v>
      </c>
      <c r="J1460" s="115">
        <v>23011.599999999999</v>
      </c>
      <c r="K1460" s="115">
        <v>34403.78</v>
      </c>
      <c r="L1460" s="115"/>
      <c r="M1460" s="116"/>
    </row>
    <row r="1461" spans="1:13" x14ac:dyDescent="0.2">
      <c r="A1461" t="s">
        <v>38</v>
      </c>
      <c r="B1461" t="s">
        <v>109</v>
      </c>
      <c r="C1461" t="s">
        <v>224</v>
      </c>
      <c r="D1461" s="110">
        <v>17556.82</v>
      </c>
      <c r="E1461" s="111">
        <v>53762.39</v>
      </c>
      <c r="F1461" s="111"/>
      <c r="G1461" s="111"/>
      <c r="H1461" s="112"/>
      <c r="I1461" s="110">
        <v>2854.69</v>
      </c>
      <c r="J1461" s="111">
        <v>10672.44</v>
      </c>
      <c r="K1461" s="111"/>
      <c r="L1461" s="111"/>
      <c r="M1461" s="112"/>
    </row>
    <row r="1462" spans="1:13" x14ac:dyDescent="0.2">
      <c r="A1462" s="117" t="s">
        <v>38</v>
      </c>
      <c r="B1462" s="117" t="s">
        <v>109</v>
      </c>
      <c r="C1462" s="117" t="s">
        <v>225</v>
      </c>
      <c r="D1462" s="118">
        <v>35170.07</v>
      </c>
      <c r="E1462" s="119"/>
      <c r="F1462" s="119"/>
      <c r="G1462" s="119"/>
      <c r="H1462" s="120"/>
      <c r="I1462" s="118">
        <v>4704</v>
      </c>
      <c r="J1462" s="119"/>
      <c r="K1462" s="119"/>
      <c r="L1462" s="119"/>
      <c r="M1462" s="120"/>
    </row>
    <row r="1463" spans="1:13" x14ac:dyDescent="0.2">
      <c r="A1463" t="s">
        <v>38</v>
      </c>
      <c r="B1463" t="s">
        <v>106</v>
      </c>
      <c r="C1463" t="s">
        <v>222</v>
      </c>
      <c r="D1463" s="110">
        <v>60163.72</v>
      </c>
      <c r="E1463" s="111">
        <v>79800.740000000005</v>
      </c>
      <c r="F1463" s="111">
        <v>86740.92</v>
      </c>
      <c r="G1463" s="111">
        <v>110691.27</v>
      </c>
      <c r="H1463" s="112"/>
      <c r="I1463" s="110">
        <v>51706.49</v>
      </c>
      <c r="J1463" s="111">
        <v>63103</v>
      </c>
      <c r="K1463" s="111">
        <v>83926.69</v>
      </c>
      <c r="L1463" s="111">
        <v>106454.54</v>
      </c>
      <c r="M1463" s="112"/>
    </row>
    <row r="1464" spans="1:13" x14ac:dyDescent="0.2">
      <c r="A1464" s="113" t="s">
        <v>38</v>
      </c>
      <c r="B1464" s="113" t="s">
        <v>106</v>
      </c>
      <c r="C1464" s="113" t="s">
        <v>223</v>
      </c>
      <c r="D1464" s="114">
        <v>46833.4</v>
      </c>
      <c r="E1464" s="115">
        <v>60344.4</v>
      </c>
      <c r="F1464" s="115">
        <v>84294.75</v>
      </c>
      <c r="G1464" s="115"/>
      <c r="H1464" s="116"/>
      <c r="I1464" s="114">
        <v>46098.400000000001</v>
      </c>
      <c r="J1464" s="115">
        <v>58670.400000000001</v>
      </c>
      <c r="K1464" s="115">
        <v>81198.25</v>
      </c>
      <c r="L1464" s="115"/>
      <c r="M1464" s="116"/>
    </row>
    <row r="1465" spans="1:13" x14ac:dyDescent="0.2">
      <c r="A1465" t="s">
        <v>38</v>
      </c>
      <c r="B1465" t="s">
        <v>106</v>
      </c>
      <c r="C1465" t="s">
        <v>224</v>
      </c>
      <c r="D1465" s="110">
        <v>13611</v>
      </c>
      <c r="E1465" s="111">
        <v>37561.35</v>
      </c>
      <c r="F1465" s="111"/>
      <c r="G1465" s="111"/>
      <c r="H1465" s="112"/>
      <c r="I1465" s="110">
        <v>12558.5</v>
      </c>
      <c r="J1465" s="111">
        <v>35086.35</v>
      </c>
      <c r="K1465" s="111"/>
      <c r="L1465" s="111"/>
      <c r="M1465" s="112"/>
    </row>
    <row r="1466" spans="1:13" x14ac:dyDescent="0.2">
      <c r="A1466" s="117" t="s">
        <v>38</v>
      </c>
      <c r="B1466" s="117" t="s">
        <v>106</v>
      </c>
      <c r="C1466" s="117" t="s">
        <v>225</v>
      </c>
      <c r="D1466" s="118">
        <v>24050.34</v>
      </c>
      <c r="E1466" s="119"/>
      <c r="F1466" s="119"/>
      <c r="G1466" s="119"/>
      <c r="H1466" s="120"/>
      <c r="I1466" s="118">
        <v>22080.35</v>
      </c>
      <c r="J1466" s="119"/>
      <c r="K1466" s="119"/>
      <c r="L1466" s="119"/>
      <c r="M1466" s="120"/>
    </row>
    <row r="1467" spans="1:13" x14ac:dyDescent="0.2">
      <c r="A1467" t="s">
        <v>38</v>
      </c>
      <c r="B1467" t="s">
        <v>107</v>
      </c>
      <c r="C1467" t="s">
        <v>222</v>
      </c>
      <c r="D1467" s="110">
        <v>51364.05</v>
      </c>
      <c r="E1467" s="111">
        <v>59402.45</v>
      </c>
      <c r="F1467" s="111">
        <v>91240.11</v>
      </c>
      <c r="G1467" s="111">
        <v>131057.11</v>
      </c>
      <c r="H1467" s="112"/>
      <c r="I1467" s="110">
        <v>40518.449999999997</v>
      </c>
      <c r="J1467" s="111">
        <v>54563.45</v>
      </c>
      <c r="K1467" s="111">
        <v>90152.11</v>
      </c>
      <c r="L1467" s="111">
        <v>130714.11</v>
      </c>
      <c r="M1467" s="112"/>
    </row>
    <row r="1468" spans="1:13" x14ac:dyDescent="0.2">
      <c r="A1468" s="113" t="s">
        <v>38</v>
      </c>
      <c r="B1468" s="113" t="s">
        <v>107</v>
      </c>
      <c r="C1468" s="113" t="s">
        <v>223</v>
      </c>
      <c r="D1468" s="114">
        <v>45778.66</v>
      </c>
      <c r="E1468" s="115">
        <v>75019.710000000006</v>
      </c>
      <c r="F1468" s="115">
        <v>114836.71</v>
      </c>
      <c r="G1468" s="115"/>
      <c r="H1468" s="116"/>
      <c r="I1468" s="114">
        <v>45578.71</v>
      </c>
      <c r="J1468" s="115">
        <v>72734.710000000006</v>
      </c>
      <c r="K1468" s="115">
        <v>113296.71</v>
      </c>
      <c r="L1468" s="115"/>
      <c r="M1468" s="116"/>
    </row>
    <row r="1469" spans="1:13" x14ac:dyDescent="0.2">
      <c r="A1469" t="s">
        <v>38</v>
      </c>
      <c r="B1469" t="s">
        <v>107</v>
      </c>
      <c r="C1469" t="s">
        <v>224</v>
      </c>
      <c r="D1469" s="110">
        <v>29241.05</v>
      </c>
      <c r="E1469" s="111">
        <v>69058.05</v>
      </c>
      <c r="F1469" s="111"/>
      <c r="G1469" s="111"/>
      <c r="H1469" s="112"/>
      <c r="I1469" s="110">
        <v>27056.05</v>
      </c>
      <c r="J1469" s="111">
        <v>67518.05</v>
      </c>
      <c r="K1469" s="111"/>
      <c r="L1469" s="111"/>
      <c r="M1469" s="112"/>
    </row>
    <row r="1470" spans="1:13" x14ac:dyDescent="0.2">
      <c r="A1470" s="117" t="s">
        <v>38</v>
      </c>
      <c r="B1470" s="117" t="s">
        <v>107</v>
      </c>
      <c r="C1470" s="117" t="s">
        <v>225</v>
      </c>
      <c r="D1470" s="118">
        <v>39817</v>
      </c>
      <c r="E1470" s="119"/>
      <c r="F1470" s="119"/>
      <c r="G1470" s="119"/>
      <c r="H1470" s="120"/>
      <c r="I1470" s="118">
        <v>39037</v>
      </c>
      <c r="J1470" s="119"/>
      <c r="K1470" s="119"/>
      <c r="L1470" s="119"/>
      <c r="M1470" s="120"/>
    </row>
    <row r="1471" spans="1:13" x14ac:dyDescent="0.2">
      <c r="A1471" t="s">
        <v>38</v>
      </c>
      <c r="B1471" t="s">
        <v>108</v>
      </c>
      <c r="C1471" t="s">
        <v>222</v>
      </c>
      <c r="D1471" s="110">
        <v>17338</v>
      </c>
      <c r="E1471" s="111">
        <v>17819</v>
      </c>
      <c r="F1471" s="111">
        <v>33008</v>
      </c>
      <c r="G1471" s="111">
        <v>52880</v>
      </c>
      <c r="H1471" s="112"/>
      <c r="I1471" s="110">
        <v>15003</v>
      </c>
      <c r="J1471" s="111">
        <v>17374</v>
      </c>
      <c r="K1471" s="111">
        <v>32242</v>
      </c>
      <c r="L1471" s="111">
        <v>52648</v>
      </c>
      <c r="M1471" s="112"/>
    </row>
    <row r="1472" spans="1:13" x14ac:dyDescent="0.2">
      <c r="A1472" s="113" t="s">
        <v>38</v>
      </c>
      <c r="B1472" s="113" t="s">
        <v>108</v>
      </c>
      <c r="C1472" s="113" t="s">
        <v>223</v>
      </c>
      <c r="D1472" s="114">
        <v>12624</v>
      </c>
      <c r="E1472" s="115">
        <v>30006</v>
      </c>
      <c r="F1472" s="115">
        <v>49878</v>
      </c>
      <c r="G1472" s="115"/>
      <c r="H1472" s="116"/>
      <c r="I1472" s="114">
        <v>12308</v>
      </c>
      <c r="J1472" s="115">
        <v>29240</v>
      </c>
      <c r="K1472" s="115">
        <v>49646</v>
      </c>
      <c r="L1472" s="115"/>
      <c r="M1472" s="116"/>
    </row>
    <row r="1473" spans="1:13" x14ac:dyDescent="0.2">
      <c r="A1473" t="s">
        <v>38</v>
      </c>
      <c r="B1473" t="s">
        <v>108</v>
      </c>
      <c r="C1473" t="s">
        <v>224</v>
      </c>
      <c r="D1473" s="110">
        <v>17382</v>
      </c>
      <c r="E1473" s="111">
        <v>37254</v>
      </c>
      <c r="F1473" s="111"/>
      <c r="G1473" s="111"/>
      <c r="H1473" s="112"/>
      <c r="I1473" s="110">
        <v>16932</v>
      </c>
      <c r="J1473" s="111">
        <v>37338</v>
      </c>
      <c r="K1473" s="111"/>
      <c r="L1473" s="111"/>
      <c r="M1473" s="112"/>
    </row>
    <row r="1474" spans="1:13" x14ac:dyDescent="0.2">
      <c r="A1474" s="117" t="s">
        <v>38</v>
      </c>
      <c r="B1474" s="117" t="s">
        <v>108</v>
      </c>
      <c r="C1474" s="117" t="s">
        <v>225</v>
      </c>
      <c r="D1474" s="118">
        <v>19872</v>
      </c>
      <c r="E1474" s="119"/>
      <c r="F1474" s="119"/>
      <c r="G1474" s="119"/>
      <c r="H1474" s="120"/>
      <c r="I1474" s="118">
        <v>19661</v>
      </c>
      <c r="J1474" s="119"/>
      <c r="K1474" s="119"/>
      <c r="L1474" s="119"/>
      <c r="M1474" s="120"/>
    </row>
    <row r="1475" spans="1:13" x14ac:dyDescent="0.2">
      <c r="A1475" t="s">
        <v>38</v>
      </c>
      <c r="B1475" t="s">
        <v>70</v>
      </c>
      <c r="C1475" t="s">
        <v>222</v>
      </c>
      <c r="D1475" s="110">
        <v>29576</v>
      </c>
      <c r="E1475" s="111">
        <v>30696</v>
      </c>
      <c r="F1475" s="111">
        <v>57862.05</v>
      </c>
      <c r="G1475" s="111">
        <v>81880.850000000006</v>
      </c>
      <c r="H1475" s="112"/>
      <c r="I1475" s="110">
        <v>19795</v>
      </c>
      <c r="J1475" s="111">
        <v>21736</v>
      </c>
      <c r="K1475" s="111">
        <v>49804.31</v>
      </c>
      <c r="L1475" s="111">
        <v>69337.11</v>
      </c>
      <c r="M1475" s="112"/>
    </row>
    <row r="1476" spans="1:13" x14ac:dyDescent="0.2">
      <c r="A1476" s="113" t="s">
        <v>38</v>
      </c>
      <c r="B1476" s="113" t="s">
        <v>70</v>
      </c>
      <c r="C1476" s="113" t="s">
        <v>223</v>
      </c>
      <c r="D1476" s="114">
        <v>28618.45</v>
      </c>
      <c r="E1476" s="115">
        <v>53480.05</v>
      </c>
      <c r="F1476" s="115">
        <v>75564.850000000006</v>
      </c>
      <c r="G1476" s="115"/>
      <c r="H1476" s="116"/>
      <c r="I1476" s="114">
        <v>23102.71</v>
      </c>
      <c r="J1476" s="115">
        <v>46183.31</v>
      </c>
      <c r="K1476" s="115">
        <v>65182.11</v>
      </c>
      <c r="L1476" s="115"/>
      <c r="M1476" s="116"/>
    </row>
    <row r="1477" spans="1:13" x14ac:dyDescent="0.2">
      <c r="A1477" t="s">
        <v>38</v>
      </c>
      <c r="B1477" t="s">
        <v>70</v>
      </c>
      <c r="C1477" t="s">
        <v>224</v>
      </c>
      <c r="D1477" s="110">
        <v>25909.599999999999</v>
      </c>
      <c r="E1477" s="111">
        <v>48114.400000000001</v>
      </c>
      <c r="F1477" s="111"/>
      <c r="G1477" s="111"/>
      <c r="H1477" s="112"/>
      <c r="I1477" s="110">
        <v>21404.6</v>
      </c>
      <c r="J1477" s="111">
        <v>40403.4</v>
      </c>
      <c r="K1477" s="111"/>
      <c r="L1477" s="111"/>
      <c r="M1477" s="112"/>
    </row>
    <row r="1478" spans="1:13" x14ac:dyDescent="0.2">
      <c r="A1478" s="117" t="s">
        <v>38</v>
      </c>
      <c r="B1478" s="117" t="s">
        <v>70</v>
      </c>
      <c r="C1478" s="117" t="s">
        <v>225</v>
      </c>
      <c r="D1478" s="118">
        <v>23020.799999999999</v>
      </c>
      <c r="E1478" s="119"/>
      <c r="F1478" s="119"/>
      <c r="G1478" s="119"/>
      <c r="H1478" s="120"/>
      <c r="I1478" s="118">
        <v>18348.8</v>
      </c>
      <c r="J1478" s="119"/>
      <c r="K1478" s="119"/>
      <c r="L1478" s="119"/>
      <c r="M1478" s="120"/>
    </row>
    <row r="1479" spans="1:13" x14ac:dyDescent="0.2">
      <c r="A1479" t="s">
        <v>38</v>
      </c>
      <c r="B1479" t="s">
        <v>110</v>
      </c>
      <c r="C1479" t="s">
        <v>222</v>
      </c>
      <c r="D1479" s="110">
        <v>241217.85</v>
      </c>
      <c r="E1479" s="111">
        <v>234154.25</v>
      </c>
      <c r="F1479" s="111">
        <v>584535.94999999995</v>
      </c>
      <c r="G1479" s="111">
        <v>854115.12</v>
      </c>
      <c r="H1479" s="112"/>
      <c r="I1479" s="110">
        <v>100468</v>
      </c>
      <c r="J1479" s="111">
        <v>174891.21</v>
      </c>
      <c r="K1479" s="111">
        <v>407096.19</v>
      </c>
      <c r="L1479" s="111">
        <v>596840.71</v>
      </c>
      <c r="M1479" s="112"/>
    </row>
    <row r="1480" spans="1:13" x14ac:dyDescent="0.2">
      <c r="A1480" s="113" t="s">
        <v>38</v>
      </c>
      <c r="B1480" s="113" t="s">
        <v>110</v>
      </c>
      <c r="C1480" s="113" t="s">
        <v>223</v>
      </c>
      <c r="D1480" s="114">
        <v>242221.2</v>
      </c>
      <c r="E1480" s="115">
        <v>351963.8</v>
      </c>
      <c r="F1480" s="115">
        <v>621724.87</v>
      </c>
      <c r="G1480" s="115"/>
      <c r="H1480" s="116"/>
      <c r="I1480" s="114">
        <v>141264.95000000001</v>
      </c>
      <c r="J1480" s="115">
        <v>226778.92</v>
      </c>
      <c r="K1480" s="115">
        <v>413782.46</v>
      </c>
      <c r="L1480" s="115"/>
      <c r="M1480" s="116"/>
    </row>
    <row r="1481" spans="1:13" x14ac:dyDescent="0.2">
      <c r="A1481" t="s">
        <v>38</v>
      </c>
      <c r="B1481" t="s">
        <v>110</v>
      </c>
      <c r="C1481" t="s">
        <v>224</v>
      </c>
      <c r="D1481" s="110">
        <v>125403.45</v>
      </c>
      <c r="E1481" s="111">
        <v>396442.82</v>
      </c>
      <c r="F1481" s="111"/>
      <c r="G1481" s="111"/>
      <c r="H1481" s="112"/>
      <c r="I1481" s="110">
        <v>45412.25</v>
      </c>
      <c r="J1481" s="111">
        <v>226121.99</v>
      </c>
      <c r="K1481" s="111"/>
      <c r="L1481" s="111"/>
      <c r="M1481" s="112"/>
    </row>
    <row r="1482" spans="1:13" ht="13.5" thickBot="1" x14ac:dyDescent="0.25">
      <c r="A1482" s="128" t="s">
        <v>38</v>
      </c>
      <c r="B1482" s="128" t="s">
        <v>110</v>
      </c>
      <c r="C1482" s="128" t="s">
        <v>225</v>
      </c>
      <c r="D1482" s="129">
        <v>276291.71000000002</v>
      </c>
      <c r="E1482" s="130"/>
      <c r="F1482" s="130"/>
      <c r="G1482" s="130"/>
      <c r="H1482" s="131"/>
      <c r="I1482" s="129">
        <v>134076.13</v>
      </c>
      <c r="J1482" s="130"/>
      <c r="K1482" s="130"/>
      <c r="L1482" s="130"/>
      <c r="M1482" s="131"/>
    </row>
    <row r="1483" spans="1:13" x14ac:dyDescent="0.2">
      <c r="A1483" s="132" t="s">
        <v>39</v>
      </c>
      <c r="B1483" s="132" t="s">
        <v>104</v>
      </c>
      <c r="C1483" s="132" t="s">
        <v>222</v>
      </c>
      <c r="D1483" s="133">
        <v>92147.58</v>
      </c>
      <c r="E1483" s="134">
        <v>92047.58</v>
      </c>
      <c r="F1483" s="134">
        <v>92047.58</v>
      </c>
      <c r="G1483" s="134">
        <v>92047.58</v>
      </c>
      <c r="H1483" s="135"/>
      <c r="I1483" s="133">
        <v>1177.78</v>
      </c>
      <c r="J1483" s="134">
        <v>2881.58</v>
      </c>
      <c r="K1483" s="134">
        <v>4731.6000000000004</v>
      </c>
      <c r="L1483" s="134">
        <v>6709.06</v>
      </c>
      <c r="M1483" s="135"/>
    </row>
    <row r="1484" spans="1:13" x14ac:dyDescent="0.2">
      <c r="A1484" s="113" t="s">
        <v>39</v>
      </c>
      <c r="B1484" s="113" t="s">
        <v>104</v>
      </c>
      <c r="C1484" s="113" t="s">
        <v>223</v>
      </c>
      <c r="D1484" s="114">
        <v>37356</v>
      </c>
      <c r="E1484" s="115">
        <v>37356</v>
      </c>
      <c r="F1484" s="115">
        <v>37356</v>
      </c>
      <c r="G1484" s="115"/>
      <c r="H1484" s="116"/>
      <c r="I1484" s="114">
        <v>792.3</v>
      </c>
      <c r="J1484" s="115">
        <v>1956.63</v>
      </c>
      <c r="K1484" s="115">
        <v>2726.11</v>
      </c>
      <c r="L1484" s="115"/>
      <c r="M1484" s="116"/>
    </row>
    <row r="1485" spans="1:13" x14ac:dyDescent="0.2">
      <c r="A1485" t="s">
        <v>39</v>
      </c>
      <c r="B1485" t="s">
        <v>104</v>
      </c>
      <c r="C1485" t="s">
        <v>224</v>
      </c>
      <c r="D1485" s="110">
        <v>10399.75</v>
      </c>
      <c r="E1485" s="111">
        <v>10399.75</v>
      </c>
      <c r="F1485" s="111"/>
      <c r="G1485" s="111"/>
      <c r="H1485" s="112"/>
      <c r="I1485" s="110">
        <v>1103.5</v>
      </c>
      <c r="J1485" s="111">
        <v>1103.5</v>
      </c>
      <c r="K1485" s="111"/>
      <c r="L1485" s="111"/>
      <c r="M1485" s="112"/>
    </row>
    <row r="1486" spans="1:13" x14ac:dyDescent="0.2">
      <c r="A1486" s="117" t="s">
        <v>39</v>
      </c>
      <c r="B1486" s="117" t="s">
        <v>104</v>
      </c>
      <c r="C1486" s="117" t="s">
        <v>225</v>
      </c>
      <c r="D1486" s="118">
        <v>11390</v>
      </c>
      <c r="E1486" s="119"/>
      <c r="F1486" s="119"/>
      <c r="G1486" s="119"/>
      <c r="H1486" s="120"/>
      <c r="I1486" s="118">
        <v>100</v>
      </c>
      <c r="J1486" s="119"/>
      <c r="K1486" s="119"/>
      <c r="L1486" s="119"/>
      <c r="M1486" s="120"/>
    </row>
    <row r="1487" spans="1:13" x14ac:dyDescent="0.2">
      <c r="A1487" t="s">
        <v>39</v>
      </c>
      <c r="B1487" t="s">
        <v>140</v>
      </c>
      <c r="C1487" t="s">
        <v>222</v>
      </c>
      <c r="D1487" s="110">
        <v>53165</v>
      </c>
      <c r="E1487" s="111">
        <v>53165</v>
      </c>
      <c r="F1487" s="111">
        <v>53165</v>
      </c>
      <c r="G1487" s="111">
        <v>53165</v>
      </c>
      <c r="H1487" s="112"/>
      <c r="I1487" s="110">
        <v>0</v>
      </c>
      <c r="J1487" s="111">
        <v>0</v>
      </c>
      <c r="K1487" s="111">
        <v>0</v>
      </c>
      <c r="L1487" s="111">
        <v>0</v>
      </c>
      <c r="M1487" s="112"/>
    </row>
    <row r="1488" spans="1:13" x14ac:dyDescent="0.2">
      <c r="A1488" s="113" t="s">
        <v>39</v>
      </c>
      <c r="B1488" s="113" t="s">
        <v>140</v>
      </c>
      <c r="C1488" s="113" t="s">
        <v>223</v>
      </c>
      <c r="D1488" s="114">
        <v>0</v>
      </c>
      <c r="E1488" s="115">
        <v>0</v>
      </c>
      <c r="F1488" s="115">
        <v>0</v>
      </c>
      <c r="G1488" s="115"/>
      <c r="H1488" s="116"/>
      <c r="I1488" s="114">
        <v>0</v>
      </c>
      <c r="J1488" s="115">
        <v>0</v>
      </c>
      <c r="K1488" s="115">
        <v>0</v>
      </c>
      <c r="L1488" s="115"/>
      <c r="M1488" s="116"/>
    </row>
    <row r="1489" spans="1:13" x14ac:dyDescent="0.2">
      <c r="A1489" t="s">
        <v>39</v>
      </c>
      <c r="B1489" t="s">
        <v>140</v>
      </c>
      <c r="C1489" t="s">
        <v>224</v>
      </c>
      <c r="D1489" s="110">
        <v>0</v>
      </c>
      <c r="E1489" s="111">
        <v>0</v>
      </c>
      <c r="F1489" s="111"/>
      <c r="G1489" s="111"/>
      <c r="H1489" s="112"/>
      <c r="I1489" s="110">
        <v>0</v>
      </c>
      <c r="J1489" s="111">
        <v>0</v>
      </c>
      <c r="K1489" s="111"/>
      <c r="L1489" s="111"/>
      <c r="M1489" s="112"/>
    </row>
    <row r="1490" spans="1:13" x14ac:dyDescent="0.2">
      <c r="A1490" s="117" t="s">
        <v>39</v>
      </c>
      <c r="B1490" s="117" t="s">
        <v>140</v>
      </c>
      <c r="C1490" s="117" t="s">
        <v>225</v>
      </c>
      <c r="D1490" s="118">
        <v>0</v>
      </c>
      <c r="E1490" s="119"/>
      <c r="F1490" s="119"/>
      <c r="G1490" s="119"/>
      <c r="H1490" s="120"/>
      <c r="I1490" s="118">
        <v>0</v>
      </c>
      <c r="J1490" s="119"/>
      <c r="K1490" s="119"/>
      <c r="L1490" s="119"/>
      <c r="M1490" s="120"/>
    </row>
    <row r="1491" spans="1:13" x14ac:dyDescent="0.2">
      <c r="A1491" t="s">
        <v>39</v>
      </c>
      <c r="B1491" t="s">
        <v>105</v>
      </c>
      <c r="C1491" t="s">
        <v>222</v>
      </c>
      <c r="D1491" s="110">
        <v>7287.5</v>
      </c>
      <c r="E1491" s="111">
        <v>7141.5</v>
      </c>
      <c r="F1491" s="111">
        <v>7141.5</v>
      </c>
      <c r="G1491" s="111">
        <v>7141.5</v>
      </c>
      <c r="H1491" s="112"/>
      <c r="I1491" s="110">
        <v>2135</v>
      </c>
      <c r="J1491" s="111">
        <v>3386.5</v>
      </c>
      <c r="K1491" s="111">
        <v>3481.5</v>
      </c>
      <c r="L1491" s="111">
        <v>4386.5</v>
      </c>
      <c r="M1491" s="112"/>
    </row>
    <row r="1492" spans="1:13" x14ac:dyDescent="0.2">
      <c r="A1492" s="113" t="s">
        <v>39</v>
      </c>
      <c r="B1492" s="113" t="s">
        <v>105</v>
      </c>
      <c r="C1492" s="113" t="s">
        <v>223</v>
      </c>
      <c r="D1492" s="114">
        <v>7069.5</v>
      </c>
      <c r="E1492" s="115">
        <v>6997.5</v>
      </c>
      <c r="F1492" s="115">
        <v>6907.5</v>
      </c>
      <c r="G1492" s="115"/>
      <c r="H1492" s="116"/>
      <c r="I1492" s="114">
        <v>1418</v>
      </c>
      <c r="J1492" s="115">
        <v>2308</v>
      </c>
      <c r="K1492" s="115">
        <v>3392.25</v>
      </c>
      <c r="L1492" s="115"/>
      <c r="M1492" s="116"/>
    </row>
    <row r="1493" spans="1:13" x14ac:dyDescent="0.2">
      <c r="A1493" t="s">
        <v>39</v>
      </c>
      <c r="B1493" t="s">
        <v>105</v>
      </c>
      <c r="C1493" t="s">
        <v>224</v>
      </c>
      <c r="D1493" s="110">
        <v>4782</v>
      </c>
      <c r="E1493" s="111">
        <v>4782</v>
      </c>
      <c r="F1493" s="111"/>
      <c r="G1493" s="111"/>
      <c r="H1493" s="112"/>
      <c r="I1493" s="110">
        <v>683</v>
      </c>
      <c r="J1493" s="111">
        <v>1233</v>
      </c>
      <c r="K1493" s="111"/>
      <c r="L1493" s="111"/>
      <c r="M1493" s="112"/>
    </row>
    <row r="1494" spans="1:13" x14ac:dyDescent="0.2">
      <c r="A1494" s="117" t="s">
        <v>39</v>
      </c>
      <c r="B1494" s="117" t="s">
        <v>105</v>
      </c>
      <c r="C1494" s="117" t="s">
        <v>225</v>
      </c>
      <c r="D1494" s="118">
        <v>4697</v>
      </c>
      <c r="E1494" s="119"/>
      <c r="F1494" s="119"/>
      <c r="G1494" s="119"/>
      <c r="H1494" s="120"/>
      <c r="I1494" s="118">
        <v>1532</v>
      </c>
      <c r="J1494" s="119"/>
      <c r="K1494" s="119"/>
      <c r="L1494" s="119"/>
      <c r="M1494" s="120"/>
    </row>
    <row r="1495" spans="1:13" x14ac:dyDescent="0.2">
      <c r="A1495" t="s">
        <v>39</v>
      </c>
      <c r="B1495" t="s">
        <v>111</v>
      </c>
      <c r="C1495" t="s">
        <v>222</v>
      </c>
      <c r="D1495" s="110">
        <v>695.5</v>
      </c>
      <c r="E1495" s="111">
        <v>695.5</v>
      </c>
      <c r="F1495" s="111">
        <v>695.5</v>
      </c>
      <c r="G1495" s="111">
        <v>695.5</v>
      </c>
      <c r="H1495" s="112"/>
      <c r="I1495" s="110">
        <v>10.5</v>
      </c>
      <c r="J1495" s="111">
        <v>10.5</v>
      </c>
      <c r="K1495" s="111">
        <v>10.5</v>
      </c>
      <c r="L1495" s="111">
        <v>10.5</v>
      </c>
      <c r="M1495" s="112"/>
    </row>
    <row r="1496" spans="1:13" x14ac:dyDescent="0.2">
      <c r="A1496" s="113" t="s">
        <v>39</v>
      </c>
      <c r="B1496" s="113" t="s">
        <v>111</v>
      </c>
      <c r="C1496" s="113" t="s">
        <v>223</v>
      </c>
      <c r="D1496" s="114">
        <v>17.5</v>
      </c>
      <c r="E1496" s="115">
        <v>17.5</v>
      </c>
      <c r="F1496" s="115">
        <v>17.5</v>
      </c>
      <c r="G1496" s="115"/>
      <c r="H1496" s="116"/>
      <c r="I1496" s="114">
        <v>17.5</v>
      </c>
      <c r="J1496" s="115">
        <v>17.5</v>
      </c>
      <c r="K1496" s="115">
        <v>17.5</v>
      </c>
      <c r="L1496" s="115"/>
      <c r="M1496" s="116"/>
    </row>
    <row r="1497" spans="1:13" x14ac:dyDescent="0.2">
      <c r="A1497" t="s">
        <v>39</v>
      </c>
      <c r="B1497" t="s">
        <v>111</v>
      </c>
      <c r="C1497" t="s">
        <v>224</v>
      </c>
      <c r="D1497" s="110">
        <v>462</v>
      </c>
      <c r="E1497" s="111">
        <v>462</v>
      </c>
      <c r="F1497" s="111"/>
      <c r="G1497" s="111"/>
      <c r="H1497" s="112"/>
      <c r="I1497" s="110">
        <v>27</v>
      </c>
      <c r="J1497" s="111">
        <v>27</v>
      </c>
      <c r="K1497" s="111"/>
      <c r="L1497" s="111"/>
      <c r="M1497" s="112"/>
    </row>
    <row r="1498" spans="1:13" x14ac:dyDescent="0.2">
      <c r="A1498" s="117" t="s">
        <v>39</v>
      </c>
      <c r="B1498" s="117" t="s">
        <v>111</v>
      </c>
      <c r="C1498" s="117" t="s">
        <v>225</v>
      </c>
      <c r="D1498" s="118">
        <v>4</v>
      </c>
      <c r="E1498" s="119"/>
      <c r="F1498" s="119"/>
      <c r="G1498" s="119"/>
      <c r="H1498" s="120"/>
      <c r="I1498" s="118">
        <v>4</v>
      </c>
      <c r="J1498" s="119"/>
      <c r="K1498" s="119"/>
      <c r="L1498" s="119"/>
      <c r="M1498" s="120"/>
    </row>
    <row r="1499" spans="1:13" x14ac:dyDescent="0.2">
      <c r="A1499" s="124" t="s">
        <v>39</v>
      </c>
      <c r="B1499" s="124" t="s">
        <v>109</v>
      </c>
      <c r="C1499" s="124" t="s">
        <v>222</v>
      </c>
      <c r="D1499" s="125">
        <v>7384.5</v>
      </c>
      <c r="E1499" s="126">
        <v>7384.5</v>
      </c>
      <c r="F1499" s="126">
        <v>7384.5</v>
      </c>
      <c r="G1499" s="126">
        <v>7384.5</v>
      </c>
      <c r="H1499" s="127"/>
      <c r="I1499" s="125">
        <v>2358.5</v>
      </c>
      <c r="J1499" s="126">
        <v>2538.5</v>
      </c>
      <c r="K1499" s="126">
        <v>2813.5</v>
      </c>
      <c r="L1499" s="126">
        <v>2963.5</v>
      </c>
      <c r="M1499" s="127"/>
    </row>
    <row r="1500" spans="1:13" x14ac:dyDescent="0.2">
      <c r="A1500" s="113" t="s">
        <v>39</v>
      </c>
      <c r="B1500" s="113" t="s">
        <v>109</v>
      </c>
      <c r="C1500" s="113" t="s">
        <v>223</v>
      </c>
      <c r="D1500" s="114">
        <v>3411.5</v>
      </c>
      <c r="E1500" s="115">
        <v>3411.5</v>
      </c>
      <c r="F1500" s="115">
        <v>3411.5</v>
      </c>
      <c r="G1500" s="115"/>
      <c r="H1500" s="116"/>
      <c r="I1500" s="114">
        <v>1238.5</v>
      </c>
      <c r="J1500" s="115">
        <v>1453.5</v>
      </c>
      <c r="K1500" s="115">
        <v>1478.5</v>
      </c>
      <c r="L1500" s="115"/>
      <c r="M1500" s="116"/>
    </row>
    <row r="1501" spans="1:13" x14ac:dyDescent="0.2">
      <c r="A1501" t="s">
        <v>39</v>
      </c>
      <c r="B1501" t="s">
        <v>109</v>
      </c>
      <c r="C1501" t="s">
        <v>224</v>
      </c>
      <c r="D1501" s="110">
        <v>375</v>
      </c>
      <c r="E1501" s="111">
        <v>375</v>
      </c>
      <c r="F1501" s="111"/>
      <c r="G1501" s="111"/>
      <c r="H1501" s="112"/>
      <c r="I1501" s="110">
        <v>125</v>
      </c>
      <c r="J1501" s="111">
        <v>375</v>
      </c>
      <c r="K1501" s="111"/>
      <c r="L1501" s="111"/>
      <c r="M1501" s="112"/>
    </row>
    <row r="1502" spans="1:13" x14ac:dyDescent="0.2">
      <c r="A1502" s="117" t="s">
        <v>39</v>
      </c>
      <c r="B1502" s="117" t="s">
        <v>109</v>
      </c>
      <c r="C1502" s="117" t="s">
        <v>225</v>
      </c>
      <c r="D1502" s="118">
        <v>4992.5</v>
      </c>
      <c r="E1502" s="119"/>
      <c r="F1502" s="119"/>
      <c r="G1502" s="119"/>
      <c r="H1502" s="120"/>
      <c r="I1502" s="118">
        <v>1283.5</v>
      </c>
      <c r="J1502" s="119"/>
      <c r="K1502" s="119"/>
      <c r="L1502" s="119"/>
      <c r="M1502" s="120"/>
    </row>
    <row r="1503" spans="1:13" x14ac:dyDescent="0.2">
      <c r="A1503" t="s">
        <v>39</v>
      </c>
      <c r="B1503" t="s">
        <v>106</v>
      </c>
      <c r="C1503" t="s">
        <v>222</v>
      </c>
      <c r="D1503" s="110">
        <v>9690</v>
      </c>
      <c r="E1503" s="111">
        <v>9690</v>
      </c>
      <c r="F1503" s="111">
        <v>9690</v>
      </c>
      <c r="G1503" s="111">
        <v>9690</v>
      </c>
      <c r="H1503" s="112"/>
      <c r="I1503" s="110">
        <v>9690</v>
      </c>
      <c r="J1503" s="111">
        <v>9690</v>
      </c>
      <c r="K1503" s="111">
        <v>9690</v>
      </c>
      <c r="L1503" s="111">
        <v>9690</v>
      </c>
      <c r="M1503" s="112"/>
    </row>
    <row r="1504" spans="1:13" x14ac:dyDescent="0.2">
      <c r="A1504" s="113" t="s">
        <v>39</v>
      </c>
      <c r="B1504" s="113" t="s">
        <v>106</v>
      </c>
      <c r="C1504" s="113" t="s">
        <v>223</v>
      </c>
      <c r="D1504" s="114">
        <v>3458.5</v>
      </c>
      <c r="E1504" s="115">
        <v>3458.5</v>
      </c>
      <c r="F1504" s="115">
        <v>3458.5</v>
      </c>
      <c r="G1504" s="115"/>
      <c r="H1504" s="116"/>
      <c r="I1504" s="114">
        <v>3458.5</v>
      </c>
      <c r="J1504" s="115">
        <v>3458.5</v>
      </c>
      <c r="K1504" s="115">
        <v>3458.5</v>
      </c>
      <c r="L1504" s="115"/>
      <c r="M1504" s="116"/>
    </row>
    <row r="1505" spans="1:13" x14ac:dyDescent="0.2">
      <c r="A1505" t="s">
        <v>39</v>
      </c>
      <c r="B1505" t="s">
        <v>106</v>
      </c>
      <c r="C1505" t="s">
        <v>224</v>
      </c>
      <c r="D1505" s="110">
        <v>2910</v>
      </c>
      <c r="E1505" s="111">
        <v>2910</v>
      </c>
      <c r="F1505" s="111"/>
      <c r="G1505" s="111"/>
      <c r="H1505" s="112"/>
      <c r="I1505" s="110">
        <v>2910</v>
      </c>
      <c r="J1505" s="111">
        <v>2910</v>
      </c>
      <c r="K1505" s="111"/>
      <c r="L1505" s="111"/>
      <c r="M1505" s="112"/>
    </row>
    <row r="1506" spans="1:13" x14ac:dyDescent="0.2">
      <c r="A1506" s="117" t="s">
        <v>39</v>
      </c>
      <c r="B1506" s="117" t="s">
        <v>106</v>
      </c>
      <c r="C1506" s="117" t="s">
        <v>225</v>
      </c>
      <c r="D1506" s="118">
        <v>1805</v>
      </c>
      <c r="E1506" s="119"/>
      <c r="F1506" s="119"/>
      <c r="G1506" s="119"/>
      <c r="H1506" s="120"/>
      <c r="I1506" s="118">
        <v>1805</v>
      </c>
      <c r="J1506" s="119"/>
      <c r="K1506" s="119"/>
      <c r="L1506" s="119"/>
      <c r="M1506" s="120"/>
    </row>
    <row r="1507" spans="1:13" x14ac:dyDescent="0.2">
      <c r="A1507" t="s">
        <v>39</v>
      </c>
      <c r="B1507" t="s">
        <v>107</v>
      </c>
      <c r="C1507" t="s">
        <v>222</v>
      </c>
      <c r="D1507" s="110">
        <v>6679</v>
      </c>
      <c r="E1507" s="111">
        <v>6679</v>
      </c>
      <c r="F1507" s="111">
        <v>6679</v>
      </c>
      <c r="G1507" s="111">
        <v>6679</v>
      </c>
      <c r="H1507" s="112"/>
      <c r="I1507" s="110">
        <v>6679</v>
      </c>
      <c r="J1507" s="111">
        <v>6679</v>
      </c>
      <c r="K1507" s="111">
        <v>6679</v>
      </c>
      <c r="L1507" s="111">
        <v>6679</v>
      </c>
      <c r="M1507" s="112"/>
    </row>
    <row r="1508" spans="1:13" x14ac:dyDescent="0.2">
      <c r="A1508" s="113" t="s">
        <v>39</v>
      </c>
      <c r="B1508" s="113" t="s">
        <v>107</v>
      </c>
      <c r="C1508" s="113" t="s">
        <v>223</v>
      </c>
      <c r="D1508" s="114">
        <v>10103.629999999999</v>
      </c>
      <c r="E1508" s="115">
        <v>10103.629999999999</v>
      </c>
      <c r="F1508" s="115">
        <v>10103.629999999999</v>
      </c>
      <c r="G1508" s="115"/>
      <c r="H1508" s="116"/>
      <c r="I1508" s="114">
        <v>10103.629999999999</v>
      </c>
      <c r="J1508" s="115">
        <v>10103.629999999999</v>
      </c>
      <c r="K1508" s="115">
        <v>10103.629999999999</v>
      </c>
      <c r="L1508" s="115"/>
      <c r="M1508" s="116"/>
    </row>
    <row r="1509" spans="1:13" x14ac:dyDescent="0.2">
      <c r="A1509" t="s">
        <v>39</v>
      </c>
      <c r="B1509" t="s">
        <v>107</v>
      </c>
      <c r="C1509" t="s">
        <v>224</v>
      </c>
      <c r="D1509" s="110">
        <v>3313.89</v>
      </c>
      <c r="E1509" s="111">
        <v>3313.89</v>
      </c>
      <c r="F1509" s="111"/>
      <c r="G1509" s="111"/>
      <c r="H1509" s="112"/>
      <c r="I1509" s="110">
        <v>3313.89</v>
      </c>
      <c r="J1509" s="111">
        <v>3313.89</v>
      </c>
      <c r="K1509" s="111"/>
      <c r="L1509" s="111"/>
      <c r="M1509" s="112"/>
    </row>
    <row r="1510" spans="1:13" x14ac:dyDescent="0.2">
      <c r="A1510" s="117" t="s">
        <v>39</v>
      </c>
      <c r="B1510" s="117" t="s">
        <v>107</v>
      </c>
      <c r="C1510" s="117" t="s">
        <v>225</v>
      </c>
      <c r="D1510" s="118">
        <v>10283.56</v>
      </c>
      <c r="E1510" s="119"/>
      <c r="F1510" s="119"/>
      <c r="G1510" s="119"/>
      <c r="H1510" s="120"/>
      <c r="I1510" s="118">
        <v>9788.56</v>
      </c>
      <c r="J1510" s="119"/>
      <c r="K1510" s="119"/>
      <c r="L1510" s="119"/>
      <c r="M1510" s="120"/>
    </row>
    <row r="1511" spans="1:13" x14ac:dyDescent="0.2">
      <c r="A1511" t="s">
        <v>39</v>
      </c>
      <c r="B1511" t="s">
        <v>108</v>
      </c>
      <c r="C1511" t="s">
        <v>222</v>
      </c>
      <c r="D1511" s="110">
        <v>971</v>
      </c>
      <c r="E1511" s="111">
        <v>971</v>
      </c>
      <c r="F1511" s="111">
        <v>971</v>
      </c>
      <c r="G1511" s="111">
        <v>971</v>
      </c>
      <c r="H1511" s="112"/>
      <c r="I1511" s="110">
        <v>971</v>
      </c>
      <c r="J1511" s="111">
        <v>971</v>
      </c>
      <c r="K1511" s="111">
        <v>971</v>
      </c>
      <c r="L1511" s="111">
        <v>971</v>
      </c>
      <c r="M1511" s="112"/>
    </row>
    <row r="1512" spans="1:13" x14ac:dyDescent="0.2">
      <c r="A1512" s="113" t="s">
        <v>39</v>
      </c>
      <c r="B1512" s="113" t="s">
        <v>108</v>
      </c>
      <c r="C1512" s="113" t="s">
        <v>223</v>
      </c>
      <c r="D1512" s="114">
        <v>2976</v>
      </c>
      <c r="E1512" s="115">
        <v>2976</v>
      </c>
      <c r="F1512" s="115">
        <v>2976</v>
      </c>
      <c r="G1512" s="115"/>
      <c r="H1512" s="116"/>
      <c r="I1512" s="114">
        <v>2976</v>
      </c>
      <c r="J1512" s="115">
        <v>2976</v>
      </c>
      <c r="K1512" s="115">
        <v>2976</v>
      </c>
      <c r="L1512" s="115"/>
      <c r="M1512" s="116"/>
    </row>
    <row r="1513" spans="1:13" x14ac:dyDescent="0.2">
      <c r="A1513" t="s">
        <v>39</v>
      </c>
      <c r="B1513" t="s">
        <v>108</v>
      </c>
      <c r="C1513" t="s">
        <v>224</v>
      </c>
      <c r="D1513" s="110">
        <v>2681</v>
      </c>
      <c r="E1513" s="111">
        <v>2681</v>
      </c>
      <c r="F1513" s="111"/>
      <c r="G1513" s="111"/>
      <c r="H1513" s="112"/>
      <c r="I1513" s="110">
        <v>2681</v>
      </c>
      <c r="J1513" s="111">
        <v>2681</v>
      </c>
      <c r="K1513" s="111"/>
      <c r="L1513" s="111"/>
      <c r="M1513" s="112"/>
    </row>
    <row r="1514" spans="1:13" x14ac:dyDescent="0.2">
      <c r="A1514" s="117" t="s">
        <v>39</v>
      </c>
      <c r="B1514" s="117" t="s">
        <v>108</v>
      </c>
      <c r="C1514" s="117" t="s">
        <v>225</v>
      </c>
      <c r="D1514" s="118">
        <v>3303</v>
      </c>
      <c r="E1514" s="119"/>
      <c r="F1514" s="119"/>
      <c r="G1514" s="119"/>
      <c r="H1514" s="120"/>
      <c r="I1514" s="118">
        <v>3303</v>
      </c>
      <c r="J1514" s="119"/>
      <c r="K1514" s="119"/>
      <c r="L1514" s="119"/>
      <c r="M1514" s="120"/>
    </row>
    <row r="1515" spans="1:13" x14ac:dyDescent="0.2">
      <c r="A1515" t="s">
        <v>39</v>
      </c>
      <c r="B1515" t="s">
        <v>70</v>
      </c>
      <c r="C1515" t="s">
        <v>222</v>
      </c>
      <c r="D1515" s="110">
        <v>4095</v>
      </c>
      <c r="E1515" s="111">
        <v>4095</v>
      </c>
      <c r="F1515" s="111">
        <v>4095</v>
      </c>
      <c r="G1515" s="111">
        <v>4095</v>
      </c>
      <c r="H1515" s="112"/>
      <c r="I1515" s="110">
        <v>4095</v>
      </c>
      <c r="J1515" s="111">
        <v>4095</v>
      </c>
      <c r="K1515" s="111">
        <v>4095</v>
      </c>
      <c r="L1515" s="111">
        <v>4095</v>
      </c>
      <c r="M1515" s="112"/>
    </row>
    <row r="1516" spans="1:13" x14ac:dyDescent="0.2">
      <c r="A1516" s="113" t="s">
        <v>39</v>
      </c>
      <c r="B1516" s="113" t="s">
        <v>70</v>
      </c>
      <c r="C1516" s="113" t="s">
        <v>223</v>
      </c>
      <c r="D1516" s="114">
        <v>3394.5</v>
      </c>
      <c r="E1516" s="115">
        <v>3394.5</v>
      </c>
      <c r="F1516" s="115">
        <v>3394.5</v>
      </c>
      <c r="G1516" s="115"/>
      <c r="H1516" s="116"/>
      <c r="I1516" s="114">
        <v>3394.5</v>
      </c>
      <c r="J1516" s="115">
        <v>3394.5</v>
      </c>
      <c r="K1516" s="115">
        <v>3394.5</v>
      </c>
      <c r="L1516" s="115"/>
      <c r="M1516" s="116"/>
    </row>
    <row r="1517" spans="1:13" x14ac:dyDescent="0.2">
      <c r="A1517" t="s">
        <v>39</v>
      </c>
      <c r="B1517" t="s">
        <v>70</v>
      </c>
      <c r="C1517" t="s">
        <v>224</v>
      </c>
      <c r="D1517" s="110">
        <v>2341.5</v>
      </c>
      <c r="E1517" s="111">
        <v>2341.5</v>
      </c>
      <c r="F1517" s="111"/>
      <c r="G1517" s="111"/>
      <c r="H1517" s="112"/>
      <c r="I1517" s="110">
        <v>2341.5</v>
      </c>
      <c r="J1517" s="111">
        <v>2341.5</v>
      </c>
      <c r="K1517" s="111"/>
      <c r="L1517" s="111"/>
      <c r="M1517" s="112"/>
    </row>
    <row r="1518" spans="1:13" x14ac:dyDescent="0.2">
      <c r="A1518" s="117" t="s">
        <v>39</v>
      </c>
      <c r="B1518" s="117" t="s">
        <v>70</v>
      </c>
      <c r="C1518" s="117" t="s">
        <v>225</v>
      </c>
      <c r="D1518" s="118">
        <v>4844</v>
      </c>
      <c r="E1518" s="119"/>
      <c r="F1518" s="119"/>
      <c r="G1518" s="119"/>
      <c r="H1518" s="120"/>
      <c r="I1518" s="118">
        <v>4461</v>
      </c>
      <c r="J1518" s="119"/>
      <c r="K1518" s="119"/>
      <c r="L1518" s="119"/>
      <c r="M1518" s="120"/>
    </row>
    <row r="1519" spans="1:13" x14ac:dyDescent="0.2">
      <c r="A1519" t="s">
        <v>39</v>
      </c>
      <c r="B1519" t="s">
        <v>110</v>
      </c>
      <c r="C1519" t="s">
        <v>222</v>
      </c>
      <c r="D1519" s="110">
        <v>46774.45</v>
      </c>
      <c r="E1519" s="111">
        <v>41843.050000000003</v>
      </c>
      <c r="F1519" s="111">
        <v>41203.800000000003</v>
      </c>
      <c r="G1519" s="111">
        <v>41203.800000000003</v>
      </c>
      <c r="H1519" s="112"/>
      <c r="I1519" s="110">
        <v>20439.2</v>
      </c>
      <c r="J1519" s="111">
        <v>35362.800000000003</v>
      </c>
      <c r="K1519" s="111">
        <v>37584.800000000003</v>
      </c>
      <c r="L1519" s="111">
        <v>38316.800000000003</v>
      </c>
      <c r="M1519" s="112"/>
    </row>
    <row r="1520" spans="1:13" x14ac:dyDescent="0.2">
      <c r="A1520" s="113" t="s">
        <v>39</v>
      </c>
      <c r="B1520" s="113" t="s">
        <v>110</v>
      </c>
      <c r="C1520" s="113" t="s">
        <v>223</v>
      </c>
      <c r="D1520" s="114">
        <v>41844.800000000003</v>
      </c>
      <c r="E1520" s="115">
        <v>39132.300000000003</v>
      </c>
      <c r="F1520" s="115">
        <v>37207.300000000003</v>
      </c>
      <c r="G1520" s="115"/>
      <c r="H1520" s="116"/>
      <c r="I1520" s="114">
        <v>18831.8</v>
      </c>
      <c r="J1520" s="115">
        <v>31601.8</v>
      </c>
      <c r="K1520" s="115">
        <v>34149.300000000003</v>
      </c>
      <c r="L1520" s="115"/>
      <c r="M1520" s="116"/>
    </row>
    <row r="1521" spans="1:13" x14ac:dyDescent="0.2">
      <c r="A1521" t="s">
        <v>39</v>
      </c>
      <c r="B1521" t="s">
        <v>110</v>
      </c>
      <c r="C1521" t="s">
        <v>224</v>
      </c>
      <c r="D1521" s="110">
        <v>40536.300000000003</v>
      </c>
      <c r="E1521" s="111">
        <v>38986</v>
      </c>
      <c r="F1521" s="111"/>
      <c r="G1521" s="111"/>
      <c r="H1521" s="112"/>
      <c r="I1521" s="110">
        <v>20341.3</v>
      </c>
      <c r="J1521" s="111">
        <v>30577</v>
      </c>
      <c r="K1521" s="111"/>
      <c r="L1521" s="111"/>
      <c r="M1521" s="112"/>
    </row>
    <row r="1522" spans="1:13" ht="13.5" thickBot="1" x14ac:dyDescent="0.25">
      <c r="A1522" s="128" t="s">
        <v>39</v>
      </c>
      <c r="B1522" s="128" t="s">
        <v>110</v>
      </c>
      <c r="C1522" s="128" t="s">
        <v>225</v>
      </c>
      <c r="D1522" s="129">
        <v>39811.599999999999</v>
      </c>
      <c r="E1522" s="130"/>
      <c r="F1522" s="130"/>
      <c r="G1522" s="130"/>
      <c r="H1522" s="131"/>
      <c r="I1522" s="129">
        <v>16085.6</v>
      </c>
      <c r="J1522" s="130"/>
      <c r="K1522" s="130"/>
      <c r="L1522" s="130"/>
      <c r="M1522" s="131"/>
    </row>
    <row r="1523" spans="1:13" x14ac:dyDescent="0.2">
      <c r="A1523" s="132" t="s">
        <v>40</v>
      </c>
      <c r="B1523" s="132" t="s">
        <v>104</v>
      </c>
      <c r="C1523" s="132" t="s">
        <v>222</v>
      </c>
      <c r="D1523" s="133">
        <v>54188</v>
      </c>
      <c r="E1523" s="134">
        <v>54188</v>
      </c>
      <c r="F1523" s="134">
        <v>54688</v>
      </c>
      <c r="G1523" s="134">
        <v>54688</v>
      </c>
      <c r="H1523" s="135"/>
      <c r="I1523" s="133">
        <v>1400.48</v>
      </c>
      <c r="J1523" s="134">
        <v>3932.96</v>
      </c>
      <c r="K1523" s="134">
        <v>5755.42</v>
      </c>
      <c r="L1523" s="134">
        <v>7038.9</v>
      </c>
      <c r="M1523" s="135"/>
    </row>
    <row r="1524" spans="1:13" x14ac:dyDescent="0.2">
      <c r="A1524" s="113" t="s">
        <v>40</v>
      </c>
      <c r="B1524" s="113" t="s">
        <v>104</v>
      </c>
      <c r="C1524" s="113" t="s">
        <v>223</v>
      </c>
      <c r="D1524" s="114">
        <v>71551</v>
      </c>
      <c r="E1524" s="115">
        <v>71551</v>
      </c>
      <c r="F1524" s="115">
        <v>71551</v>
      </c>
      <c r="G1524" s="115"/>
      <c r="H1524" s="116"/>
      <c r="I1524" s="114">
        <v>430.2</v>
      </c>
      <c r="J1524" s="115">
        <v>2407.3200000000002</v>
      </c>
      <c r="K1524" s="115">
        <v>3377.51</v>
      </c>
      <c r="L1524" s="115"/>
      <c r="M1524" s="116"/>
    </row>
    <row r="1525" spans="1:13" x14ac:dyDescent="0.2">
      <c r="A1525" t="s">
        <v>40</v>
      </c>
      <c r="B1525" t="s">
        <v>104</v>
      </c>
      <c r="C1525" t="s">
        <v>224</v>
      </c>
      <c r="D1525" s="110">
        <v>3386</v>
      </c>
      <c r="E1525" s="111">
        <v>3386</v>
      </c>
      <c r="F1525" s="111"/>
      <c r="G1525" s="111"/>
      <c r="H1525" s="112"/>
      <c r="I1525" s="110">
        <v>422.12</v>
      </c>
      <c r="J1525" s="111">
        <v>518.27</v>
      </c>
      <c r="K1525" s="111"/>
      <c r="L1525" s="111"/>
      <c r="M1525" s="112"/>
    </row>
    <row r="1526" spans="1:13" x14ac:dyDescent="0.2">
      <c r="A1526" s="117" t="s">
        <v>40</v>
      </c>
      <c r="B1526" s="117" t="s">
        <v>104</v>
      </c>
      <c r="C1526" s="117" t="s">
        <v>225</v>
      </c>
      <c r="D1526" s="118">
        <v>43105</v>
      </c>
      <c r="E1526" s="119"/>
      <c r="F1526" s="119"/>
      <c r="G1526" s="119"/>
      <c r="H1526" s="120"/>
      <c r="I1526" s="118">
        <v>762.52</v>
      </c>
      <c r="J1526" s="119"/>
      <c r="K1526" s="119"/>
      <c r="L1526" s="119"/>
      <c r="M1526" s="120"/>
    </row>
    <row r="1527" spans="1:13" x14ac:dyDescent="0.2">
      <c r="A1527" t="s">
        <v>40</v>
      </c>
      <c r="B1527" t="s">
        <v>140</v>
      </c>
      <c r="C1527" t="s">
        <v>222</v>
      </c>
      <c r="D1527" s="110">
        <v>0</v>
      </c>
      <c r="E1527" s="111">
        <v>0</v>
      </c>
      <c r="F1527" s="111">
        <v>0</v>
      </c>
      <c r="G1527" s="111">
        <v>0</v>
      </c>
      <c r="H1527" s="112"/>
      <c r="I1527" s="110">
        <v>0</v>
      </c>
      <c r="J1527" s="111">
        <v>0</v>
      </c>
      <c r="K1527" s="111">
        <v>0</v>
      </c>
      <c r="L1527" s="111">
        <v>0</v>
      </c>
      <c r="M1527" s="112"/>
    </row>
    <row r="1528" spans="1:13" x14ac:dyDescent="0.2">
      <c r="A1528" s="113" t="s">
        <v>40</v>
      </c>
      <c r="B1528" s="113" t="s">
        <v>140</v>
      </c>
      <c r="C1528" s="113" t="s">
        <v>223</v>
      </c>
      <c r="D1528" s="114">
        <v>0</v>
      </c>
      <c r="E1528" s="115">
        <v>0</v>
      </c>
      <c r="F1528" s="115">
        <v>0</v>
      </c>
      <c r="G1528" s="115"/>
      <c r="H1528" s="116"/>
      <c r="I1528" s="114">
        <v>0</v>
      </c>
      <c r="J1528" s="115">
        <v>0</v>
      </c>
      <c r="K1528" s="115">
        <v>0</v>
      </c>
      <c r="L1528" s="115"/>
      <c r="M1528" s="116"/>
    </row>
    <row r="1529" spans="1:13" x14ac:dyDescent="0.2">
      <c r="A1529" t="s">
        <v>40</v>
      </c>
      <c r="B1529" t="s">
        <v>140</v>
      </c>
      <c r="C1529" t="s">
        <v>224</v>
      </c>
      <c r="D1529" s="110">
        <v>0</v>
      </c>
      <c r="E1529" s="111">
        <v>0</v>
      </c>
      <c r="F1529" s="111"/>
      <c r="G1529" s="111"/>
      <c r="H1529" s="112"/>
      <c r="I1529" s="110">
        <v>0</v>
      </c>
      <c r="J1529" s="111">
        <v>0</v>
      </c>
      <c r="K1529" s="111"/>
      <c r="L1529" s="111"/>
      <c r="M1529" s="112"/>
    </row>
    <row r="1530" spans="1:13" x14ac:dyDescent="0.2">
      <c r="A1530" s="117" t="s">
        <v>40</v>
      </c>
      <c r="B1530" s="117" t="s">
        <v>140</v>
      </c>
      <c r="C1530" s="117" t="s">
        <v>225</v>
      </c>
      <c r="D1530" s="118">
        <v>0</v>
      </c>
      <c r="E1530" s="119"/>
      <c r="F1530" s="119"/>
      <c r="G1530" s="119"/>
      <c r="H1530" s="120"/>
      <c r="I1530" s="118">
        <v>0</v>
      </c>
      <c r="J1530" s="119"/>
      <c r="K1530" s="119"/>
      <c r="L1530" s="119"/>
      <c r="M1530" s="120"/>
    </row>
    <row r="1531" spans="1:13" x14ac:dyDescent="0.2">
      <c r="A1531" t="s">
        <v>40</v>
      </c>
      <c r="B1531" t="s">
        <v>105</v>
      </c>
      <c r="C1531" t="s">
        <v>222</v>
      </c>
      <c r="D1531" s="110">
        <v>7868.6</v>
      </c>
      <c r="E1531" s="111">
        <v>7868.6</v>
      </c>
      <c r="F1531" s="111">
        <v>7556.1</v>
      </c>
      <c r="G1531" s="111">
        <v>7556.1</v>
      </c>
      <c r="H1531" s="112"/>
      <c r="I1531" s="110">
        <v>2091.1</v>
      </c>
      <c r="J1531" s="111">
        <v>2423.6</v>
      </c>
      <c r="K1531" s="111">
        <v>3191.1</v>
      </c>
      <c r="L1531" s="111">
        <v>3261.1</v>
      </c>
      <c r="M1531" s="112"/>
    </row>
    <row r="1532" spans="1:13" x14ac:dyDescent="0.2">
      <c r="A1532" s="113" t="s">
        <v>40</v>
      </c>
      <c r="B1532" s="113" t="s">
        <v>105</v>
      </c>
      <c r="C1532" s="113" t="s">
        <v>223</v>
      </c>
      <c r="D1532" s="114">
        <v>12089.6</v>
      </c>
      <c r="E1532" s="115">
        <v>12164.6</v>
      </c>
      <c r="F1532" s="115">
        <v>12164.6</v>
      </c>
      <c r="G1532" s="115"/>
      <c r="H1532" s="116"/>
      <c r="I1532" s="114">
        <v>3012.5</v>
      </c>
      <c r="J1532" s="115">
        <v>5148.5</v>
      </c>
      <c r="K1532" s="115">
        <v>5827.5</v>
      </c>
      <c r="L1532" s="115"/>
      <c r="M1532" s="116"/>
    </row>
    <row r="1533" spans="1:13" x14ac:dyDescent="0.2">
      <c r="A1533" t="s">
        <v>40</v>
      </c>
      <c r="B1533" t="s">
        <v>105</v>
      </c>
      <c r="C1533" t="s">
        <v>224</v>
      </c>
      <c r="D1533" s="110">
        <v>677.5</v>
      </c>
      <c r="E1533" s="111">
        <v>677.5</v>
      </c>
      <c r="F1533" s="111"/>
      <c r="G1533" s="111"/>
      <c r="H1533" s="112"/>
      <c r="I1533" s="110">
        <v>280</v>
      </c>
      <c r="J1533" s="111">
        <v>335</v>
      </c>
      <c r="K1533" s="111"/>
      <c r="L1533" s="111"/>
      <c r="M1533" s="112"/>
    </row>
    <row r="1534" spans="1:13" x14ac:dyDescent="0.2">
      <c r="A1534" s="117" t="s">
        <v>40</v>
      </c>
      <c r="B1534" s="117" t="s">
        <v>105</v>
      </c>
      <c r="C1534" s="117" t="s">
        <v>225</v>
      </c>
      <c r="D1534" s="118">
        <v>4291.5</v>
      </c>
      <c r="E1534" s="119"/>
      <c r="F1534" s="119"/>
      <c r="G1534" s="119"/>
      <c r="H1534" s="120"/>
      <c r="I1534" s="118">
        <v>576</v>
      </c>
      <c r="J1534" s="119"/>
      <c r="K1534" s="119"/>
      <c r="L1534" s="119"/>
      <c r="M1534" s="120"/>
    </row>
    <row r="1535" spans="1:13" x14ac:dyDescent="0.2">
      <c r="A1535" t="s">
        <v>40</v>
      </c>
      <c r="B1535" t="s">
        <v>111</v>
      </c>
      <c r="C1535" t="s">
        <v>222</v>
      </c>
      <c r="D1535" s="110">
        <v>753.5</v>
      </c>
      <c r="E1535" s="111">
        <v>653.5</v>
      </c>
      <c r="F1535" s="111">
        <v>653.5</v>
      </c>
      <c r="G1535" s="111">
        <v>653.5</v>
      </c>
      <c r="H1535" s="112"/>
      <c r="I1535" s="110">
        <v>0</v>
      </c>
      <c r="J1535" s="111">
        <v>100</v>
      </c>
      <c r="K1535" s="111">
        <v>100</v>
      </c>
      <c r="L1535" s="111">
        <v>100</v>
      </c>
      <c r="M1535" s="112"/>
    </row>
    <row r="1536" spans="1:13" x14ac:dyDescent="0.2">
      <c r="A1536" s="113" t="s">
        <v>40</v>
      </c>
      <c r="B1536" s="113" t="s">
        <v>111</v>
      </c>
      <c r="C1536" s="113" t="s">
        <v>223</v>
      </c>
      <c r="D1536" s="114">
        <v>1000</v>
      </c>
      <c r="E1536" s="115">
        <v>1000</v>
      </c>
      <c r="F1536" s="115">
        <v>900</v>
      </c>
      <c r="G1536" s="115"/>
      <c r="H1536" s="116"/>
      <c r="I1536" s="114">
        <v>300</v>
      </c>
      <c r="J1536" s="115">
        <v>400</v>
      </c>
      <c r="K1536" s="115">
        <v>400</v>
      </c>
      <c r="L1536" s="115"/>
      <c r="M1536" s="116"/>
    </row>
    <row r="1537" spans="1:13" x14ac:dyDescent="0.2">
      <c r="A1537" t="s">
        <v>40</v>
      </c>
      <c r="B1537" t="s">
        <v>111</v>
      </c>
      <c r="C1537" t="s">
        <v>224</v>
      </c>
      <c r="D1537" s="110">
        <v>1350</v>
      </c>
      <c r="E1537" s="111">
        <v>1350</v>
      </c>
      <c r="F1537" s="111"/>
      <c r="G1537" s="111"/>
      <c r="H1537" s="112"/>
      <c r="I1537" s="110">
        <v>1050</v>
      </c>
      <c r="J1537" s="111">
        <v>1050</v>
      </c>
      <c r="K1537" s="111"/>
      <c r="L1537" s="111"/>
      <c r="M1537" s="112"/>
    </row>
    <row r="1538" spans="1:13" x14ac:dyDescent="0.2">
      <c r="A1538" s="117" t="s">
        <v>40</v>
      </c>
      <c r="B1538" s="117" t="s">
        <v>111</v>
      </c>
      <c r="C1538" s="117" t="s">
        <v>225</v>
      </c>
      <c r="D1538" s="118">
        <v>150</v>
      </c>
      <c r="E1538" s="119"/>
      <c r="F1538" s="119"/>
      <c r="G1538" s="119"/>
      <c r="H1538" s="120"/>
      <c r="I1538" s="118">
        <v>0</v>
      </c>
      <c r="J1538" s="119"/>
      <c r="K1538" s="119"/>
      <c r="L1538" s="119"/>
      <c r="M1538" s="120"/>
    </row>
    <row r="1539" spans="1:13" x14ac:dyDescent="0.2">
      <c r="A1539" s="124" t="s">
        <v>40</v>
      </c>
      <c r="B1539" s="124" t="s">
        <v>109</v>
      </c>
      <c r="C1539" s="124" t="s">
        <v>222</v>
      </c>
      <c r="D1539" s="125">
        <v>24660.3</v>
      </c>
      <c r="E1539" s="126">
        <v>24760.3</v>
      </c>
      <c r="F1539" s="126">
        <v>24810.3</v>
      </c>
      <c r="G1539" s="126">
        <v>24810.3</v>
      </c>
      <c r="H1539" s="127"/>
      <c r="I1539" s="125">
        <v>6889.1</v>
      </c>
      <c r="J1539" s="126">
        <v>16048</v>
      </c>
      <c r="K1539" s="126">
        <v>17397.8</v>
      </c>
      <c r="L1539" s="126">
        <v>17886</v>
      </c>
      <c r="M1539" s="127"/>
    </row>
    <row r="1540" spans="1:13" x14ac:dyDescent="0.2">
      <c r="A1540" s="113" t="s">
        <v>40</v>
      </c>
      <c r="B1540" s="113" t="s">
        <v>109</v>
      </c>
      <c r="C1540" s="113" t="s">
        <v>223</v>
      </c>
      <c r="D1540" s="114">
        <v>25495.8</v>
      </c>
      <c r="E1540" s="115">
        <v>25495.8</v>
      </c>
      <c r="F1540" s="115">
        <v>25495.8</v>
      </c>
      <c r="G1540" s="115"/>
      <c r="H1540" s="116"/>
      <c r="I1540" s="114">
        <v>8310.7999999999993</v>
      </c>
      <c r="J1540" s="115">
        <v>13342.3</v>
      </c>
      <c r="K1540" s="115">
        <v>15113.6</v>
      </c>
      <c r="L1540" s="115"/>
      <c r="M1540" s="116"/>
    </row>
    <row r="1541" spans="1:13" x14ac:dyDescent="0.2">
      <c r="A1541" t="s">
        <v>40</v>
      </c>
      <c r="B1541" t="s">
        <v>109</v>
      </c>
      <c r="C1541" t="s">
        <v>224</v>
      </c>
      <c r="D1541" s="110">
        <v>5129.6000000000004</v>
      </c>
      <c r="E1541" s="111">
        <v>5129.6000000000004</v>
      </c>
      <c r="F1541" s="111"/>
      <c r="G1541" s="111"/>
      <c r="H1541" s="112"/>
      <c r="I1541" s="110">
        <v>4172.3</v>
      </c>
      <c r="J1541" s="111">
        <v>4860.5</v>
      </c>
      <c r="K1541" s="111"/>
      <c r="L1541" s="111"/>
      <c r="M1541" s="112"/>
    </row>
    <row r="1542" spans="1:13" x14ac:dyDescent="0.2">
      <c r="A1542" s="117" t="s">
        <v>40</v>
      </c>
      <c r="B1542" s="117" t="s">
        <v>109</v>
      </c>
      <c r="C1542" s="117" t="s">
        <v>225</v>
      </c>
      <c r="D1542" s="118">
        <v>4380.3</v>
      </c>
      <c r="E1542" s="119"/>
      <c r="F1542" s="119"/>
      <c r="G1542" s="119"/>
      <c r="H1542" s="120"/>
      <c r="I1542" s="118">
        <v>823.3</v>
      </c>
      <c r="J1542" s="119"/>
      <c r="K1542" s="119"/>
      <c r="L1542" s="119"/>
      <c r="M1542" s="120"/>
    </row>
    <row r="1543" spans="1:13" x14ac:dyDescent="0.2">
      <c r="A1543" t="s">
        <v>40</v>
      </c>
      <c r="B1543" t="s">
        <v>106</v>
      </c>
      <c r="C1543" t="s">
        <v>222</v>
      </c>
      <c r="D1543" s="110">
        <v>17515</v>
      </c>
      <c r="E1543" s="111">
        <v>17515</v>
      </c>
      <c r="F1543" s="111">
        <v>17515</v>
      </c>
      <c r="G1543" s="111">
        <v>17515</v>
      </c>
      <c r="H1543" s="112"/>
      <c r="I1543" s="110">
        <v>16665</v>
      </c>
      <c r="J1543" s="111">
        <v>16665</v>
      </c>
      <c r="K1543" s="111">
        <v>16665</v>
      </c>
      <c r="L1543" s="111">
        <v>16665</v>
      </c>
      <c r="M1543" s="112"/>
    </row>
    <row r="1544" spans="1:13" x14ac:dyDescent="0.2">
      <c r="A1544" s="113" t="s">
        <v>40</v>
      </c>
      <c r="B1544" s="113" t="s">
        <v>106</v>
      </c>
      <c r="C1544" s="113" t="s">
        <v>223</v>
      </c>
      <c r="D1544" s="114">
        <v>11780.5</v>
      </c>
      <c r="E1544" s="115">
        <v>11780.5</v>
      </c>
      <c r="F1544" s="115">
        <v>11780.5</v>
      </c>
      <c r="G1544" s="115"/>
      <c r="H1544" s="116"/>
      <c r="I1544" s="114">
        <v>9770.5</v>
      </c>
      <c r="J1544" s="115">
        <v>10180.5</v>
      </c>
      <c r="K1544" s="115">
        <v>10180.5</v>
      </c>
      <c r="L1544" s="115"/>
      <c r="M1544" s="116"/>
    </row>
    <row r="1545" spans="1:13" x14ac:dyDescent="0.2">
      <c r="A1545" t="s">
        <v>40</v>
      </c>
      <c r="B1545" t="s">
        <v>106</v>
      </c>
      <c r="C1545" t="s">
        <v>224</v>
      </c>
      <c r="D1545" s="110">
        <v>8545</v>
      </c>
      <c r="E1545" s="111">
        <v>8545</v>
      </c>
      <c r="F1545" s="111"/>
      <c r="G1545" s="111"/>
      <c r="H1545" s="112"/>
      <c r="I1545" s="110">
        <v>7345</v>
      </c>
      <c r="J1545" s="111">
        <v>7345</v>
      </c>
      <c r="K1545" s="111"/>
      <c r="L1545" s="111"/>
      <c r="M1545" s="112"/>
    </row>
    <row r="1546" spans="1:13" x14ac:dyDescent="0.2">
      <c r="A1546" s="117" t="s">
        <v>40</v>
      </c>
      <c r="B1546" s="117" t="s">
        <v>106</v>
      </c>
      <c r="C1546" s="117" t="s">
        <v>225</v>
      </c>
      <c r="D1546" s="118">
        <v>11340.8</v>
      </c>
      <c r="E1546" s="119"/>
      <c r="F1546" s="119"/>
      <c r="G1546" s="119"/>
      <c r="H1546" s="120"/>
      <c r="I1546" s="118">
        <v>9310.7999999999993</v>
      </c>
      <c r="J1546" s="119"/>
      <c r="K1546" s="119"/>
      <c r="L1546" s="119"/>
      <c r="M1546" s="120"/>
    </row>
    <row r="1547" spans="1:13" x14ac:dyDescent="0.2">
      <c r="A1547" t="s">
        <v>40</v>
      </c>
      <c r="B1547" t="s">
        <v>107</v>
      </c>
      <c r="C1547" t="s">
        <v>222</v>
      </c>
      <c r="D1547" s="110">
        <v>18954.240000000002</v>
      </c>
      <c r="E1547" s="111">
        <v>18954.240000000002</v>
      </c>
      <c r="F1547" s="111">
        <v>18954.240000000002</v>
      </c>
      <c r="G1547" s="111">
        <v>18954.240000000002</v>
      </c>
      <c r="H1547" s="112"/>
      <c r="I1547" s="110">
        <v>18637.240000000002</v>
      </c>
      <c r="J1547" s="111">
        <v>18947.240000000002</v>
      </c>
      <c r="K1547" s="111">
        <v>18947.240000000002</v>
      </c>
      <c r="L1547" s="111">
        <v>18947.240000000002</v>
      </c>
      <c r="M1547" s="112"/>
    </row>
    <row r="1548" spans="1:13" x14ac:dyDescent="0.2">
      <c r="A1548" s="113" t="s">
        <v>40</v>
      </c>
      <c r="B1548" s="113" t="s">
        <v>107</v>
      </c>
      <c r="C1548" s="113" t="s">
        <v>223</v>
      </c>
      <c r="D1548" s="114">
        <v>27565</v>
      </c>
      <c r="E1548" s="115">
        <v>27565</v>
      </c>
      <c r="F1548" s="115">
        <v>27565</v>
      </c>
      <c r="G1548" s="115"/>
      <c r="H1548" s="116"/>
      <c r="I1548" s="114">
        <v>26950</v>
      </c>
      <c r="J1548" s="115">
        <v>27445</v>
      </c>
      <c r="K1548" s="115">
        <v>27445</v>
      </c>
      <c r="L1548" s="115"/>
      <c r="M1548" s="116"/>
    </row>
    <row r="1549" spans="1:13" x14ac:dyDescent="0.2">
      <c r="A1549" t="s">
        <v>40</v>
      </c>
      <c r="B1549" t="s">
        <v>107</v>
      </c>
      <c r="C1549" t="s">
        <v>224</v>
      </c>
      <c r="D1549" s="110">
        <v>11220</v>
      </c>
      <c r="E1549" s="111">
        <v>11220</v>
      </c>
      <c r="F1549" s="111"/>
      <c r="G1549" s="111"/>
      <c r="H1549" s="112"/>
      <c r="I1549" s="110">
        <v>11220</v>
      </c>
      <c r="J1549" s="111">
        <v>11220</v>
      </c>
      <c r="K1549" s="111"/>
      <c r="L1549" s="111"/>
      <c r="M1549" s="112"/>
    </row>
    <row r="1550" spans="1:13" x14ac:dyDescent="0.2">
      <c r="A1550" s="117" t="s">
        <v>40</v>
      </c>
      <c r="B1550" s="117" t="s">
        <v>107</v>
      </c>
      <c r="C1550" s="117" t="s">
        <v>225</v>
      </c>
      <c r="D1550" s="118">
        <v>15585</v>
      </c>
      <c r="E1550" s="119"/>
      <c r="F1550" s="119"/>
      <c r="G1550" s="119"/>
      <c r="H1550" s="120"/>
      <c r="I1550" s="118">
        <v>15110</v>
      </c>
      <c r="J1550" s="119"/>
      <c r="K1550" s="119"/>
      <c r="L1550" s="119"/>
      <c r="M1550" s="120"/>
    </row>
    <row r="1551" spans="1:13" x14ac:dyDescent="0.2">
      <c r="A1551" t="s">
        <v>40</v>
      </c>
      <c r="B1551" t="s">
        <v>108</v>
      </c>
      <c r="C1551" t="s">
        <v>222</v>
      </c>
      <c r="D1551" s="110">
        <v>5506</v>
      </c>
      <c r="E1551" s="111">
        <v>5506</v>
      </c>
      <c r="F1551" s="111">
        <v>5506</v>
      </c>
      <c r="G1551" s="111">
        <v>5506</v>
      </c>
      <c r="H1551" s="112"/>
      <c r="I1551" s="110">
        <v>5506</v>
      </c>
      <c r="J1551" s="111">
        <v>5506</v>
      </c>
      <c r="K1551" s="111">
        <v>5506</v>
      </c>
      <c r="L1551" s="111">
        <v>5506</v>
      </c>
      <c r="M1551" s="112"/>
    </row>
    <row r="1552" spans="1:13" x14ac:dyDescent="0.2">
      <c r="A1552" s="113" t="s">
        <v>40</v>
      </c>
      <c r="B1552" s="113" t="s">
        <v>108</v>
      </c>
      <c r="C1552" s="113" t="s">
        <v>223</v>
      </c>
      <c r="D1552" s="114">
        <v>8882</v>
      </c>
      <c r="E1552" s="115">
        <v>8882</v>
      </c>
      <c r="F1552" s="115">
        <v>8882</v>
      </c>
      <c r="G1552" s="115"/>
      <c r="H1552" s="116"/>
      <c r="I1552" s="114">
        <v>8808</v>
      </c>
      <c r="J1552" s="115">
        <v>8808</v>
      </c>
      <c r="K1552" s="115">
        <v>8808</v>
      </c>
      <c r="L1552" s="115"/>
      <c r="M1552" s="116"/>
    </row>
    <row r="1553" spans="1:13" x14ac:dyDescent="0.2">
      <c r="A1553" t="s">
        <v>40</v>
      </c>
      <c r="B1553" t="s">
        <v>108</v>
      </c>
      <c r="C1553" t="s">
        <v>224</v>
      </c>
      <c r="D1553" s="110">
        <v>5622</v>
      </c>
      <c r="E1553" s="111">
        <v>5622</v>
      </c>
      <c r="F1553" s="111"/>
      <c r="G1553" s="111"/>
      <c r="H1553" s="112"/>
      <c r="I1553" s="110">
        <v>5622</v>
      </c>
      <c r="J1553" s="111">
        <v>5622</v>
      </c>
      <c r="K1553" s="111"/>
      <c r="L1553" s="111"/>
      <c r="M1553" s="112"/>
    </row>
    <row r="1554" spans="1:13" x14ac:dyDescent="0.2">
      <c r="A1554" s="117" t="s">
        <v>40</v>
      </c>
      <c r="B1554" s="117" t="s">
        <v>108</v>
      </c>
      <c r="C1554" s="117" t="s">
        <v>225</v>
      </c>
      <c r="D1554" s="118">
        <v>7718</v>
      </c>
      <c r="E1554" s="119"/>
      <c r="F1554" s="119"/>
      <c r="G1554" s="119"/>
      <c r="H1554" s="120"/>
      <c r="I1554" s="118">
        <v>7718</v>
      </c>
      <c r="J1554" s="119"/>
      <c r="K1554" s="119"/>
      <c r="L1554" s="119"/>
      <c r="M1554" s="120"/>
    </row>
    <row r="1555" spans="1:13" x14ac:dyDescent="0.2">
      <c r="A1555" t="s">
        <v>40</v>
      </c>
      <c r="B1555" t="s">
        <v>70</v>
      </c>
      <c r="C1555" t="s">
        <v>222</v>
      </c>
      <c r="D1555" s="110">
        <v>7305</v>
      </c>
      <c r="E1555" s="111">
        <v>6897</v>
      </c>
      <c r="F1555" s="111">
        <v>6897</v>
      </c>
      <c r="G1555" s="111">
        <v>6897</v>
      </c>
      <c r="H1555" s="112"/>
      <c r="I1555" s="110">
        <v>6089</v>
      </c>
      <c r="J1555" s="111">
        <v>6089</v>
      </c>
      <c r="K1555" s="111">
        <v>6089</v>
      </c>
      <c r="L1555" s="111">
        <v>6089</v>
      </c>
      <c r="M1555" s="112"/>
    </row>
    <row r="1556" spans="1:13" x14ac:dyDescent="0.2">
      <c r="A1556" s="113" t="s">
        <v>40</v>
      </c>
      <c r="B1556" s="113" t="s">
        <v>70</v>
      </c>
      <c r="C1556" s="113" t="s">
        <v>223</v>
      </c>
      <c r="D1556" s="114">
        <v>12463</v>
      </c>
      <c r="E1556" s="115">
        <v>12463</v>
      </c>
      <c r="F1556" s="115">
        <v>12463</v>
      </c>
      <c r="G1556" s="115"/>
      <c r="H1556" s="116"/>
      <c r="I1556" s="114">
        <v>11671</v>
      </c>
      <c r="J1556" s="115">
        <v>12113</v>
      </c>
      <c r="K1556" s="115">
        <v>12113</v>
      </c>
      <c r="L1556" s="115"/>
      <c r="M1556" s="116"/>
    </row>
    <row r="1557" spans="1:13" x14ac:dyDescent="0.2">
      <c r="A1557" t="s">
        <v>40</v>
      </c>
      <c r="B1557" t="s">
        <v>70</v>
      </c>
      <c r="C1557" t="s">
        <v>224</v>
      </c>
      <c r="D1557" s="110">
        <v>4680</v>
      </c>
      <c r="E1557" s="111">
        <v>4680</v>
      </c>
      <c r="F1557" s="111"/>
      <c r="G1557" s="111"/>
      <c r="H1557" s="112"/>
      <c r="I1557" s="110">
        <v>4604</v>
      </c>
      <c r="J1557" s="111">
        <v>4604</v>
      </c>
      <c r="K1557" s="111"/>
      <c r="L1557" s="111"/>
      <c r="M1557" s="112"/>
    </row>
    <row r="1558" spans="1:13" x14ac:dyDescent="0.2">
      <c r="A1558" s="117" t="s">
        <v>40</v>
      </c>
      <c r="B1558" s="117" t="s">
        <v>70</v>
      </c>
      <c r="C1558" s="117" t="s">
        <v>225</v>
      </c>
      <c r="D1558" s="118">
        <v>7610</v>
      </c>
      <c r="E1558" s="119"/>
      <c r="F1558" s="119"/>
      <c r="G1558" s="119"/>
      <c r="H1558" s="120"/>
      <c r="I1558" s="118">
        <v>6704</v>
      </c>
      <c r="J1558" s="119"/>
      <c r="K1558" s="119"/>
      <c r="L1558" s="119"/>
      <c r="M1558" s="120"/>
    </row>
    <row r="1559" spans="1:13" x14ac:dyDescent="0.2">
      <c r="A1559" t="s">
        <v>40</v>
      </c>
      <c r="B1559" t="s">
        <v>110</v>
      </c>
      <c r="C1559" t="s">
        <v>222</v>
      </c>
      <c r="D1559" s="110">
        <v>374708.4</v>
      </c>
      <c r="E1559" s="111">
        <v>366861.6</v>
      </c>
      <c r="F1559" s="111">
        <v>366861.6</v>
      </c>
      <c r="G1559" s="111">
        <v>366675</v>
      </c>
      <c r="H1559" s="112"/>
      <c r="I1559" s="110">
        <v>162294.45000000001</v>
      </c>
      <c r="J1559" s="111">
        <v>257972.4</v>
      </c>
      <c r="K1559" s="111">
        <v>272018.40000000002</v>
      </c>
      <c r="L1559" s="111">
        <v>275948.40000000002</v>
      </c>
      <c r="M1559" s="112"/>
    </row>
    <row r="1560" spans="1:13" x14ac:dyDescent="0.2">
      <c r="A1560" s="113" t="s">
        <v>40</v>
      </c>
      <c r="B1560" s="113" t="s">
        <v>110</v>
      </c>
      <c r="C1560" s="113" t="s">
        <v>223</v>
      </c>
      <c r="D1560" s="114">
        <v>330510.59999999998</v>
      </c>
      <c r="E1560" s="115">
        <v>327054.2</v>
      </c>
      <c r="F1560" s="115">
        <v>325694.7</v>
      </c>
      <c r="G1560" s="115"/>
      <c r="H1560" s="116"/>
      <c r="I1560" s="114">
        <v>167178.4</v>
      </c>
      <c r="J1560" s="115">
        <v>225469.1</v>
      </c>
      <c r="K1560" s="115">
        <v>234653.1</v>
      </c>
      <c r="L1560" s="115"/>
      <c r="M1560" s="116"/>
    </row>
    <row r="1561" spans="1:13" x14ac:dyDescent="0.2">
      <c r="A1561" t="s">
        <v>40</v>
      </c>
      <c r="B1561" t="s">
        <v>110</v>
      </c>
      <c r="C1561" t="s">
        <v>224</v>
      </c>
      <c r="D1561" s="110">
        <v>215966.35</v>
      </c>
      <c r="E1561" s="111">
        <v>212355.7</v>
      </c>
      <c r="F1561" s="111"/>
      <c r="G1561" s="111"/>
      <c r="H1561" s="112"/>
      <c r="I1561" s="110">
        <v>74710.850000000006</v>
      </c>
      <c r="J1561" s="111">
        <v>134078.20000000001</v>
      </c>
      <c r="K1561" s="111"/>
      <c r="L1561" s="111"/>
      <c r="M1561" s="112"/>
    </row>
    <row r="1562" spans="1:13" ht="13.5" thickBot="1" x14ac:dyDescent="0.25">
      <c r="A1562" s="128" t="s">
        <v>40</v>
      </c>
      <c r="B1562" s="128" t="s">
        <v>110</v>
      </c>
      <c r="C1562" s="128" t="s">
        <v>225</v>
      </c>
      <c r="D1562" s="129">
        <v>295814</v>
      </c>
      <c r="E1562" s="130"/>
      <c r="F1562" s="130"/>
      <c r="G1562" s="130"/>
      <c r="H1562" s="131"/>
      <c r="I1562" s="129">
        <v>110995</v>
      </c>
      <c r="J1562" s="130"/>
      <c r="K1562" s="130"/>
      <c r="L1562" s="130"/>
      <c r="M1562" s="131"/>
    </row>
    <row r="1563" spans="1:13" x14ac:dyDescent="0.2">
      <c r="A1563" s="132" t="s">
        <v>41</v>
      </c>
      <c r="B1563" s="132" t="s">
        <v>104</v>
      </c>
      <c r="C1563" s="132" t="s">
        <v>222</v>
      </c>
      <c r="D1563" s="133">
        <v>748409.75</v>
      </c>
      <c r="E1563" s="134">
        <v>746875.25</v>
      </c>
      <c r="F1563" s="134">
        <v>746200.25</v>
      </c>
      <c r="G1563" s="134">
        <v>743185.02</v>
      </c>
      <c r="H1563" s="135"/>
      <c r="I1563" s="133">
        <v>24152.29</v>
      </c>
      <c r="J1563" s="134">
        <v>39592.720000000001</v>
      </c>
      <c r="K1563" s="134">
        <v>53907.32</v>
      </c>
      <c r="L1563" s="134">
        <v>68740.149999999994</v>
      </c>
      <c r="M1563" s="135"/>
    </row>
    <row r="1564" spans="1:13" x14ac:dyDescent="0.2">
      <c r="A1564" s="113" t="s">
        <v>41</v>
      </c>
      <c r="B1564" s="113" t="s">
        <v>104</v>
      </c>
      <c r="C1564" s="113" t="s">
        <v>223</v>
      </c>
      <c r="D1564" s="114">
        <v>753598.93</v>
      </c>
      <c r="E1564" s="115">
        <v>749176.43</v>
      </c>
      <c r="F1564" s="115">
        <v>748472.93</v>
      </c>
      <c r="G1564" s="115"/>
      <c r="H1564" s="116"/>
      <c r="I1564" s="114">
        <v>24932.89</v>
      </c>
      <c r="J1564" s="115">
        <v>34338.080000000002</v>
      </c>
      <c r="K1564" s="115">
        <v>46477.48</v>
      </c>
      <c r="L1564" s="115"/>
      <c r="M1564" s="116"/>
    </row>
    <row r="1565" spans="1:13" x14ac:dyDescent="0.2">
      <c r="A1565" t="s">
        <v>41</v>
      </c>
      <c r="B1565" t="s">
        <v>104</v>
      </c>
      <c r="C1565" t="s">
        <v>224</v>
      </c>
      <c r="D1565" s="110">
        <v>317470.07</v>
      </c>
      <c r="E1565" s="111">
        <v>316570.07</v>
      </c>
      <c r="F1565" s="111"/>
      <c r="G1565" s="111"/>
      <c r="H1565" s="112"/>
      <c r="I1565" s="110">
        <v>7553.42</v>
      </c>
      <c r="J1565" s="111">
        <v>10439.799999999999</v>
      </c>
      <c r="K1565" s="111"/>
      <c r="L1565" s="111"/>
      <c r="M1565" s="112"/>
    </row>
    <row r="1566" spans="1:13" x14ac:dyDescent="0.2">
      <c r="A1566" s="117" t="s">
        <v>41</v>
      </c>
      <c r="B1566" s="117" t="s">
        <v>104</v>
      </c>
      <c r="C1566" s="117" t="s">
        <v>225</v>
      </c>
      <c r="D1566" s="118">
        <v>410575.28</v>
      </c>
      <c r="E1566" s="119"/>
      <c r="F1566" s="119"/>
      <c r="G1566" s="119"/>
      <c r="H1566" s="120"/>
      <c r="I1566" s="118">
        <v>17035.330000000002</v>
      </c>
      <c r="J1566" s="119"/>
      <c r="K1566" s="119"/>
      <c r="L1566" s="119"/>
      <c r="M1566" s="120"/>
    </row>
    <row r="1567" spans="1:13" x14ac:dyDescent="0.2">
      <c r="A1567" t="s">
        <v>41</v>
      </c>
      <c r="B1567" t="s">
        <v>140</v>
      </c>
      <c r="C1567" t="s">
        <v>222</v>
      </c>
      <c r="D1567" s="110">
        <v>316254</v>
      </c>
      <c r="E1567" s="111">
        <v>316254</v>
      </c>
      <c r="F1567" s="111">
        <v>316254</v>
      </c>
      <c r="G1567" s="111">
        <v>316254</v>
      </c>
      <c r="H1567" s="112"/>
      <c r="I1567" s="110">
        <v>0</v>
      </c>
      <c r="J1567" s="111">
        <v>0</v>
      </c>
      <c r="K1567" s="111">
        <v>0</v>
      </c>
      <c r="L1567" s="111">
        <v>0</v>
      </c>
      <c r="M1567" s="112"/>
    </row>
    <row r="1568" spans="1:13" x14ac:dyDescent="0.2">
      <c r="A1568" s="113" t="s">
        <v>41</v>
      </c>
      <c r="B1568" s="113" t="s">
        <v>140</v>
      </c>
      <c r="C1568" s="113" t="s">
        <v>223</v>
      </c>
      <c r="D1568" s="114">
        <v>313336</v>
      </c>
      <c r="E1568" s="115">
        <v>313336</v>
      </c>
      <c r="F1568" s="115">
        <v>313336</v>
      </c>
      <c r="G1568" s="115"/>
      <c r="H1568" s="116"/>
      <c r="I1568" s="114">
        <v>0</v>
      </c>
      <c r="J1568" s="115">
        <v>0</v>
      </c>
      <c r="K1568" s="115">
        <v>0</v>
      </c>
      <c r="L1568" s="115"/>
      <c r="M1568" s="116"/>
    </row>
    <row r="1569" spans="1:13" x14ac:dyDescent="0.2">
      <c r="A1569" t="s">
        <v>41</v>
      </c>
      <c r="B1569" t="s">
        <v>140</v>
      </c>
      <c r="C1569" t="s">
        <v>224</v>
      </c>
      <c r="D1569" s="110">
        <v>157500</v>
      </c>
      <c r="E1569" s="111">
        <v>157500</v>
      </c>
      <c r="F1569" s="111"/>
      <c r="G1569" s="111"/>
      <c r="H1569" s="112"/>
      <c r="I1569" s="110">
        <v>0</v>
      </c>
      <c r="J1569" s="111">
        <v>0</v>
      </c>
      <c r="K1569" s="111"/>
      <c r="L1569" s="111"/>
      <c r="M1569" s="112"/>
    </row>
    <row r="1570" spans="1:13" x14ac:dyDescent="0.2">
      <c r="A1570" s="117" t="s">
        <v>41</v>
      </c>
      <c r="B1570" s="117" t="s">
        <v>140</v>
      </c>
      <c r="C1570" s="117" t="s">
        <v>225</v>
      </c>
      <c r="D1570" s="118">
        <v>105000</v>
      </c>
      <c r="E1570" s="119"/>
      <c r="F1570" s="119"/>
      <c r="G1570" s="119"/>
      <c r="H1570" s="120"/>
      <c r="I1570" s="118">
        <v>0</v>
      </c>
      <c r="J1570" s="119"/>
      <c r="K1570" s="119"/>
      <c r="L1570" s="119"/>
      <c r="M1570" s="120"/>
    </row>
    <row r="1571" spans="1:13" x14ac:dyDescent="0.2">
      <c r="A1571" t="s">
        <v>41</v>
      </c>
      <c r="B1571" t="s">
        <v>105</v>
      </c>
      <c r="C1571" t="s">
        <v>222</v>
      </c>
      <c r="D1571" s="110">
        <v>285220.32</v>
      </c>
      <c r="E1571" s="111">
        <v>282029.32</v>
      </c>
      <c r="F1571" s="111">
        <v>280082.32</v>
      </c>
      <c r="G1571" s="111">
        <v>278914.82</v>
      </c>
      <c r="H1571" s="112"/>
      <c r="I1571" s="110">
        <v>42458</v>
      </c>
      <c r="J1571" s="111">
        <v>63479</v>
      </c>
      <c r="K1571" s="111">
        <v>71792.34</v>
      </c>
      <c r="L1571" s="111">
        <v>77952.990000000005</v>
      </c>
      <c r="M1571" s="112"/>
    </row>
    <row r="1572" spans="1:13" x14ac:dyDescent="0.2">
      <c r="A1572" s="113" t="s">
        <v>41</v>
      </c>
      <c r="B1572" s="113" t="s">
        <v>105</v>
      </c>
      <c r="C1572" s="113" t="s">
        <v>223</v>
      </c>
      <c r="D1572" s="114">
        <v>255995.7</v>
      </c>
      <c r="E1572" s="115">
        <v>251031.7</v>
      </c>
      <c r="F1572" s="115">
        <v>247966.95</v>
      </c>
      <c r="G1572" s="115"/>
      <c r="H1572" s="116"/>
      <c r="I1572" s="114">
        <v>42130</v>
      </c>
      <c r="J1572" s="115">
        <v>63174.46</v>
      </c>
      <c r="K1572" s="115">
        <v>78153.89</v>
      </c>
      <c r="L1572" s="115"/>
      <c r="M1572" s="116"/>
    </row>
    <row r="1573" spans="1:13" x14ac:dyDescent="0.2">
      <c r="A1573" t="s">
        <v>41</v>
      </c>
      <c r="B1573" t="s">
        <v>105</v>
      </c>
      <c r="C1573" t="s">
        <v>224</v>
      </c>
      <c r="D1573" s="110">
        <v>101500.93</v>
      </c>
      <c r="E1573" s="111">
        <v>97822.18</v>
      </c>
      <c r="F1573" s="111"/>
      <c r="G1573" s="111"/>
      <c r="H1573" s="112"/>
      <c r="I1573" s="110">
        <v>13270.5</v>
      </c>
      <c r="J1573" s="111">
        <v>25954.43</v>
      </c>
      <c r="K1573" s="111"/>
      <c r="L1573" s="111"/>
      <c r="M1573" s="112"/>
    </row>
    <row r="1574" spans="1:13" x14ac:dyDescent="0.2">
      <c r="A1574" s="117" t="s">
        <v>41</v>
      </c>
      <c r="B1574" s="117" t="s">
        <v>105</v>
      </c>
      <c r="C1574" s="117" t="s">
        <v>225</v>
      </c>
      <c r="D1574" s="118">
        <v>208421.09</v>
      </c>
      <c r="E1574" s="119"/>
      <c r="F1574" s="119"/>
      <c r="G1574" s="119"/>
      <c r="H1574" s="120"/>
      <c r="I1574" s="118">
        <v>39656.839999999997</v>
      </c>
      <c r="J1574" s="119"/>
      <c r="K1574" s="119"/>
      <c r="L1574" s="119"/>
      <c r="M1574" s="120"/>
    </row>
    <row r="1575" spans="1:13" x14ac:dyDescent="0.2">
      <c r="A1575" t="s">
        <v>41</v>
      </c>
      <c r="B1575" t="s">
        <v>111</v>
      </c>
      <c r="C1575" t="s">
        <v>222</v>
      </c>
      <c r="D1575" s="110">
        <v>5028.5</v>
      </c>
      <c r="E1575" s="111">
        <v>5028.5</v>
      </c>
      <c r="F1575" s="111">
        <v>5028.5</v>
      </c>
      <c r="G1575" s="111">
        <v>5028.5</v>
      </c>
      <c r="H1575" s="112"/>
      <c r="I1575" s="110">
        <v>860.5</v>
      </c>
      <c r="J1575" s="111">
        <v>860.5</v>
      </c>
      <c r="K1575" s="111">
        <v>860.5</v>
      </c>
      <c r="L1575" s="111">
        <v>910.5</v>
      </c>
      <c r="M1575" s="112"/>
    </row>
    <row r="1576" spans="1:13" x14ac:dyDescent="0.2">
      <c r="A1576" s="113" t="s">
        <v>41</v>
      </c>
      <c r="B1576" s="113" t="s">
        <v>111</v>
      </c>
      <c r="C1576" s="113" t="s">
        <v>223</v>
      </c>
      <c r="D1576" s="114">
        <v>1943.5</v>
      </c>
      <c r="E1576" s="115">
        <v>1943.5</v>
      </c>
      <c r="F1576" s="115">
        <v>1875.5</v>
      </c>
      <c r="G1576" s="115"/>
      <c r="H1576" s="116"/>
      <c r="I1576" s="114">
        <v>985.5</v>
      </c>
      <c r="J1576" s="115">
        <v>985.5</v>
      </c>
      <c r="K1576" s="115">
        <v>985.5</v>
      </c>
      <c r="L1576" s="115"/>
      <c r="M1576" s="116"/>
    </row>
    <row r="1577" spans="1:13" x14ac:dyDescent="0.2">
      <c r="A1577" t="s">
        <v>41</v>
      </c>
      <c r="B1577" t="s">
        <v>111</v>
      </c>
      <c r="C1577" t="s">
        <v>224</v>
      </c>
      <c r="D1577" s="110">
        <v>179.5</v>
      </c>
      <c r="E1577" s="111">
        <v>179.5</v>
      </c>
      <c r="F1577" s="111"/>
      <c r="G1577" s="111"/>
      <c r="H1577" s="112"/>
      <c r="I1577" s="110">
        <v>61.5</v>
      </c>
      <c r="J1577" s="111">
        <v>61.5</v>
      </c>
      <c r="K1577" s="111"/>
      <c r="L1577" s="111"/>
      <c r="M1577" s="112"/>
    </row>
    <row r="1578" spans="1:13" x14ac:dyDescent="0.2">
      <c r="A1578" s="117" t="s">
        <v>41</v>
      </c>
      <c r="B1578" s="117" t="s">
        <v>111</v>
      </c>
      <c r="C1578" s="117" t="s">
        <v>225</v>
      </c>
      <c r="D1578" s="118">
        <v>914</v>
      </c>
      <c r="E1578" s="119"/>
      <c r="F1578" s="119"/>
      <c r="G1578" s="119"/>
      <c r="H1578" s="120"/>
      <c r="I1578" s="118">
        <v>789</v>
      </c>
      <c r="J1578" s="119"/>
      <c r="K1578" s="119"/>
      <c r="L1578" s="119"/>
      <c r="M1578" s="120"/>
    </row>
    <row r="1579" spans="1:13" x14ac:dyDescent="0.2">
      <c r="A1579" s="124" t="s">
        <v>41</v>
      </c>
      <c r="B1579" s="124" t="s">
        <v>109</v>
      </c>
      <c r="C1579" s="124" t="s">
        <v>222</v>
      </c>
      <c r="D1579" s="125">
        <v>456804</v>
      </c>
      <c r="E1579" s="126">
        <v>454483.5</v>
      </c>
      <c r="F1579" s="126">
        <v>452272.75</v>
      </c>
      <c r="G1579" s="126">
        <v>448020.75</v>
      </c>
      <c r="H1579" s="127"/>
      <c r="I1579" s="125">
        <v>142527.67999999999</v>
      </c>
      <c r="J1579" s="126">
        <v>211349.79</v>
      </c>
      <c r="K1579" s="126">
        <v>237429.75</v>
      </c>
      <c r="L1579" s="126">
        <v>262680.5</v>
      </c>
      <c r="M1579" s="127"/>
    </row>
    <row r="1580" spans="1:13" x14ac:dyDescent="0.2">
      <c r="A1580" s="113" t="s">
        <v>41</v>
      </c>
      <c r="B1580" s="113" t="s">
        <v>109</v>
      </c>
      <c r="C1580" s="113" t="s">
        <v>223</v>
      </c>
      <c r="D1580" s="114">
        <v>445755</v>
      </c>
      <c r="E1580" s="115">
        <v>441078.75</v>
      </c>
      <c r="F1580" s="115">
        <v>438079.25</v>
      </c>
      <c r="G1580" s="115"/>
      <c r="H1580" s="116"/>
      <c r="I1580" s="114">
        <v>145023.43</v>
      </c>
      <c r="J1580" s="115">
        <v>187144.13</v>
      </c>
      <c r="K1580" s="115">
        <v>216313.15</v>
      </c>
      <c r="L1580" s="115"/>
      <c r="M1580" s="116"/>
    </row>
    <row r="1581" spans="1:13" x14ac:dyDescent="0.2">
      <c r="A1581" t="s">
        <v>41</v>
      </c>
      <c r="B1581" t="s">
        <v>109</v>
      </c>
      <c r="C1581" t="s">
        <v>224</v>
      </c>
      <c r="D1581" s="110">
        <v>110722.26</v>
      </c>
      <c r="E1581" s="111">
        <v>106281.26</v>
      </c>
      <c r="F1581" s="111"/>
      <c r="G1581" s="111"/>
      <c r="H1581" s="112"/>
      <c r="I1581" s="110">
        <v>31615.75</v>
      </c>
      <c r="J1581" s="111">
        <v>55036.800000000003</v>
      </c>
      <c r="K1581" s="111"/>
      <c r="L1581" s="111"/>
      <c r="M1581" s="112"/>
    </row>
    <row r="1582" spans="1:13" x14ac:dyDescent="0.2">
      <c r="A1582" s="117" t="s">
        <v>41</v>
      </c>
      <c r="B1582" s="117" t="s">
        <v>109</v>
      </c>
      <c r="C1582" s="117" t="s">
        <v>225</v>
      </c>
      <c r="D1582" s="118">
        <v>380695.29</v>
      </c>
      <c r="E1582" s="119"/>
      <c r="F1582" s="119"/>
      <c r="G1582" s="119"/>
      <c r="H1582" s="120"/>
      <c r="I1582" s="118">
        <v>155268.78</v>
      </c>
      <c r="J1582" s="119"/>
      <c r="K1582" s="119"/>
      <c r="L1582" s="119"/>
      <c r="M1582" s="120"/>
    </row>
    <row r="1583" spans="1:13" x14ac:dyDescent="0.2">
      <c r="A1583" t="s">
        <v>41</v>
      </c>
      <c r="B1583" t="s">
        <v>106</v>
      </c>
      <c r="C1583" t="s">
        <v>222</v>
      </c>
      <c r="D1583" s="110">
        <v>398241.3</v>
      </c>
      <c r="E1583" s="111">
        <v>398565.42</v>
      </c>
      <c r="F1583" s="111">
        <v>398970.42</v>
      </c>
      <c r="G1583" s="111">
        <v>398970.42</v>
      </c>
      <c r="H1583" s="112"/>
      <c r="I1583" s="110">
        <v>384278.92</v>
      </c>
      <c r="J1583" s="111">
        <v>391570.42</v>
      </c>
      <c r="K1583" s="111">
        <v>391975.42</v>
      </c>
      <c r="L1583" s="111">
        <v>391975.42</v>
      </c>
      <c r="M1583" s="112"/>
    </row>
    <row r="1584" spans="1:13" x14ac:dyDescent="0.2">
      <c r="A1584" s="113" t="s">
        <v>41</v>
      </c>
      <c r="B1584" s="113" t="s">
        <v>106</v>
      </c>
      <c r="C1584" s="113" t="s">
        <v>223</v>
      </c>
      <c r="D1584" s="114">
        <v>364894.59</v>
      </c>
      <c r="E1584" s="115">
        <v>364649.59</v>
      </c>
      <c r="F1584" s="115">
        <v>365650.59</v>
      </c>
      <c r="G1584" s="115"/>
      <c r="H1584" s="116"/>
      <c r="I1584" s="114">
        <v>354931.26</v>
      </c>
      <c r="J1584" s="115">
        <v>360742.93</v>
      </c>
      <c r="K1584" s="115">
        <v>360742.93</v>
      </c>
      <c r="L1584" s="115"/>
      <c r="M1584" s="116"/>
    </row>
    <row r="1585" spans="1:13" x14ac:dyDescent="0.2">
      <c r="A1585" t="s">
        <v>41</v>
      </c>
      <c r="B1585" t="s">
        <v>106</v>
      </c>
      <c r="C1585" t="s">
        <v>224</v>
      </c>
      <c r="D1585" s="110">
        <v>199546.25</v>
      </c>
      <c r="E1585" s="111">
        <v>199076.25</v>
      </c>
      <c r="F1585" s="111"/>
      <c r="G1585" s="111"/>
      <c r="H1585" s="112"/>
      <c r="I1585" s="110">
        <v>191223.25</v>
      </c>
      <c r="J1585" s="111">
        <v>196501.25</v>
      </c>
      <c r="K1585" s="111"/>
      <c r="L1585" s="111"/>
      <c r="M1585" s="112"/>
    </row>
    <row r="1586" spans="1:13" x14ac:dyDescent="0.2">
      <c r="A1586" s="117" t="s">
        <v>41</v>
      </c>
      <c r="B1586" s="117" t="s">
        <v>106</v>
      </c>
      <c r="C1586" s="117" t="s">
        <v>225</v>
      </c>
      <c r="D1586" s="118">
        <v>277695.07</v>
      </c>
      <c r="E1586" s="119"/>
      <c r="F1586" s="119"/>
      <c r="G1586" s="119"/>
      <c r="H1586" s="120"/>
      <c r="I1586" s="118">
        <v>273892.73</v>
      </c>
      <c r="J1586" s="119"/>
      <c r="K1586" s="119"/>
      <c r="L1586" s="119"/>
      <c r="M1586" s="120"/>
    </row>
    <row r="1587" spans="1:13" x14ac:dyDescent="0.2">
      <c r="A1587" t="s">
        <v>41</v>
      </c>
      <c r="B1587" t="s">
        <v>107</v>
      </c>
      <c r="C1587" t="s">
        <v>222</v>
      </c>
      <c r="D1587" s="110">
        <v>485922.3</v>
      </c>
      <c r="E1587" s="111">
        <v>486237.3</v>
      </c>
      <c r="F1587" s="111">
        <v>486182.3</v>
      </c>
      <c r="G1587" s="111">
        <v>486182.3</v>
      </c>
      <c r="H1587" s="112"/>
      <c r="I1587" s="110">
        <v>476544.44</v>
      </c>
      <c r="J1587" s="111">
        <v>480734.44</v>
      </c>
      <c r="K1587" s="111">
        <v>480744.44</v>
      </c>
      <c r="L1587" s="111">
        <v>480744.44</v>
      </c>
      <c r="M1587" s="112"/>
    </row>
    <row r="1588" spans="1:13" x14ac:dyDescent="0.2">
      <c r="A1588" s="113" t="s">
        <v>41</v>
      </c>
      <c r="B1588" s="113" t="s">
        <v>107</v>
      </c>
      <c r="C1588" s="113" t="s">
        <v>223</v>
      </c>
      <c r="D1588" s="114">
        <v>497695.49</v>
      </c>
      <c r="E1588" s="115">
        <v>497585.49</v>
      </c>
      <c r="F1588" s="115">
        <v>497905.49</v>
      </c>
      <c r="G1588" s="115"/>
      <c r="H1588" s="116"/>
      <c r="I1588" s="114">
        <v>491780.49</v>
      </c>
      <c r="J1588" s="115">
        <v>495665.49</v>
      </c>
      <c r="K1588" s="115">
        <v>495665.49</v>
      </c>
      <c r="L1588" s="115"/>
      <c r="M1588" s="116"/>
    </row>
    <row r="1589" spans="1:13" x14ac:dyDescent="0.2">
      <c r="A1589" t="s">
        <v>41</v>
      </c>
      <c r="B1589" t="s">
        <v>107</v>
      </c>
      <c r="C1589" t="s">
        <v>224</v>
      </c>
      <c r="D1589" s="110">
        <v>261395.5</v>
      </c>
      <c r="E1589" s="111">
        <v>260477.15</v>
      </c>
      <c r="F1589" s="111"/>
      <c r="G1589" s="111"/>
      <c r="H1589" s="112"/>
      <c r="I1589" s="110">
        <v>255818.37</v>
      </c>
      <c r="J1589" s="111">
        <v>258093.37</v>
      </c>
      <c r="K1589" s="111"/>
      <c r="L1589" s="111"/>
      <c r="M1589" s="112"/>
    </row>
    <row r="1590" spans="1:13" x14ac:dyDescent="0.2">
      <c r="A1590" s="117" t="s">
        <v>41</v>
      </c>
      <c r="B1590" s="117" t="s">
        <v>107</v>
      </c>
      <c r="C1590" s="117" t="s">
        <v>225</v>
      </c>
      <c r="D1590" s="118">
        <v>325577.55</v>
      </c>
      <c r="E1590" s="119"/>
      <c r="F1590" s="119"/>
      <c r="G1590" s="119"/>
      <c r="H1590" s="120"/>
      <c r="I1590" s="118">
        <v>312850.55</v>
      </c>
      <c r="J1590" s="119"/>
      <c r="K1590" s="119"/>
      <c r="L1590" s="119"/>
      <c r="M1590" s="120"/>
    </row>
    <row r="1591" spans="1:13" x14ac:dyDescent="0.2">
      <c r="A1591" t="s">
        <v>41</v>
      </c>
      <c r="B1591" t="s">
        <v>108</v>
      </c>
      <c r="C1591" t="s">
        <v>222</v>
      </c>
      <c r="D1591" s="110">
        <v>127981.05</v>
      </c>
      <c r="E1591" s="111">
        <v>128632.05</v>
      </c>
      <c r="F1591" s="111">
        <v>128632.05</v>
      </c>
      <c r="G1591" s="111">
        <v>127825.05</v>
      </c>
      <c r="H1591" s="112"/>
      <c r="I1591" s="110">
        <v>119288.05</v>
      </c>
      <c r="J1591" s="111">
        <v>119594.05</v>
      </c>
      <c r="K1591" s="111">
        <v>120225.05</v>
      </c>
      <c r="L1591" s="111">
        <v>120163.05</v>
      </c>
      <c r="M1591" s="112"/>
    </row>
    <row r="1592" spans="1:13" x14ac:dyDescent="0.2">
      <c r="A1592" s="113" t="s">
        <v>41</v>
      </c>
      <c r="B1592" s="113" t="s">
        <v>108</v>
      </c>
      <c r="C1592" s="113" t="s">
        <v>223</v>
      </c>
      <c r="D1592" s="114">
        <v>143106</v>
      </c>
      <c r="E1592" s="115">
        <v>143132</v>
      </c>
      <c r="F1592" s="115">
        <v>143132</v>
      </c>
      <c r="G1592" s="115"/>
      <c r="H1592" s="116"/>
      <c r="I1592" s="114">
        <v>136805</v>
      </c>
      <c r="J1592" s="115">
        <v>139173</v>
      </c>
      <c r="K1592" s="115">
        <v>139173</v>
      </c>
      <c r="L1592" s="115"/>
      <c r="M1592" s="116"/>
    </row>
    <row r="1593" spans="1:13" x14ac:dyDescent="0.2">
      <c r="A1593" t="s">
        <v>41</v>
      </c>
      <c r="B1593" t="s">
        <v>108</v>
      </c>
      <c r="C1593" t="s">
        <v>224</v>
      </c>
      <c r="D1593" s="110">
        <v>137959.23000000001</v>
      </c>
      <c r="E1593" s="111">
        <v>138000.23000000001</v>
      </c>
      <c r="F1593" s="111"/>
      <c r="G1593" s="111"/>
      <c r="H1593" s="112"/>
      <c r="I1593" s="110">
        <v>127614.23</v>
      </c>
      <c r="J1593" s="111">
        <v>129593.23</v>
      </c>
      <c r="K1593" s="111"/>
      <c r="L1593" s="111"/>
      <c r="M1593" s="112"/>
    </row>
    <row r="1594" spans="1:13" x14ac:dyDescent="0.2">
      <c r="A1594" s="117" t="s">
        <v>41</v>
      </c>
      <c r="B1594" s="117" t="s">
        <v>108</v>
      </c>
      <c r="C1594" s="117" t="s">
        <v>225</v>
      </c>
      <c r="D1594" s="118">
        <v>156244</v>
      </c>
      <c r="E1594" s="119"/>
      <c r="F1594" s="119"/>
      <c r="G1594" s="119"/>
      <c r="H1594" s="120"/>
      <c r="I1594" s="118">
        <v>148696.5</v>
      </c>
      <c r="J1594" s="119"/>
      <c r="K1594" s="119"/>
      <c r="L1594" s="119"/>
      <c r="M1594" s="120"/>
    </row>
    <row r="1595" spans="1:13" x14ac:dyDescent="0.2">
      <c r="A1595" t="s">
        <v>41</v>
      </c>
      <c r="B1595" t="s">
        <v>70</v>
      </c>
      <c r="C1595" t="s">
        <v>222</v>
      </c>
      <c r="D1595" s="110">
        <v>145720.5</v>
      </c>
      <c r="E1595" s="111">
        <v>147384.5</v>
      </c>
      <c r="F1595" s="111">
        <v>147384.5</v>
      </c>
      <c r="G1595" s="111">
        <v>147384.5</v>
      </c>
      <c r="H1595" s="112"/>
      <c r="I1595" s="110">
        <v>139290</v>
      </c>
      <c r="J1595" s="111">
        <v>143860</v>
      </c>
      <c r="K1595" s="111">
        <v>143860</v>
      </c>
      <c r="L1595" s="111">
        <v>143860</v>
      </c>
      <c r="M1595" s="112"/>
    </row>
    <row r="1596" spans="1:13" x14ac:dyDescent="0.2">
      <c r="A1596" s="113" t="s">
        <v>41</v>
      </c>
      <c r="B1596" s="113" t="s">
        <v>70</v>
      </c>
      <c r="C1596" s="113" t="s">
        <v>223</v>
      </c>
      <c r="D1596" s="114">
        <v>138607.5</v>
      </c>
      <c r="E1596" s="115">
        <v>135910</v>
      </c>
      <c r="F1596" s="115">
        <v>135807.5</v>
      </c>
      <c r="G1596" s="115"/>
      <c r="H1596" s="116"/>
      <c r="I1596" s="114">
        <v>131036.5</v>
      </c>
      <c r="J1596" s="115">
        <v>131641.5</v>
      </c>
      <c r="K1596" s="115">
        <v>131941.5</v>
      </c>
      <c r="L1596" s="115"/>
      <c r="M1596" s="116"/>
    </row>
    <row r="1597" spans="1:13" x14ac:dyDescent="0.2">
      <c r="A1597" t="s">
        <v>41</v>
      </c>
      <c r="B1597" t="s">
        <v>70</v>
      </c>
      <c r="C1597" t="s">
        <v>224</v>
      </c>
      <c r="D1597" s="110">
        <v>131484.5</v>
      </c>
      <c r="E1597" s="111">
        <v>132857</v>
      </c>
      <c r="F1597" s="111"/>
      <c r="G1597" s="111"/>
      <c r="H1597" s="112"/>
      <c r="I1597" s="110">
        <v>123730</v>
      </c>
      <c r="J1597" s="111">
        <v>128408.5</v>
      </c>
      <c r="K1597" s="111"/>
      <c r="L1597" s="111"/>
      <c r="M1597" s="112"/>
    </row>
    <row r="1598" spans="1:13" x14ac:dyDescent="0.2">
      <c r="A1598" s="117" t="s">
        <v>41</v>
      </c>
      <c r="B1598" s="117" t="s">
        <v>70</v>
      </c>
      <c r="C1598" s="117" t="s">
        <v>225</v>
      </c>
      <c r="D1598" s="118">
        <v>166748.47</v>
      </c>
      <c r="E1598" s="119"/>
      <c r="F1598" s="119"/>
      <c r="G1598" s="119"/>
      <c r="H1598" s="120"/>
      <c r="I1598" s="118">
        <v>159190.97</v>
      </c>
      <c r="J1598" s="119"/>
      <c r="K1598" s="119"/>
      <c r="L1598" s="119"/>
      <c r="M1598" s="120"/>
    </row>
    <row r="1599" spans="1:13" x14ac:dyDescent="0.2">
      <c r="A1599" t="s">
        <v>41</v>
      </c>
      <c r="B1599" t="s">
        <v>110</v>
      </c>
      <c r="C1599" t="s">
        <v>222</v>
      </c>
      <c r="D1599" s="110">
        <v>1187059.25</v>
      </c>
      <c r="E1599" s="111">
        <v>1332875.1000000001</v>
      </c>
      <c r="F1599" s="111">
        <v>1337058.3500000001</v>
      </c>
      <c r="G1599" s="111">
        <v>1350452.9</v>
      </c>
      <c r="H1599" s="112"/>
      <c r="I1599" s="110">
        <v>660398.6</v>
      </c>
      <c r="J1599" s="111">
        <v>1034757.05</v>
      </c>
      <c r="K1599" s="111">
        <v>1121197.75</v>
      </c>
      <c r="L1599" s="111">
        <v>1166729.96</v>
      </c>
      <c r="M1599" s="112"/>
    </row>
    <row r="1600" spans="1:13" x14ac:dyDescent="0.2">
      <c r="A1600" s="113" t="s">
        <v>41</v>
      </c>
      <c r="B1600" s="113" t="s">
        <v>110</v>
      </c>
      <c r="C1600" s="113" t="s">
        <v>223</v>
      </c>
      <c r="D1600" s="114">
        <v>1071796.45</v>
      </c>
      <c r="E1600" s="115">
        <v>1272663.25</v>
      </c>
      <c r="F1600" s="115">
        <v>1280818.45</v>
      </c>
      <c r="G1600" s="115"/>
      <c r="H1600" s="116"/>
      <c r="I1600" s="114">
        <v>654492.94999999995</v>
      </c>
      <c r="J1600" s="115">
        <v>905285.34</v>
      </c>
      <c r="K1600" s="115">
        <v>1001906.59</v>
      </c>
      <c r="L1600" s="115"/>
      <c r="M1600" s="116"/>
    </row>
    <row r="1601" spans="1:13" x14ac:dyDescent="0.2">
      <c r="A1601" t="s">
        <v>41</v>
      </c>
      <c r="B1601" t="s">
        <v>110</v>
      </c>
      <c r="C1601" t="s">
        <v>224</v>
      </c>
      <c r="D1601" s="110">
        <v>646221</v>
      </c>
      <c r="E1601" s="111">
        <v>803229</v>
      </c>
      <c r="F1601" s="111"/>
      <c r="G1601" s="111"/>
      <c r="H1601" s="112"/>
      <c r="I1601" s="110">
        <v>311409.8</v>
      </c>
      <c r="J1601" s="111">
        <v>509637.7</v>
      </c>
      <c r="K1601" s="111"/>
      <c r="L1601" s="111"/>
      <c r="M1601" s="112"/>
    </row>
    <row r="1602" spans="1:13" ht="13.5" thickBot="1" x14ac:dyDescent="0.25">
      <c r="A1602" s="128" t="s">
        <v>41</v>
      </c>
      <c r="B1602" s="128" t="s">
        <v>110</v>
      </c>
      <c r="C1602" s="128" t="s">
        <v>225</v>
      </c>
      <c r="D1602" s="129">
        <v>919243</v>
      </c>
      <c r="E1602" s="130"/>
      <c r="F1602" s="130"/>
      <c r="G1602" s="130"/>
      <c r="H1602" s="131"/>
      <c r="I1602" s="129">
        <v>417082.7</v>
      </c>
      <c r="J1602" s="130"/>
      <c r="K1602" s="130"/>
      <c r="L1602" s="130"/>
      <c r="M1602" s="131"/>
    </row>
    <row r="1603" spans="1:13" x14ac:dyDescent="0.2">
      <c r="A1603" s="132" t="s">
        <v>42</v>
      </c>
      <c r="B1603" s="132" t="s">
        <v>104</v>
      </c>
      <c r="C1603" s="132" t="s">
        <v>222</v>
      </c>
      <c r="D1603" s="133">
        <v>1417611.45</v>
      </c>
      <c r="E1603" s="134">
        <v>1410946.45</v>
      </c>
      <c r="F1603" s="134">
        <v>1410445.85</v>
      </c>
      <c r="G1603" s="134">
        <v>1409984.95</v>
      </c>
      <c r="H1603" s="135"/>
      <c r="I1603" s="133">
        <v>34828.910000000003</v>
      </c>
      <c r="J1603" s="134">
        <v>62057.55</v>
      </c>
      <c r="K1603" s="134">
        <v>88338.93</v>
      </c>
      <c r="L1603" s="134">
        <v>116133.46</v>
      </c>
      <c r="M1603" s="135"/>
    </row>
    <row r="1604" spans="1:13" x14ac:dyDescent="0.2">
      <c r="A1604" s="113" t="s">
        <v>42</v>
      </c>
      <c r="B1604" s="113" t="s">
        <v>104</v>
      </c>
      <c r="C1604" s="113" t="s">
        <v>223</v>
      </c>
      <c r="D1604" s="114">
        <v>1816572.75</v>
      </c>
      <c r="E1604" s="115">
        <v>1814446.75</v>
      </c>
      <c r="F1604" s="115">
        <v>1814196.75</v>
      </c>
      <c r="G1604" s="115"/>
      <c r="H1604" s="116"/>
      <c r="I1604" s="114">
        <v>36786.300000000003</v>
      </c>
      <c r="J1604" s="115">
        <v>63566</v>
      </c>
      <c r="K1604" s="115">
        <v>90784.47</v>
      </c>
      <c r="L1604" s="115"/>
      <c r="M1604" s="116"/>
    </row>
    <row r="1605" spans="1:13" x14ac:dyDescent="0.2">
      <c r="A1605" t="s">
        <v>42</v>
      </c>
      <c r="B1605" t="s">
        <v>104</v>
      </c>
      <c r="C1605" t="s">
        <v>224</v>
      </c>
      <c r="D1605" s="110">
        <v>497238.47</v>
      </c>
      <c r="E1605" s="111">
        <v>495338.47</v>
      </c>
      <c r="F1605" s="111"/>
      <c r="G1605" s="111"/>
      <c r="H1605" s="112"/>
      <c r="I1605" s="110">
        <v>18533.79</v>
      </c>
      <c r="J1605" s="111">
        <v>24307.360000000001</v>
      </c>
      <c r="K1605" s="111"/>
      <c r="L1605" s="111"/>
      <c r="M1605" s="112"/>
    </row>
    <row r="1606" spans="1:13" x14ac:dyDescent="0.2">
      <c r="A1606" s="117" t="s">
        <v>42</v>
      </c>
      <c r="B1606" s="117" t="s">
        <v>104</v>
      </c>
      <c r="C1606" s="117" t="s">
        <v>225</v>
      </c>
      <c r="D1606" s="118">
        <v>853524.1</v>
      </c>
      <c r="E1606" s="119"/>
      <c r="F1606" s="119"/>
      <c r="G1606" s="119"/>
      <c r="H1606" s="120"/>
      <c r="I1606" s="118">
        <v>58497.79</v>
      </c>
      <c r="J1606" s="119"/>
      <c r="K1606" s="119"/>
      <c r="L1606" s="119"/>
      <c r="M1606" s="120"/>
    </row>
    <row r="1607" spans="1:13" x14ac:dyDescent="0.2">
      <c r="A1607" t="s">
        <v>42</v>
      </c>
      <c r="B1607" t="s">
        <v>140</v>
      </c>
      <c r="C1607" t="s">
        <v>222</v>
      </c>
      <c r="D1607" s="110">
        <v>955466.8</v>
      </c>
      <c r="E1607" s="111">
        <v>855616.8</v>
      </c>
      <c r="F1607" s="111">
        <v>855616.8</v>
      </c>
      <c r="G1607" s="111">
        <v>855666.8</v>
      </c>
      <c r="H1607" s="112"/>
      <c r="I1607" s="110">
        <v>208.8</v>
      </c>
      <c r="J1607" s="111">
        <v>333.8</v>
      </c>
      <c r="K1607" s="111">
        <v>447.8</v>
      </c>
      <c r="L1607" s="111">
        <v>512.79999999999995</v>
      </c>
      <c r="M1607" s="112"/>
    </row>
    <row r="1608" spans="1:13" x14ac:dyDescent="0.2">
      <c r="A1608" s="113" t="s">
        <v>42</v>
      </c>
      <c r="B1608" s="113" t="s">
        <v>140</v>
      </c>
      <c r="C1608" s="113" t="s">
        <v>223</v>
      </c>
      <c r="D1608" s="114">
        <v>1353810</v>
      </c>
      <c r="E1608" s="115">
        <v>1353810</v>
      </c>
      <c r="F1608" s="115">
        <v>1353810</v>
      </c>
      <c r="G1608" s="115"/>
      <c r="H1608" s="116"/>
      <c r="I1608" s="114">
        <v>605.35</v>
      </c>
      <c r="J1608" s="115">
        <v>894.82</v>
      </c>
      <c r="K1608" s="115">
        <v>1460.62</v>
      </c>
      <c r="L1608" s="115"/>
      <c r="M1608" s="116"/>
    </row>
    <row r="1609" spans="1:13" x14ac:dyDescent="0.2">
      <c r="A1609" t="s">
        <v>42</v>
      </c>
      <c r="B1609" t="s">
        <v>140</v>
      </c>
      <c r="C1609" t="s">
        <v>224</v>
      </c>
      <c r="D1609" s="110">
        <v>106320</v>
      </c>
      <c r="E1609" s="111">
        <v>106320</v>
      </c>
      <c r="F1609" s="111"/>
      <c r="G1609" s="111"/>
      <c r="H1609" s="112"/>
      <c r="I1609" s="110">
        <v>463</v>
      </c>
      <c r="J1609" s="111">
        <v>463</v>
      </c>
      <c r="K1609" s="111"/>
      <c r="L1609" s="111"/>
      <c r="M1609" s="112"/>
    </row>
    <row r="1610" spans="1:13" x14ac:dyDescent="0.2">
      <c r="A1610" s="117" t="s">
        <v>42</v>
      </c>
      <c r="B1610" s="117" t="s">
        <v>140</v>
      </c>
      <c r="C1610" s="117" t="s">
        <v>225</v>
      </c>
      <c r="D1610" s="118">
        <v>487791</v>
      </c>
      <c r="E1610" s="119"/>
      <c r="F1610" s="119"/>
      <c r="G1610" s="119"/>
      <c r="H1610" s="120"/>
      <c r="I1610" s="118">
        <v>238</v>
      </c>
      <c r="J1610" s="119"/>
      <c r="K1610" s="119"/>
      <c r="L1610" s="119"/>
      <c r="M1610" s="120"/>
    </row>
    <row r="1611" spans="1:13" x14ac:dyDescent="0.2">
      <c r="A1611" t="s">
        <v>42</v>
      </c>
      <c r="B1611" t="s">
        <v>105</v>
      </c>
      <c r="C1611" t="s">
        <v>222</v>
      </c>
      <c r="D1611" s="110">
        <v>390888.96000000002</v>
      </c>
      <c r="E1611" s="111">
        <v>371871.06</v>
      </c>
      <c r="F1611" s="111">
        <v>369475.06</v>
      </c>
      <c r="G1611" s="111">
        <v>368652.16</v>
      </c>
      <c r="H1611" s="112"/>
      <c r="I1611" s="110">
        <v>41663.78</v>
      </c>
      <c r="J1611" s="111">
        <v>72151.16</v>
      </c>
      <c r="K1611" s="111">
        <v>98422.42</v>
      </c>
      <c r="L1611" s="111">
        <v>107973.82</v>
      </c>
      <c r="M1611" s="112"/>
    </row>
    <row r="1612" spans="1:13" x14ac:dyDescent="0.2">
      <c r="A1612" s="113" t="s">
        <v>42</v>
      </c>
      <c r="B1612" s="113" t="s">
        <v>105</v>
      </c>
      <c r="C1612" s="113" t="s">
        <v>223</v>
      </c>
      <c r="D1612" s="114">
        <v>427120.97</v>
      </c>
      <c r="E1612" s="115">
        <v>417935.67</v>
      </c>
      <c r="F1612" s="115">
        <v>411182.17</v>
      </c>
      <c r="G1612" s="115"/>
      <c r="H1612" s="116"/>
      <c r="I1612" s="114">
        <v>47470.76</v>
      </c>
      <c r="J1612" s="115">
        <v>78750.179999999993</v>
      </c>
      <c r="K1612" s="115">
        <v>105777.88</v>
      </c>
      <c r="L1612" s="115"/>
      <c r="M1612" s="116"/>
    </row>
    <row r="1613" spans="1:13" x14ac:dyDescent="0.2">
      <c r="A1613" t="s">
        <v>42</v>
      </c>
      <c r="B1613" t="s">
        <v>105</v>
      </c>
      <c r="C1613" t="s">
        <v>224</v>
      </c>
      <c r="D1613" s="110">
        <v>241507.29</v>
      </c>
      <c r="E1613" s="111">
        <v>235050.09</v>
      </c>
      <c r="F1613" s="111"/>
      <c r="G1613" s="111"/>
      <c r="H1613" s="112"/>
      <c r="I1613" s="110">
        <v>32593.200000000001</v>
      </c>
      <c r="J1613" s="111">
        <v>45630.71</v>
      </c>
      <c r="K1613" s="111"/>
      <c r="L1613" s="111"/>
      <c r="M1613" s="112"/>
    </row>
    <row r="1614" spans="1:13" x14ac:dyDescent="0.2">
      <c r="A1614" s="117" t="s">
        <v>42</v>
      </c>
      <c r="B1614" s="117" t="s">
        <v>105</v>
      </c>
      <c r="C1614" s="117" t="s">
        <v>225</v>
      </c>
      <c r="D1614" s="118">
        <v>304216.71000000002</v>
      </c>
      <c r="E1614" s="119"/>
      <c r="F1614" s="119"/>
      <c r="G1614" s="119"/>
      <c r="H1614" s="120"/>
      <c r="I1614" s="118">
        <v>39472.160000000003</v>
      </c>
      <c r="J1614" s="119"/>
      <c r="K1614" s="119"/>
      <c r="L1614" s="119"/>
      <c r="M1614" s="120"/>
    </row>
    <row r="1615" spans="1:13" x14ac:dyDescent="0.2">
      <c r="A1615" t="s">
        <v>42</v>
      </c>
      <c r="B1615" t="s">
        <v>111</v>
      </c>
      <c r="C1615" t="s">
        <v>222</v>
      </c>
      <c r="D1615" s="110">
        <v>45761</v>
      </c>
      <c r="E1615" s="111">
        <v>45761</v>
      </c>
      <c r="F1615" s="111">
        <v>45761</v>
      </c>
      <c r="G1615" s="111">
        <v>45761</v>
      </c>
      <c r="H1615" s="112"/>
      <c r="I1615" s="110">
        <v>1441.02</v>
      </c>
      <c r="J1615" s="111">
        <v>4073.98</v>
      </c>
      <c r="K1615" s="111">
        <v>5076.4799999999996</v>
      </c>
      <c r="L1615" s="111">
        <v>7754.12</v>
      </c>
      <c r="M1615" s="112"/>
    </row>
    <row r="1616" spans="1:13" x14ac:dyDescent="0.2">
      <c r="A1616" s="113" t="s">
        <v>42</v>
      </c>
      <c r="B1616" s="113" t="s">
        <v>111</v>
      </c>
      <c r="C1616" s="113" t="s">
        <v>223</v>
      </c>
      <c r="D1616" s="114">
        <v>35131.5</v>
      </c>
      <c r="E1616" s="115">
        <v>35131.5</v>
      </c>
      <c r="F1616" s="115">
        <v>35106.5</v>
      </c>
      <c r="G1616" s="115"/>
      <c r="H1616" s="116"/>
      <c r="I1616" s="114">
        <v>1621.5</v>
      </c>
      <c r="J1616" s="115">
        <v>4212</v>
      </c>
      <c r="K1616" s="115">
        <v>5206.75</v>
      </c>
      <c r="L1616" s="115"/>
      <c r="M1616" s="116"/>
    </row>
    <row r="1617" spans="1:13" x14ac:dyDescent="0.2">
      <c r="A1617" t="s">
        <v>42</v>
      </c>
      <c r="B1617" t="s">
        <v>111</v>
      </c>
      <c r="C1617" t="s">
        <v>224</v>
      </c>
      <c r="D1617" s="110">
        <v>15641.5</v>
      </c>
      <c r="E1617" s="111">
        <v>15641.5</v>
      </c>
      <c r="F1617" s="111"/>
      <c r="G1617" s="111"/>
      <c r="H1617" s="112"/>
      <c r="I1617" s="110">
        <v>1051.17</v>
      </c>
      <c r="J1617" s="111">
        <v>2467.1799999999998</v>
      </c>
      <c r="K1617" s="111"/>
      <c r="L1617" s="111"/>
      <c r="M1617" s="112"/>
    </row>
    <row r="1618" spans="1:13" x14ac:dyDescent="0.2">
      <c r="A1618" s="117" t="s">
        <v>42</v>
      </c>
      <c r="B1618" s="117" t="s">
        <v>111</v>
      </c>
      <c r="C1618" s="117" t="s">
        <v>225</v>
      </c>
      <c r="D1618" s="118">
        <v>58128</v>
      </c>
      <c r="E1618" s="119"/>
      <c r="F1618" s="119"/>
      <c r="G1618" s="119"/>
      <c r="H1618" s="120"/>
      <c r="I1618" s="118">
        <v>10355.709999999999</v>
      </c>
      <c r="J1618" s="119"/>
      <c r="K1618" s="119"/>
      <c r="L1618" s="119"/>
      <c r="M1618" s="120"/>
    </row>
    <row r="1619" spans="1:13" x14ac:dyDescent="0.2">
      <c r="A1619" s="124" t="s">
        <v>42</v>
      </c>
      <c r="B1619" s="124" t="s">
        <v>109</v>
      </c>
      <c r="C1619" s="124" t="s">
        <v>222</v>
      </c>
      <c r="D1619" s="125">
        <v>362754.81</v>
      </c>
      <c r="E1619" s="126">
        <v>361603.31</v>
      </c>
      <c r="F1619" s="126">
        <v>361283.31</v>
      </c>
      <c r="G1619" s="126">
        <v>361201.31</v>
      </c>
      <c r="H1619" s="127"/>
      <c r="I1619" s="125">
        <v>70893.899999999994</v>
      </c>
      <c r="J1619" s="126">
        <v>150888.04</v>
      </c>
      <c r="K1619" s="126">
        <v>176119.18</v>
      </c>
      <c r="L1619" s="126">
        <v>193796.35</v>
      </c>
      <c r="M1619" s="127"/>
    </row>
    <row r="1620" spans="1:13" x14ac:dyDescent="0.2">
      <c r="A1620" s="113" t="s">
        <v>42</v>
      </c>
      <c r="B1620" s="113" t="s">
        <v>109</v>
      </c>
      <c r="C1620" s="113" t="s">
        <v>223</v>
      </c>
      <c r="D1620" s="114">
        <v>330269.90000000002</v>
      </c>
      <c r="E1620" s="115">
        <v>330273.90000000002</v>
      </c>
      <c r="F1620" s="115">
        <v>330109.90000000002</v>
      </c>
      <c r="G1620" s="115"/>
      <c r="H1620" s="116"/>
      <c r="I1620" s="114">
        <v>80907.55</v>
      </c>
      <c r="J1620" s="115">
        <v>126118.17</v>
      </c>
      <c r="K1620" s="115">
        <v>141207.28</v>
      </c>
      <c r="L1620" s="115"/>
      <c r="M1620" s="116"/>
    </row>
    <row r="1621" spans="1:13" x14ac:dyDescent="0.2">
      <c r="A1621" t="s">
        <v>42</v>
      </c>
      <c r="B1621" t="s">
        <v>109</v>
      </c>
      <c r="C1621" t="s">
        <v>224</v>
      </c>
      <c r="D1621" s="110">
        <v>169289</v>
      </c>
      <c r="E1621" s="111">
        <v>168649.5</v>
      </c>
      <c r="F1621" s="111"/>
      <c r="G1621" s="111"/>
      <c r="H1621" s="112"/>
      <c r="I1621" s="110">
        <v>47336.75</v>
      </c>
      <c r="J1621" s="111">
        <v>73453.02</v>
      </c>
      <c r="K1621" s="111"/>
      <c r="L1621" s="111"/>
      <c r="M1621" s="112"/>
    </row>
    <row r="1622" spans="1:13" x14ac:dyDescent="0.2">
      <c r="A1622" s="117" t="s">
        <v>42</v>
      </c>
      <c r="B1622" s="117" t="s">
        <v>109</v>
      </c>
      <c r="C1622" s="117" t="s">
        <v>225</v>
      </c>
      <c r="D1622" s="118">
        <v>304751.65000000002</v>
      </c>
      <c r="E1622" s="119"/>
      <c r="F1622" s="119"/>
      <c r="G1622" s="119"/>
      <c r="H1622" s="120"/>
      <c r="I1622" s="118">
        <v>65120.89</v>
      </c>
      <c r="J1622" s="119"/>
      <c r="K1622" s="119"/>
      <c r="L1622" s="119"/>
      <c r="M1622" s="120"/>
    </row>
    <row r="1623" spans="1:13" x14ac:dyDescent="0.2">
      <c r="A1623" t="s">
        <v>42</v>
      </c>
      <c r="B1623" t="s">
        <v>106</v>
      </c>
      <c r="C1623" t="s">
        <v>222</v>
      </c>
      <c r="D1623" s="110">
        <v>476411.36</v>
      </c>
      <c r="E1623" s="111">
        <v>476341.36</v>
      </c>
      <c r="F1623" s="111">
        <v>476341.36</v>
      </c>
      <c r="G1623" s="111">
        <v>476339.36</v>
      </c>
      <c r="H1623" s="112"/>
      <c r="I1623" s="110">
        <v>474123.06</v>
      </c>
      <c r="J1623" s="111">
        <v>475248.06</v>
      </c>
      <c r="K1623" s="111">
        <v>475248.06</v>
      </c>
      <c r="L1623" s="111">
        <v>475478.06</v>
      </c>
      <c r="M1623" s="112"/>
    </row>
    <row r="1624" spans="1:13" x14ac:dyDescent="0.2">
      <c r="A1624" s="113" t="s">
        <v>42</v>
      </c>
      <c r="B1624" s="113" t="s">
        <v>106</v>
      </c>
      <c r="C1624" s="113" t="s">
        <v>223</v>
      </c>
      <c r="D1624" s="114">
        <v>414392.64</v>
      </c>
      <c r="E1624" s="115">
        <v>414392.64</v>
      </c>
      <c r="F1624" s="115">
        <v>415402.64</v>
      </c>
      <c r="G1624" s="115"/>
      <c r="H1624" s="116"/>
      <c r="I1624" s="114">
        <v>412813.64</v>
      </c>
      <c r="J1624" s="115">
        <v>413623.64</v>
      </c>
      <c r="K1624" s="115">
        <v>414329.64</v>
      </c>
      <c r="L1624" s="115"/>
      <c r="M1624" s="116"/>
    </row>
    <row r="1625" spans="1:13" x14ac:dyDescent="0.2">
      <c r="A1625" t="s">
        <v>42</v>
      </c>
      <c r="B1625" t="s">
        <v>106</v>
      </c>
      <c r="C1625" t="s">
        <v>224</v>
      </c>
      <c r="D1625" s="110">
        <v>205203.25</v>
      </c>
      <c r="E1625" s="111">
        <v>205758.25</v>
      </c>
      <c r="F1625" s="111"/>
      <c r="G1625" s="111"/>
      <c r="H1625" s="112"/>
      <c r="I1625" s="110">
        <v>204712.25</v>
      </c>
      <c r="J1625" s="111">
        <v>205236.25</v>
      </c>
      <c r="K1625" s="111"/>
      <c r="L1625" s="111"/>
      <c r="M1625" s="112"/>
    </row>
    <row r="1626" spans="1:13" x14ac:dyDescent="0.2">
      <c r="A1626" s="117" t="s">
        <v>42</v>
      </c>
      <c r="B1626" s="117" t="s">
        <v>106</v>
      </c>
      <c r="C1626" s="117" t="s">
        <v>225</v>
      </c>
      <c r="D1626" s="118">
        <v>254405.89</v>
      </c>
      <c r="E1626" s="119"/>
      <c r="F1626" s="119"/>
      <c r="G1626" s="119"/>
      <c r="H1626" s="120"/>
      <c r="I1626" s="118">
        <v>250187.39</v>
      </c>
      <c r="J1626" s="119"/>
      <c r="K1626" s="119"/>
      <c r="L1626" s="119"/>
      <c r="M1626" s="120"/>
    </row>
    <row r="1627" spans="1:13" x14ac:dyDescent="0.2">
      <c r="A1627" t="s">
        <v>42</v>
      </c>
      <c r="B1627" t="s">
        <v>107</v>
      </c>
      <c r="C1627" t="s">
        <v>222</v>
      </c>
      <c r="D1627" s="110">
        <v>469336.92</v>
      </c>
      <c r="E1627" s="111">
        <v>469336.92</v>
      </c>
      <c r="F1627" s="111">
        <v>469336.92</v>
      </c>
      <c r="G1627" s="111">
        <v>469336.92</v>
      </c>
      <c r="H1627" s="112"/>
      <c r="I1627" s="110">
        <v>467431.92</v>
      </c>
      <c r="J1627" s="111">
        <v>468986.92</v>
      </c>
      <c r="K1627" s="111">
        <v>469136.92</v>
      </c>
      <c r="L1627" s="111">
        <v>469136.92</v>
      </c>
      <c r="M1627" s="112"/>
    </row>
    <row r="1628" spans="1:13" x14ac:dyDescent="0.2">
      <c r="A1628" s="113" t="s">
        <v>42</v>
      </c>
      <c r="B1628" s="113" t="s">
        <v>107</v>
      </c>
      <c r="C1628" s="113" t="s">
        <v>223</v>
      </c>
      <c r="D1628" s="114">
        <v>481141.45</v>
      </c>
      <c r="E1628" s="115">
        <v>480841.45</v>
      </c>
      <c r="F1628" s="115">
        <v>480841.45</v>
      </c>
      <c r="G1628" s="115"/>
      <c r="H1628" s="116"/>
      <c r="I1628" s="114">
        <v>476566.15</v>
      </c>
      <c r="J1628" s="115">
        <v>480011.15</v>
      </c>
      <c r="K1628" s="115">
        <v>480011.15</v>
      </c>
      <c r="L1628" s="115"/>
      <c r="M1628" s="116"/>
    </row>
    <row r="1629" spans="1:13" x14ac:dyDescent="0.2">
      <c r="A1629" t="s">
        <v>42</v>
      </c>
      <c r="B1629" t="s">
        <v>107</v>
      </c>
      <c r="C1629" t="s">
        <v>224</v>
      </c>
      <c r="D1629" s="110">
        <v>264770.08</v>
      </c>
      <c r="E1629" s="111">
        <v>264895.08</v>
      </c>
      <c r="F1629" s="111"/>
      <c r="G1629" s="111"/>
      <c r="H1629" s="112"/>
      <c r="I1629" s="110">
        <v>263252.08</v>
      </c>
      <c r="J1629" s="111">
        <v>264686.08000000002</v>
      </c>
      <c r="K1629" s="111"/>
      <c r="L1629" s="111"/>
      <c r="M1629" s="112"/>
    </row>
    <row r="1630" spans="1:13" x14ac:dyDescent="0.2">
      <c r="A1630" s="117" t="s">
        <v>42</v>
      </c>
      <c r="B1630" s="117" t="s">
        <v>107</v>
      </c>
      <c r="C1630" s="117" t="s">
        <v>225</v>
      </c>
      <c r="D1630" s="118">
        <v>376416.87</v>
      </c>
      <c r="E1630" s="119"/>
      <c r="F1630" s="119"/>
      <c r="G1630" s="119"/>
      <c r="H1630" s="120"/>
      <c r="I1630" s="118">
        <v>372100.55</v>
      </c>
      <c r="J1630" s="119"/>
      <c r="K1630" s="119"/>
      <c r="L1630" s="119"/>
      <c r="M1630" s="120"/>
    </row>
    <row r="1631" spans="1:13" x14ac:dyDescent="0.2">
      <c r="A1631" t="s">
        <v>42</v>
      </c>
      <c r="B1631" t="s">
        <v>108</v>
      </c>
      <c r="C1631" t="s">
        <v>222</v>
      </c>
      <c r="D1631" s="110">
        <v>152332.20000000001</v>
      </c>
      <c r="E1631" s="111">
        <v>152163.20000000001</v>
      </c>
      <c r="F1631" s="111">
        <v>151925.20000000001</v>
      </c>
      <c r="G1631" s="111">
        <v>149166.20000000001</v>
      </c>
      <c r="H1631" s="112"/>
      <c r="I1631" s="110">
        <v>147197.12</v>
      </c>
      <c r="J1631" s="111">
        <v>147563.12</v>
      </c>
      <c r="K1631" s="111">
        <v>148194.12</v>
      </c>
      <c r="L1631" s="111">
        <v>148514.12</v>
      </c>
      <c r="M1631" s="112"/>
    </row>
    <row r="1632" spans="1:13" x14ac:dyDescent="0.2">
      <c r="A1632" s="113" t="s">
        <v>42</v>
      </c>
      <c r="B1632" s="113" t="s">
        <v>108</v>
      </c>
      <c r="C1632" s="113" t="s">
        <v>223</v>
      </c>
      <c r="D1632" s="114">
        <v>151943.67000000001</v>
      </c>
      <c r="E1632" s="115">
        <v>151112.67000000001</v>
      </c>
      <c r="F1632" s="115">
        <v>150866.67000000001</v>
      </c>
      <c r="G1632" s="115"/>
      <c r="H1632" s="116"/>
      <c r="I1632" s="114">
        <v>145474.67000000001</v>
      </c>
      <c r="J1632" s="115">
        <v>145634.67000000001</v>
      </c>
      <c r="K1632" s="115">
        <v>145918.67000000001</v>
      </c>
      <c r="L1632" s="115"/>
      <c r="M1632" s="116"/>
    </row>
    <row r="1633" spans="1:13" x14ac:dyDescent="0.2">
      <c r="A1633" t="s">
        <v>42</v>
      </c>
      <c r="B1633" t="s">
        <v>108</v>
      </c>
      <c r="C1633" t="s">
        <v>224</v>
      </c>
      <c r="D1633" s="110">
        <v>158975.97</v>
      </c>
      <c r="E1633" s="111">
        <v>157775.97</v>
      </c>
      <c r="F1633" s="111"/>
      <c r="G1633" s="111"/>
      <c r="H1633" s="112"/>
      <c r="I1633" s="110">
        <v>155023.97</v>
      </c>
      <c r="J1633" s="111">
        <v>155924.97</v>
      </c>
      <c r="K1633" s="111"/>
      <c r="L1633" s="111"/>
      <c r="M1633" s="112"/>
    </row>
    <row r="1634" spans="1:13" x14ac:dyDescent="0.2">
      <c r="A1634" s="117" t="s">
        <v>42</v>
      </c>
      <c r="B1634" s="117" t="s">
        <v>108</v>
      </c>
      <c r="C1634" s="117" t="s">
        <v>225</v>
      </c>
      <c r="D1634" s="118">
        <v>178505.39</v>
      </c>
      <c r="E1634" s="119"/>
      <c r="F1634" s="119"/>
      <c r="G1634" s="119"/>
      <c r="H1634" s="120"/>
      <c r="I1634" s="118">
        <v>175610.89</v>
      </c>
      <c r="J1634" s="119"/>
      <c r="K1634" s="119"/>
      <c r="L1634" s="119"/>
      <c r="M1634" s="120"/>
    </row>
    <row r="1635" spans="1:13" x14ac:dyDescent="0.2">
      <c r="A1635" t="s">
        <v>42</v>
      </c>
      <c r="B1635" t="s">
        <v>70</v>
      </c>
      <c r="C1635" t="s">
        <v>222</v>
      </c>
      <c r="D1635" s="110">
        <v>187019.85</v>
      </c>
      <c r="E1635" s="111">
        <v>184519.85</v>
      </c>
      <c r="F1635" s="111">
        <v>182945.85</v>
      </c>
      <c r="G1635" s="111">
        <v>181880.55</v>
      </c>
      <c r="H1635" s="112"/>
      <c r="I1635" s="110">
        <v>161973.1</v>
      </c>
      <c r="J1635" s="111">
        <v>172590.1</v>
      </c>
      <c r="K1635" s="111">
        <v>173527.6</v>
      </c>
      <c r="L1635" s="111">
        <v>174153.3</v>
      </c>
      <c r="M1635" s="112"/>
    </row>
    <row r="1636" spans="1:13" x14ac:dyDescent="0.2">
      <c r="A1636" s="113" t="s">
        <v>42</v>
      </c>
      <c r="B1636" s="113" t="s">
        <v>70</v>
      </c>
      <c r="C1636" s="113" t="s">
        <v>223</v>
      </c>
      <c r="D1636" s="114">
        <v>173478</v>
      </c>
      <c r="E1636" s="115">
        <v>172888.75</v>
      </c>
      <c r="F1636" s="115">
        <v>173126.75</v>
      </c>
      <c r="G1636" s="115"/>
      <c r="H1636" s="116"/>
      <c r="I1636" s="114">
        <v>161109</v>
      </c>
      <c r="J1636" s="115">
        <v>167347.75</v>
      </c>
      <c r="K1636" s="115">
        <v>168277.75</v>
      </c>
      <c r="L1636" s="115"/>
      <c r="M1636" s="116"/>
    </row>
    <row r="1637" spans="1:13" x14ac:dyDescent="0.2">
      <c r="A1637" t="s">
        <v>42</v>
      </c>
      <c r="B1637" t="s">
        <v>70</v>
      </c>
      <c r="C1637" t="s">
        <v>224</v>
      </c>
      <c r="D1637" s="110">
        <v>188845.5</v>
      </c>
      <c r="E1637" s="111">
        <v>187599.5</v>
      </c>
      <c r="F1637" s="111"/>
      <c r="G1637" s="111"/>
      <c r="H1637" s="112"/>
      <c r="I1637" s="110">
        <v>168792.5</v>
      </c>
      <c r="J1637" s="111">
        <v>177240.5</v>
      </c>
      <c r="K1637" s="111"/>
      <c r="L1637" s="111"/>
      <c r="M1637" s="112"/>
    </row>
    <row r="1638" spans="1:13" x14ac:dyDescent="0.2">
      <c r="A1638" s="117" t="s">
        <v>42</v>
      </c>
      <c r="B1638" s="117" t="s">
        <v>70</v>
      </c>
      <c r="C1638" s="117" t="s">
        <v>225</v>
      </c>
      <c r="D1638" s="118">
        <v>194030</v>
      </c>
      <c r="E1638" s="119"/>
      <c r="F1638" s="119"/>
      <c r="G1638" s="119"/>
      <c r="H1638" s="120"/>
      <c r="I1638" s="118">
        <v>179522.55</v>
      </c>
      <c r="J1638" s="119"/>
      <c r="K1638" s="119"/>
      <c r="L1638" s="119"/>
      <c r="M1638" s="120"/>
    </row>
    <row r="1639" spans="1:13" x14ac:dyDescent="0.2">
      <c r="A1639" t="s">
        <v>42</v>
      </c>
      <c r="B1639" t="s">
        <v>110</v>
      </c>
      <c r="C1639" t="s">
        <v>222</v>
      </c>
      <c r="D1639" s="110">
        <v>791682.55</v>
      </c>
      <c r="E1639" s="111">
        <v>775263.35</v>
      </c>
      <c r="F1639" s="111">
        <v>773721.35</v>
      </c>
      <c r="G1639" s="111">
        <v>789510.35</v>
      </c>
      <c r="H1639" s="112"/>
      <c r="I1639" s="110">
        <v>430065.06</v>
      </c>
      <c r="J1639" s="111">
        <v>657770.09</v>
      </c>
      <c r="K1639" s="111">
        <v>683591.64</v>
      </c>
      <c r="L1639" s="111">
        <v>715257.53</v>
      </c>
      <c r="M1639" s="112"/>
    </row>
    <row r="1640" spans="1:13" x14ac:dyDescent="0.2">
      <c r="A1640" s="113" t="s">
        <v>42</v>
      </c>
      <c r="B1640" s="113" t="s">
        <v>110</v>
      </c>
      <c r="C1640" s="113" t="s">
        <v>223</v>
      </c>
      <c r="D1640" s="114">
        <v>787302.45</v>
      </c>
      <c r="E1640" s="115">
        <v>762332.61</v>
      </c>
      <c r="F1640" s="115">
        <v>767084.55</v>
      </c>
      <c r="G1640" s="115"/>
      <c r="H1640" s="116"/>
      <c r="I1640" s="114">
        <v>441133.12</v>
      </c>
      <c r="J1640" s="115">
        <v>622168.81999999995</v>
      </c>
      <c r="K1640" s="115">
        <v>687423.31</v>
      </c>
      <c r="L1640" s="115"/>
      <c r="M1640" s="116"/>
    </row>
    <row r="1641" spans="1:13" x14ac:dyDescent="0.2">
      <c r="A1641" t="s">
        <v>42</v>
      </c>
      <c r="B1641" t="s">
        <v>110</v>
      </c>
      <c r="C1641" t="s">
        <v>224</v>
      </c>
      <c r="D1641" s="110">
        <v>562701.55000000005</v>
      </c>
      <c r="E1641" s="111">
        <v>542979.44999999995</v>
      </c>
      <c r="F1641" s="111"/>
      <c r="G1641" s="111"/>
      <c r="H1641" s="112"/>
      <c r="I1641" s="110">
        <v>273275.11</v>
      </c>
      <c r="J1641" s="111">
        <v>436015.84</v>
      </c>
      <c r="K1641" s="111"/>
      <c r="L1641" s="111"/>
      <c r="M1641" s="112"/>
    </row>
    <row r="1642" spans="1:13" ht="13.5" thickBot="1" x14ac:dyDescent="0.25">
      <c r="A1642" s="128" t="s">
        <v>42</v>
      </c>
      <c r="B1642" s="128" t="s">
        <v>110</v>
      </c>
      <c r="C1642" s="128" t="s">
        <v>225</v>
      </c>
      <c r="D1642" s="129">
        <v>722010</v>
      </c>
      <c r="E1642" s="130"/>
      <c r="F1642" s="130"/>
      <c r="G1642" s="130"/>
      <c r="H1642" s="131"/>
      <c r="I1642" s="129">
        <v>355952.74</v>
      </c>
      <c r="J1642" s="130"/>
      <c r="K1642" s="130"/>
      <c r="L1642" s="130"/>
      <c r="M1642" s="131"/>
    </row>
    <row r="1643" spans="1:13" x14ac:dyDescent="0.2">
      <c r="A1643" s="132" t="s">
        <v>43</v>
      </c>
      <c r="B1643" s="132" t="s">
        <v>104</v>
      </c>
      <c r="C1643" s="132" t="s">
        <v>222</v>
      </c>
      <c r="D1643" s="133">
        <v>330958.26</v>
      </c>
      <c r="E1643" s="134">
        <v>330908.26</v>
      </c>
      <c r="F1643" s="134">
        <v>330488.26</v>
      </c>
      <c r="G1643" s="134">
        <v>329349.26</v>
      </c>
      <c r="H1643" s="135"/>
      <c r="I1643" s="133">
        <v>15513.78</v>
      </c>
      <c r="J1643" s="134">
        <v>28304.06</v>
      </c>
      <c r="K1643" s="134">
        <v>43051.06</v>
      </c>
      <c r="L1643" s="134">
        <v>50438.25</v>
      </c>
      <c r="M1643" s="135"/>
    </row>
    <row r="1644" spans="1:13" x14ac:dyDescent="0.2">
      <c r="A1644" s="113" t="s">
        <v>43</v>
      </c>
      <c r="B1644" s="113" t="s">
        <v>104</v>
      </c>
      <c r="C1644" s="113" t="s">
        <v>223</v>
      </c>
      <c r="D1644" s="114">
        <v>803698.66</v>
      </c>
      <c r="E1644" s="115">
        <v>802926.66</v>
      </c>
      <c r="F1644" s="115">
        <v>802876.66</v>
      </c>
      <c r="G1644" s="115"/>
      <c r="H1644" s="116"/>
      <c r="I1644" s="114">
        <v>10977.75</v>
      </c>
      <c r="J1644" s="115">
        <v>27893.9</v>
      </c>
      <c r="K1644" s="115">
        <v>42078.09</v>
      </c>
      <c r="L1644" s="115"/>
      <c r="M1644" s="116"/>
    </row>
    <row r="1645" spans="1:13" x14ac:dyDescent="0.2">
      <c r="A1645" t="s">
        <v>43</v>
      </c>
      <c r="B1645" t="s">
        <v>104</v>
      </c>
      <c r="C1645" t="s">
        <v>224</v>
      </c>
      <c r="D1645" s="110">
        <v>643814.6</v>
      </c>
      <c r="E1645" s="111">
        <v>643664.80000000005</v>
      </c>
      <c r="F1645" s="111"/>
      <c r="G1645" s="111"/>
      <c r="H1645" s="112"/>
      <c r="I1645" s="110">
        <v>11645.19</v>
      </c>
      <c r="J1645" s="111">
        <v>25958.07</v>
      </c>
      <c r="K1645" s="111"/>
      <c r="L1645" s="111"/>
      <c r="M1645" s="112"/>
    </row>
    <row r="1646" spans="1:13" x14ac:dyDescent="0.2">
      <c r="A1646" s="117" t="s">
        <v>43</v>
      </c>
      <c r="B1646" s="117" t="s">
        <v>104</v>
      </c>
      <c r="C1646" s="117" t="s">
        <v>225</v>
      </c>
      <c r="D1646" s="118">
        <v>345465.75</v>
      </c>
      <c r="E1646" s="119"/>
      <c r="F1646" s="119"/>
      <c r="G1646" s="119"/>
      <c r="H1646" s="120"/>
      <c r="I1646" s="118">
        <v>6629.88</v>
      </c>
      <c r="J1646" s="119"/>
      <c r="K1646" s="119"/>
      <c r="L1646" s="119"/>
      <c r="M1646" s="120"/>
    </row>
    <row r="1647" spans="1:13" x14ac:dyDescent="0.2">
      <c r="A1647" t="s">
        <v>43</v>
      </c>
      <c r="B1647" t="s">
        <v>140</v>
      </c>
      <c r="C1647" t="s">
        <v>222</v>
      </c>
      <c r="D1647" s="110">
        <v>108835</v>
      </c>
      <c r="E1647" s="111">
        <v>108835</v>
      </c>
      <c r="F1647" s="111">
        <v>108835</v>
      </c>
      <c r="G1647" s="111">
        <v>108835</v>
      </c>
      <c r="H1647" s="112"/>
      <c r="I1647" s="110">
        <v>115</v>
      </c>
      <c r="J1647" s="111">
        <v>140</v>
      </c>
      <c r="K1647" s="111">
        <v>140</v>
      </c>
      <c r="L1647" s="111">
        <v>140</v>
      </c>
      <c r="M1647" s="112"/>
    </row>
    <row r="1648" spans="1:13" x14ac:dyDescent="0.2">
      <c r="A1648" s="113" t="s">
        <v>43</v>
      </c>
      <c r="B1648" s="113" t="s">
        <v>140</v>
      </c>
      <c r="C1648" s="113" t="s">
        <v>223</v>
      </c>
      <c r="D1648" s="114">
        <v>492723.43</v>
      </c>
      <c r="E1648" s="115">
        <v>492723.43</v>
      </c>
      <c r="F1648" s="115">
        <v>492723.43</v>
      </c>
      <c r="G1648" s="115"/>
      <c r="H1648" s="116"/>
      <c r="I1648" s="114">
        <v>225</v>
      </c>
      <c r="J1648" s="115">
        <v>225</v>
      </c>
      <c r="K1648" s="115">
        <v>225</v>
      </c>
      <c r="L1648" s="115"/>
      <c r="M1648" s="116"/>
    </row>
    <row r="1649" spans="1:13" x14ac:dyDescent="0.2">
      <c r="A1649" t="s">
        <v>43</v>
      </c>
      <c r="B1649" t="s">
        <v>140</v>
      </c>
      <c r="C1649" t="s">
        <v>224</v>
      </c>
      <c r="D1649" s="110">
        <v>478498</v>
      </c>
      <c r="E1649" s="111">
        <v>478498</v>
      </c>
      <c r="F1649" s="111"/>
      <c r="G1649" s="111"/>
      <c r="H1649" s="112"/>
      <c r="I1649" s="110">
        <v>50</v>
      </c>
      <c r="J1649" s="111">
        <v>433.61</v>
      </c>
      <c r="K1649" s="111"/>
      <c r="L1649" s="111"/>
      <c r="M1649" s="112"/>
    </row>
    <row r="1650" spans="1:13" x14ac:dyDescent="0.2">
      <c r="A1650" s="117" t="s">
        <v>43</v>
      </c>
      <c r="B1650" s="117" t="s">
        <v>140</v>
      </c>
      <c r="C1650" s="117" t="s">
        <v>225</v>
      </c>
      <c r="D1650" s="118">
        <v>159855</v>
      </c>
      <c r="E1650" s="119"/>
      <c r="F1650" s="119"/>
      <c r="G1650" s="119"/>
      <c r="H1650" s="120"/>
      <c r="I1650" s="118">
        <v>50</v>
      </c>
      <c r="J1650" s="119"/>
      <c r="K1650" s="119"/>
      <c r="L1650" s="119"/>
      <c r="M1650" s="120"/>
    </row>
    <row r="1651" spans="1:13" x14ac:dyDescent="0.2">
      <c r="A1651" t="s">
        <v>43</v>
      </c>
      <c r="B1651" t="s">
        <v>105</v>
      </c>
      <c r="C1651" t="s">
        <v>222</v>
      </c>
      <c r="D1651" s="110">
        <v>162230.5</v>
      </c>
      <c r="E1651" s="111">
        <v>156502.5</v>
      </c>
      <c r="F1651" s="111">
        <v>155122.5</v>
      </c>
      <c r="G1651" s="111">
        <v>154157.5</v>
      </c>
      <c r="H1651" s="112"/>
      <c r="I1651" s="110">
        <v>46455.5</v>
      </c>
      <c r="J1651" s="111">
        <v>64215</v>
      </c>
      <c r="K1651" s="111">
        <v>72125.399999999994</v>
      </c>
      <c r="L1651" s="111">
        <v>80642.899999999994</v>
      </c>
      <c r="M1651" s="112"/>
    </row>
    <row r="1652" spans="1:13" x14ac:dyDescent="0.2">
      <c r="A1652" s="113" t="s">
        <v>43</v>
      </c>
      <c r="B1652" s="113" t="s">
        <v>105</v>
      </c>
      <c r="C1652" s="113" t="s">
        <v>223</v>
      </c>
      <c r="D1652" s="114">
        <v>149800.5</v>
      </c>
      <c r="E1652" s="115">
        <v>147927</v>
      </c>
      <c r="F1652" s="115">
        <v>140979</v>
      </c>
      <c r="G1652" s="115"/>
      <c r="H1652" s="116"/>
      <c r="I1652" s="114">
        <v>44437</v>
      </c>
      <c r="J1652" s="115">
        <v>60504.5</v>
      </c>
      <c r="K1652" s="115">
        <v>69366</v>
      </c>
      <c r="L1652" s="115"/>
      <c r="M1652" s="116"/>
    </row>
    <row r="1653" spans="1:13" x14ac:dyDescent="0.2">
      <c r="A1653" t="s">
        <v>43</v>
      </c>
      <c r="B1653" t="s">
        <v>105</v>
      </c>
      <c r="C1653" t="s">
        <v>224</v>
      </c>
      <c r="D1653" s="110">
        <v>95709.5</v>
      </c>
      <c r="E1653" s="111">
        <v>93061.5</v>
      </c>
      <c r="F1653" s="111"/>
      <c r="G1653" s="111"/>
      <c r="H1653" s="112"/>
      <c r="I1653" s="110">
        <v>26580</v>
      </c>
      <c r="J1653" s="111">
        <v>42443.5</v>
      </c>
      <c r="K1653" s="111"/>
      <c r="L1653" s="111"/>
      <c r="M1653" s="112"/>
    </row>
    <row r="1654" spans="1:13" x14ac:dyDescent="0.2">
      <c r="A1654" s="117" t="s">
        <v>43</v>
      </c>
      <c r="B1654" s="117" t="s">
        <v>105</v>
      </c>
      <c r="C1654" s="117" t="s">
        <v>225</v>
      </c>
      <c r="D1654" s="118">
        <v>151382.5</v>
      </c>
      <c r="E1654" s="119"/>
      <c r="F1654" s="119"/>
      <c r="G1654" s="119"/>
      <c r="H1654" s="120"/>
      <c r="I1654" s="118">
        <v>53333.5</v>
      </c>
      <c r="J1654" s="119"/>
      <c r="K1654" s="119"/>
      <c r="L1654" s="119"/>
      <c r="M1654" s="120"/>
    </row>
    <row r="1655" spans="1:13" x14ac:dyDescent="0.2">
      <c r="A1655" t="s">
        <v>43</v>
      </c>
      <c r="B1655" t="s">
        <v>111</v>
      </c>
      <c r="C1655" t="s">
        <v>222</v>
      </c>
      <c r="D1655" s="110">
        <v>10957</v>
      </c>
      <c r="E1655" s="111">
        <v>10957</v>
      </c>
      <c r="F1655" s="111">
        <v>10957</v>
      </c>
      <c r="G1655" s="111">
        <v>10957</v>
      </c>
      <c r="H1655" s="112"/>
      <c r="I1655" s="110">
        <v>1720</v>
      </c>
      <c r="J1655" s="111">
        <v>1962</v>
      </c>
      <c r="K1655" s="111">
        <v>1962</v>
      </c>
      <c r="L1655" s="111">
        <v>1962</v>
      </c>
      <c r="M1655" s="112"/>
    </row>
    <row r="1656" spans="1:13" x14ac:dyDescent="0.2">
      <c r="A1656" s="113" t="s">
        <v>43</v>
      </c>
      <c r="B1656" s="113" t="s">
        <v>111</v>
      </c>
      <c r="C1656" s="113" t="s">
        <v>223</v>
      </c>
      <c r="D1656" s="114">
        <v>8822</v>
      </c>
      <c r="E1656" s="115">
        <v>8822</v>
      </c>
      <c r="F1656" s="115">
        <v>8822</v>
      </c>
      <c r="G1656" s="115"/>
      <c r="H1656" s="116"/>
      <c r="I1656" s="114">
        <v>202</v>
      </c>
      <c r="J1656" s="115">
        <v>482</v>
      </c>
      <c r="K1656" s="115">
        <v>1181</v>
      </c>
      <c r="L1656" s="115"/>
      <c r="M1656" s="116"/>
    </row>
    <row r="1657" spans="1:13" x14ac:dyDescent="0.2">
      <c r="A1657" t="s">
        <v>43</v>
      </c>
      <c r="B1657" t="s">
        <v>111</v>
      </c>
      <c r="C1657" t="s">
        <v>224</v>
      </c>
      <c r="D1657" s="110">
        <v>4760</v>
      </c>
      <c r="E1657" s="111">
        <v>4760</v>
      </c>
      <c r="F1657" s="111"/>
      <c r="G1657" s="111"/>
      <c r="H1657" s="112"/>
      <c r="I1657" s="110">
        <v>50</v>
      </c>
      <c r="J1657" s="111">
        <v>1925</v>
      </c>
      <c r="K1657" s="111"/>
      <c r="L1657" s="111"/>
      <c r="M1657" s="112"/>
    </row>
    <row r="1658" spans="1:13" x14ac:dyDescent="0.2">
      <c r="A1658" s="117" t="s">
        <v>43</v>
      </c>
      <c r="B1658" s="117" t="s">
        <v>111</v>
      </c>
      <c r="C1658" s="117" t="s">
        <v>225</v>
      </c>
      <c r="D1658" s="118">
        <v>10947</v>
      </c>
      <c r="E1658" s="119"/>
      <c r="F1658" s="119"/>
      <c r="G1658" s="119"/>
      <c r="H1658" s="120"/>
      <c r="I1658" s="118">
        <v>392</v>
      </c>
      <c r="J1658" s="119"/>
      <c r="K1658" s="119"/>
      <c r="L1658" s="119"/>
      <c r="M1658" s="120"/>
    </row>
    <row r="1659" spans="1:13" x14ac:dyDescent="0.2">
      <c r="A1659" s="124" t="s">
        <v>43</v>
      </c>
      <c r="B1659" s="124" t="s">
        <v>109</v>
      </c>
      <c r="C1659" s="124" t="s">
        <v>222</v>
      </c>
      <c r="D1659" s="125">
        <v>280399.75</v>
      </c>
      <c r="E1659" s="126">
        <v>279076.75</v>
      </c>
      <c r="F1659" s="126">
        <v>277376.25</v>
      </c>
      <c r="G1659" s="126">
        <v>267931.25</v>
      </c>
      <c r="H1659" s="127"/>
      <c r="I1659" s="125">
        <v>88623.5</v>
      </c>
      <c r="J1659" s="126">
        <v>125957.45</v>
      </c>
      <c r="K1659" s="126">
        <v>163037.21</v>
      </c>
      <c r="L1659" s="126">
        <v>188717.26</v>
      </c>
      <c r="M1659" s="127"/>
    </row>
    <row r="1660" spans="1:13" x14ac:dyDescent="0.2">
      <c r="A1660" s="113" t="s">
        <v>43</v>
      </c>
      <c r="B1660" s="113" t="s">
        <v>109</v>
      </c>
      <c r="C1660" s="113" t="s">
        <v>223</v>
      </c>
      <c r="D1660" s="114">
        <v>315272.75</v>
      </c>
      <c r="E1660" s="115">
        <v>314366.75</v>
      </c>
      <c r="F1660" s="115">
        <v>310246.25</v>
      </c>
      <c r="G1660" s="115"/>
      <c r="H1660" s="116"/>
      <c r="I1660" s="114">
        <v>115862.75</v>
      </c>
      <c r="J1660" s="115">
        <v>149504.25</v>
      </c>
      <c r="K1660" s="115">
        <v>173192.25</v>
      </c>
      <c r="L1660" s="115"/>
      <c r="M1660" s="116"/>
    </row>
    <row r="1661" spans="1:13" x14ac:dyDescent="0.2">
      <c r="A1661" t="s">
        <v>43</v>
      </c>
      <c r="B1661" t="s">
        <v>109</v>
      </c>
      <c r="C1661" t="s">
        <v>224</v>
      </c>
      <c r="D1661" s="110">
        <v>188347.05</v>
      </c>
      <c r="E1661" s="111">
        <v>185742.05</v>
      </c>
      <c r="F1661" s="111"/>
      <c r="G1661" s="111"/>
      <c r="H1661" s="112"/>
      <c r="I1661" s="110">
        <v>57005.75</v>
      </c>
      <c r="J1661" s="111">
        <v>89318.75</v>
      </c>
      <c r="K1661" s="111"/>
      <c r="L1661" s="111"/>
      <c r="M1661" s="112"/>
    </row>
    <row r="1662" spans="1:13" x14ac:dyDescent="0.2">
      <c r="A1662" s="117" t="s">
        <v>43</v>
      </c>
      <c r="B1662" s="117" t="s">
        <v>109</v>
      </c>
      <c r="C1662" s="117" t="s">
        <v>225</v>
      </c>
      <c r="D1662" s="118">
        <v>280674</v>
      </c>
      <c r="E1662" s="119"/>
      <c r="F1662" s="119"/>
      <c r="G1662" s="119"/>
      <c r="H1662" s="120"/>
      <c r="I1662" s="118">
        <v>97943.5</v>
      </c>
      <c r="J1662" s="119"/>
      <c r="K1662" s="119"/>
      <c r="L1662" s="119"/>
      <c r="M1662" s="120"/>
    </row>
    <row r="1663" spans="1:13" x14ac:dyDescent="0.2">
      <c r="A1663" t="s">
        <v>43</v>
      </c>
      <c r="B1663" t="s">
        <v>106</v>
      </c>
      <c r="C1663" t="s">
        <v>222</v>
      </c>
      <c r="D1663" s="110">
        <v>200651.6</v>
      </c>
      <c r="E1663" s="111">
        <v>200651.6</v>
      </c>
      <c r="F1663" s="111">
        <v>200651.6</v>
      </c>
      <c r="G1663" s="111">
        <v>200251.6</v>
      </c>
      <c r="H1663" s="112"/>
      <c r="I1663" s="110">
        <v>198344.6</v>
      </c>
      <c r="J1663" s="111">
        <v>198394.6</v>
      </c>
      <c r="K1663" s="111">
        <v>198344.6</v>
      </c>
      <c r="L1663" s="111">
        <v>198344.6</v>
      </c>
      <c r="M1663" s="112"/>
    </row>
    <row r="1664" spans="1:13" x14ac:dyDescent="0.2">
      <c r="A1664" s="113" t="s">
        <v>43</v>
      </c>
      <c r="B1664" s="113" t="s">
        <v>106</v>
      </c>
      <c r="C1664" s="113" t="s">
        <v>223</v>
      </c>
      <c r="D1664" s="114">
        <v>149370</v>
      </c>
      <c r="E1664" s="115">
        <v>149370</v>
      </c>
      <c r="F1664" s="115">
        <v>148960</v>
      </c>
      <c r="G1664" s="115"/>
      <c r="H1664" s="116"/>
      <c r="I1664" s="114">
        <v>146135.4</v>
      </c>
      <c r="J1664" s="115">
        <v>146189</v>
      </c>
      <c r="K1664" s="115">
        <v>146238.97</v>
      </c>
      <c r="L1664" s="115"/>
      <c r="M1664" s="116"/>
    </row>
    <row r="1665" spans="1:13" x14ac:dyDescent="0.2">
      <c r="A1665" t="s">
        <v>43</v>
      </c>
      <c r="B1665" t="s">
        <v>106</v>
      </c>
      <c r="C1665" t="s">
        <v>224</v>
      </c>
      <c r="D1665" s="110">
        <v>114286.69</v>
      </c>
      <c r="E1665" s="111">
        <v>114286.69</v>
      </c>
      <c r="F1665" s="111"/>
      <c r="G1665" s="111"/>
      <c r="H1665" s="112"/>
      <c r="I1665" s="110">
        <v>109764.69</v>
      </c>
      <c r="J1665" s="111">
        <v>109856.69</v>
      </c>
      <c r="K1665" s="111"/>
      <c r="L1665" s="111"/>
      <c r="M1665" s="112"/>
    </row>
    <row r="1666" spans="1:13" x14ac:dyDescent="0.2">
      <c r="A1666" s="117" t="s">
        <v>43</v>
      </c>
      <c r="B1666" s="117" t="s">
        <v>106</v>
      </c>
      <c r="C1666" s="117" t="s">
        <v>225</v>
      </c>
      <c r="D1666" s="118">
        <v>144969.89000000001</v>
      </c>
      <c r="E1666" s="119"/>
      <c r="F1666" s="119"/>
      <c r="G1666" s="119"/>
      <c r="H1666" s="120"/>
      <c r="I1666" s="118">
        <v>142356.5</v>
      </c>
      <c r="J1666" s="119"/>
      <c r="K1666" s="119"/>
      <c r="L1666" s="119"/>
      <c r="M1666" s="120"/>
    </row>
    <row r="1667" spans="1:13" x14ac:dyDescent="0.2">
      <c r="A1667" t="s">
        <v>43</v>
      </c>
      <c r="B1667" t="s">
        <v>107</v>
      </c>
      <c r="C1667" t="s">
        <v>222</v>
      </c>
      <c r="D1667" s="110">
        <v>159563.53</v>
      </c>
      <c r="E1667" s="111">
        <v>159378.53</v>
      </c>
      <c r="F1667" s="111">
        <v>159378.53</v>
      </c>
      <c r="G1667" s="111">
        <v>159378.53</v>
      </c>
      <c r="H1667" s="112"/>
      <c r="I1667" s="110">
        <v>158789.53</v>
      </c>
      <c r="J1667" s="111">
        <v>159024.53</v>
      </c>
      <c r="K1667" s="111">
        <v>159024.53</v>
      </c>
      <c r="L1667" s="111">
        <v>159024.53</v>
      </c>
      <c r="M1667" s="112"/>
    </row>
    <row r="1668" spans="1:13" x14ac:dyDescent="0.2">
      <c r="A1668" s="113" t="s">
        <v>43</v>
      </c>
      <c r="B1668" s="113" t="s">
        <v>107</v>
      </c>
      <c r="C1668" s="113" t="s">
        <v>223</v>
      </c>
      <c r="D1668" s="114">
        <v>150038.71</v>
      </c>
      <c r="E1668" s="115">
        <v>150038.71</v>
      </c>
      <c r="F1668" s="115">
        <v>150038.71</v>
      </c>
      <c r="G1668" s="115"/>
      <c r="H1668" s="116"/>
      <c r="I1668" s="114">
        <v>149283.71</v>
      </c>
      <c r="J1668" s="115">
        <v>149283.71</v>
      </c>
      <c r="K1668" s="115">
        <v>149283.71</v>
      </c>
      <c r="L1668" s="115"/>
      <c r="M1668" s="116"/>
    </row>
    <row r="1669" spans="1:13" x14ac:dyDescent="0.2">
      <c r="A1669" t="s">
        <v>43</v>
      </c>
      <c r="B1669" t="s">
        <v>107</v>
      </c>
      <c r="C1669" t="s">
        <v>224</v>
      </c>
      <c r="D1669" s="110">
        <v>90889.23</v>
      </c>
      <c r="E1669" s="111">
        <v>90889.23</v>
      </c>
      <c r="F1669" s="111"/>
      <c r="G1669" s="111"/>
      <c r="H1669" s="112"/>
      <c r="I1669" s="110">
        <v>90439.23</v>
      </c>
      <c r="J1669" s="111">
        <v>90489.23</v>
      </c>
      <c r="K1669" s="111"/>
      <c r="L1669" s="111"/>
      <c r="M1669" s="112"/>
    </row>
    <row r="1670" spans="1:13" x14ac:dyDescent="0.2">
      <c r="A1670" s="117" t="s">
        <v>43</v>
      </c>
      <c r="B1670" s="117" t="s">
        <v>107</v>
      </c>
      <c r="C1670" s="117" t="s">
        <v>225</v>
      </c>
      <c r="D1670" s="118">
        <v>136317.9</v>
      </c>
      <c r="E1670" s="119"/>
      <c r="F1670" s="119"/>
      <c r="G1670" s="119"/>
      <c r="H1670" s="120"/>
      <c r="I1670" s="118">
        <v>135707.9</v>
      </c>
      <c r="J1670" s="119"/>
      <c r="K1670" s="119"/>
      <c r="L1670" s="119"/>
      <c r="M1670" s="120"/>
    </row>
    <row r="1671" spans="1:13" x14ac:dyDescent="0.2">
      <c r="A1671" t="s">
        <v>43</v>
      </c>
      <c r="B1671" t="s">
        <v>108</v>
      </c>
      <c r="C1671" t="s">
        <v>222</v>
      </c>
      <c r="D1671" s="110">
        <v>52212.5</v>
      </c>
      <c r="E1671" s="111">
        <v>52212.5</v>
      </c>
      <c r="F1671" s="111">
        <v>52212.5</v>
      </c>
      <c r="G1671" s="111">
        <v>52212.5</v>
      </c>
      <c r="H1671" s="112"/>
      <c r="I1671" s="110">
        <v>52210.5</v>
      </c>
      <c r="J1671" s="111">
        <v>52211.5</v>
      </c>
      <c r="K1671" s="111">
        <v>52211.5</v>
      </c>
      <c r="L1671" s="111">
        <v>52211.5</v>
      </c>
      <c r="M1671" s="112"/>
    </row>
    <row r="1672" spans="1:13" x14ac:dyDescent="0.2">
      <c r="A1672" s="113" t="s">
        <v>43</v>
      </c>
      <c r="B1672" s="113" t="s">
        <v>108</v>
      </c>
      <c r="C1672" s="113" t="s">
        <v>223</v>
      </c>
      <c r="D1672" s="114">
        <v>77288</v>
      </c>
      <c r="E1672" s="115">
        <v>77288</v>
      </c>
      <c r="F1672" s="115">
        <v>77288</v>
      </c>
      <c r="G1672" s="115"/>
      <c r="H1672" s="116"/>
      <c r="I1672" s="114">
        <v>77287</v>
      </c>
      <c r="J1672" s="115">
        <v>77287</v>
      </c>
      <c r="K1672" s="115">
        <v>77287</v>
      </c>
      <c r="L1672" s="115"/>
      <c r="M1672" s="116"/>
    </row>
    <row r="1673" spans="1:13" x14ac:dyDescent="0.2">
      <c r="A1673" t="s">
        <v>43</v>
      </c>
      <c r="B1673" t="s">
        <v>108</v>
      </c>
      <c r="C1673" t="s">
        <v>224</v>
      </c>
      <c r="D1673" s="110">
        <v>73597.53</v>
      </c>
      <c r="E1673" s="111">
        <v>73197.53</v>
      </c>
      <c r="F1673" s="111"/>
      <c r="G1673" s="111"/>
      <c r="H1673" s="112"/>
      <c r="I1673" s="110">
        <v>73197.53</v>
      </c>
      <c r="J1673" s="111">
        <v>73197.53</v>
      </c>
      <c r="K1673" s="111"/>
      <c r="L1673" s="111"/>
      <c r="M1673" s="112"/>
    </row>
    <row r="1674" spans="1:13" x14ac:dyDescent="0.2">
      <c r="A1674" s="117" t="s">
        <v>43</v>
      </c>
      <c r="B1674" s="117" t="s">
        <v>108</v>
      </c>
      <c r="C1674" s="117" t="s">
        <v>225</v>
      </c>
      <c r="D1674" s="118">
        <v>87921.09</v>
      </c>
      <c r="E1674" s="119"/>
      <c r="F1674" s="119"/>
      <c r="G1674" s="119"/>
      <c r="H1674" s="120"/>
      <c r="I1674" s="118">
        <v>86774.09</v>
      </c>
      <c r="J1674" s="119"/>
      <c r="K1674" s="119"/>
      <c r="L1674" s="119"/>
      <c r="M1674" s="120"/>
    </row>
    <row r="1675" spans="1:13" x14ac:dyDescent="0.2">
      <c r="A1675" t="s">
        <v>43</v>
      </c>
      <c r="B1675" t="s">
        <v>70</v>
      </c>
      <c r="C1675" t="s">
        <v>222</v>
      </c>
      <c r="D1675" s="110">
        <v>71996</v>
      </c>
      <c r="E1675" s="111">
        <v>71896</v>
      </c>
      <c r="F1675" s="111">
        <v>71896</v>
      </c>
      <c r="G1675" s="111">
        <v>71876</v>
      </c>
      <c r="H1675" s="112"/>
      <c r="I1675" s="110">
        <v>71311</v>
      </c>
      <c r="J1675" s="111">
        <v>71706</v>
      </c>
      <c r="K1675" s="111">
        <v>71706</v>
      </c>
      <c r="L1675" s="111">
        <v>71706</v>
      </c>
      <c r="M1675" s="112"/>
    </row>
    <row r="1676" spans="1:13" x14ac:dyDescent="0.2">
      <c r="A1676" s="113" t="s">
        <v>43</v>
      </c>
      <c r="B1676" s="113" t="s">
        <v>70</v>
      </c>
      <c r="C1676" s="113" t="s">
        <v>223</v>
      </c>
      <c r="D1676" s="114">
        <v>79119.5</v>
      </c>
      <c r="E1676" s="115">
        <v>78814.5</v>
      </c>
      <c r="F1676" s="115">
        <v>78794.5</v>
      </c>
      <c r="G1676" s="115"/>
      <c r="H1676" s="116"/>
      <c r="I1676" s="114">
        <v>78274.5</v>
      </c>
      <c r="J1676" s="115">
        <v>78274.5</v>
      </c>
      <c r="K1676" s="115">
        <v>78274.5</v>
      </c>
      <c r="L1676" s="115"/>
      <c r="M1676" s="116"/>
    </row>
    <row r="1677" spans="1:13" x14ac:dyDescent="0.2">
      <c r="A1677" t="s">
        <v>43</v>
      </c>
      <c r="B1677" t="s">
        <v>70</v>
      </c>
      <c r="C1677" t="s">
        <v>224</v>
      </c>
      <c r="D1677" s="110">
        <v>55680</v>
      </c>
      <c r="E1677" s="111">
        <v>55610</v>
      </c>
      <c r="F1677" s="111"/>
      <c r="G1677" s="111"/>
      <c r="H1677" s="112"/>
      <c r="I1677" s="110">
        <v>55400</v>
      </c>
      <c r="J1677" s="111">
        <v>55400</v>
      </c>
      <c r="K1677" s="111"/>
      <c r="L1677" s="111"/>
      <c r="M1677" s="112"/>
    </row>
    <row r="1678" spans="1:13" x14ac:dyDescent="0.2">
      <c r="A1678" s="117" t="s">
        <v>43</v>
      </c>
      <c r="B1678" s="117" t="s">
        <v>70</v>
      </c>
      <c r="C1678" s="117" t="s">
        <v>225</v>
      </c>
      <c r="D1678" s="118">
        <v>80681</v>
      </c>
      <c r="E1678" s="119"/>
      <c r="F1678" s="119"/>
      <c r="G1678" s="119"/>
      <c r="H1678" s="120"/>
      <c r="I1678" s="118">
        <v>79683</v>
      </c>
      <c r="J1678" s="119"/>
      <c r="K1678" s="119"/>
      <c r="L1678" s="119"/>
      <c r="M1678" s="120"/>
    </row>
    <row r="1679" spans="1:13" x14ac:dyDescent="0.2">
      <c r="A1679" t="s">
        <v>43</v>
      </c>
      <c r="B1679" t="s">
        <v>110</v>
      </c>
      <c r="C1679" t="s">
        <v>222</v>
      </c>
      <c r="D1679" s="110">
        <v>897761.7</v>
      </c>
      <c r="E1679" s="111">
        <v>881908.05</v>
      </c>
      <c r="F1679" s="111">
        <v>881644.05</v>
      </c>
      <c r="G1679" s="111">
        <v>881300.05</v>
      </c>
      <c r="H1679" s="112"/>
      <c r="I1679" s="110">
        <v>413868.27</v>
      </c>
      <c r="J1679" s="111">
        <v>685176.78</v>
      </c>
      <c r="K1679" s="111">
        <v>753361.07</v>
      </c>
      <c r="L1679" s="111">
        <v>806900.85</v>
      </c>
      <c r="M1679" s="112"/>
    </row>
    <row r="1680" spans="1:13" x14ac:dyDescent="0.2">
      <c r="A1680" s="113" t="s">
        <v>43</v>
      </c>
      <c r="B1680" s="113" t="s">
        <v>110</v>
      </c>
      <c r="C1680" s="113" t="s">
        <v>223</v>
      </c>
      <c r="D1680" s="114">
        <v>773698.7</v>
      </c>
      <c r="E1680" s="115">
        <v>767273.7</v>
      </c>
      <c r="F1680" s="115">
        <v>766335.45</v>
      </c>
      <c r="G1680" s="115"/>
      <c r="H1680" s="116"/>
      <c r="I1680" s="114">
        <v>381913.66</v>
      </c>
      <c r="J1680" s="115">
        <v>520161.21</v>
      </c>
      <c r="K1680" s="115">
        <v>641309.64</v>
      </c>
      <c r="L1680" s="115"/>
      <c r="M1680" s="116"/>
    </row>
    <row r="1681" spans="1:13" x14ac:dyDescent="0.2">
      <c r="A1681" t="s">
        <v>43</v>
      </c>
      <c r="B1681" t="s">
        <v>110</v>
      </c>
      <c r="C1681" t="s">
        <v>224</v>
      </c>
      <c r="D1681" s="110">
        <v>438650.85</v>
      </c>
      <c r="E1681" s="111">
        <v>433783.9</v>
      </c>
      <c r="F1681" s="111"/>
      <c r="G1681" s="111"/>
      <c r="H1681" s="112"/>
      <c r="I1681" s="110">
        <v>151810.07</v>
      </c>
      <c r="J1681" s="111">
        <v>273491.40999999997</v>
      </c>
      <c r="K1681" s="111"/>
      <c r="L1681" s="111"/>
      <c r="M1681" s="112"/>
    </row>
    <row r="1682" spans="1:13" ht="13.5" thickBot="1" x14ac:dyDescent="0.25">
      <c r="A1682" s="128" t="s">
        <v>43</v>
      </c>
      <c r="B1682" s="128" t="s">
        <v>110</v>
      </c>
      <c r="C1682" s="128" t="s">
        <v>225</v>
      </c>
      <c r="D1682" s="129">
        <v>610842.44999999995</v>
      </c>
      <c r="E1682" s="130"/>
      <c r="F1682" s="130"/>
      <c r="G1682" s="130"/>
      <c r="H1682" s="131"/>
      <c r="I1682" s="129">
        <v>238133.15</v>
      </c>
      <c r="J1682" s="130"/>
      <c r="K1682" s="130"/>
      <c r="L1682" s="130"/>
      <c r="M1682" s="131"/>
    </row>
    <row r="1683" spans="1:13" x14ac:dyDescent="0.2">
      <c r="A1683" s="132" t="s">
        <v>76</v>
      </c>
      <c r="B1683" s="132" t="s">
        <v>104</v>
      </c>
      <c r="C1683" s="132" t="s">
        <v>222</v>
      </c>
      <c r="D1683" s="133">
        <v>1839028</v>
      </c>
      <c r="E1683" s="134">
        <v>1839028</v>
      </c>
      <c r="F1683" s="134">
        <v>1839028</v>
      </c>
      <c r="G1683" s="134">
        <v>1839028</v>
      </c>
      <c r="H1683" s="135"/>
      <c r="I1683" s="133">
        <v>73231</v>
      </c>
      <c r="J1683" s="134">
        <v>105287</v>
      </c>
      <c r="K1683" s="134">
        <v>126227</v>
      </c>
      <c r="L1683" s="134">
        <v>153315</v>
      </c>
      <c r="M1683" s="135"/>
    </row>
    <row r="1684" spans="1:13" x14ac:dyDescent="0.2">
      <c r="A1684" s="113" t="s">
        <v>76</v>
      </c>
      <c r="B1684" s="113" t="s">
        <v>104</v>
      </c>
      <c r="C1684" s="113" t="s">
        <v>223</v>
      </c>
      <c r="D1684" s="114">
        <v>1809499</v>
      </c>
      <c r="E1684" s="115">
        <v>1809499</v>
      </c>
      <c r="F1684" s="115">
        <v>1809499</v>
      </c>
      <c r="G1684" s="115"/>
      <c r="H1684" s="116"/>
      <c r="I1684" s="114">
        <v>59773</v>
      </c>
      <c r="J1684" s="115">
        <v>79572</v>
      </c>
      <c r="K1684" s="115">
        <v>100954</v>
      </c>
      <c r="L1684" s="115"/>
      <c r="M1684" s="116"/>
    </row>
    <row r="1685" spans="1:13" x14ac:dyDescent="0.2">
      <c r="A1685" t="s">
        <v>76</v>
      </c>
      <c r="B1685" t="s">
        <v>104</v>
      </c>
      <c r="C1685" t="s">
        <v>224</v>
      </c>
      <c r="D1685" s="110">
        <v>660990</v>
      </c>
      <c r="E1685" s="111">
        <v>660990</v>
      </c>
      <c r="F1685" s="111"/>
      <c r="G1685" s="111"/>
      <c r="H1685" s="112"/>
      <c r="I1685" s="110">
        <v>4971</v>
      </c>
      <c r="J1685" s="111">
        <v>9435</v>
      </c>
      <c r="K1685" s="111"/>
      <c r="L1685" s="111"/>
      <c r="M1685" s="112"/>
    </row>
    <row r="1686" spans="1:13" x14ac:dyDescent="0.2">
      <c r="A1686" s="117" t="s">
        <v>76</v>
      </c>
      <c r="B1686" s="117" t="s">
        <v>104</v>
      </c>
      <c r="C1686" s="117" t="s">
        <v>225</v>
      </c>
      <c r="D1686" s="118">
        <v>666751</v>
      </c>
      <c r="E1686" s="119"/>
      <c r="F1686" s="119"/>
      <c r="G1686" s="119"/>
      <c r="H1686" s="120"/>
      <c r="I1686" s="118">
        <v>32721</v>
      </c>
      <c r="J1686" s="119"/>
      <c r="K1686" s="119"/>
      <c r="L1686" s="119"/>
      <c r="M1686" s="120"/>
    </row>
    <row r="1687" spans="1:13" x14ac:dyDescent="0.2">
      <c r="A1687" t="s">
        <v>76</v>
      </c>
      <c r="B1687" t="s">
        <v>140</v>
      </c>
      <c r="C1687" t="s">
        <v>222</v>
      </c>
      <c r="D1687" s="110">
        <v>210681</v>
      </c>
      <c r="E1687" s="111">
        <v>210681</v>
      </c>
      <c r="F1687" s="111">
        <v>210681</v>
      </c>
      <c r="G1687" s="111">
        <v>210681</v>
      </c>
      <c r="H1687" s="112"/>
      <c r="I1687" s="110">
        <v>2116</v>
      </c>
      <c r="J1687" s="111">
        <v>2336</v>
      </c>
      <c r="K1687" s="111">
        <v>2351</v>
      </c>
      <c r="L1687" s="111">
        <v>2376</v>
      </c>
      <c r="M1687" s="112"/>
    </row>
    <row r="1688" spans="1:13" x14ac:dyDescent="0.2">
      <c r="A1688" s="113" t="s">
        <v>76</v>
      </c>
      <c r="B1688" s="113" t="s">
        <v>140</v>
      </c>
      <c r="C1688" s="113" t="s">
        <v>223</v>
      </c>
      <c r="D1688" s="114">
        <v>430261</v>
      </c>
      <c r="E1688" s="115">
        <v>430261</v>
      </c>
      <c r="F1688" s="115">
        <v>430261</v>
      </c>
      <c r="G1688" s="115"/>
      <c r="H1688" s="116"/>
      <c r="I1688" s="114">
        <v>3799</v>
      </c>
      <c r="J1688" s="115">
        <v>4552</v>
      </c>
      <c r="K1688" s="115">
        <v>4552</v>
      </c>
      <c r="L1688" s="115"/>
      <c r="M1688" s="116"/>
    </row>
    <row r="1689" spans="1:13" x14ac:dyDescent="0.2">
      <c r="A1689" t="s">
        <v>76</v>
      </c>
      <c r="B1689" t="s">
        <v>140</v>
      </c>
      <c r="C1689" t="s">
        <v>224</v>
      </c>
      <c r="D1689" s="110">
        <v>266163</v>
      </c>
      <c r="E1689" s="111">
        <v>266163</v>
      </c>
      <c r="F1689" s="111"/>
      <c r="G1689" s="111"/>
      <c r="H1689" s="112"/>
      <c r="I1689" s="110">
        <v>0</v>
      </c>
      <c r="J1689" s="111">
        <v>0</v>
      </c>
      <c r="K1689" s="111"/>
      <c r="L1689" s="111"/>
      <c r="M1689" s="112"/>
    </row>
    <row r="1690" spans="1:13" x14ac:dyDescent="0.2">
      <c r="A1690" s="117" t="s">
        <v>76</v>
      </c>
      <c r="B1690" s="117" t="s">
        <v>140</v>
      </c>
      <c r="C1690" s="117" t="s">
        <v>225</v>
      </c>
      <c r="D1690" s="118">
        <v>-247081</v>
      </c>
      <c r="E1690" s="119"/>
      <c r="F1690" s="119"/>
      <c r="G1690" s="119"/>
      <c r="H1690" s="120"/>
      <c r="I1690" s="118">
        <v>0</v>
      </c>
      <c r="J1690" s="119"/>
      <c r="K1690" s="119"/>
      <c r="L1690" s="119"/>
      <c r="M1690" s="120"/>
    </row>
    <row r="1691" spans="1:13" x14ac:dyDescent="0.2">
      <c r="A1691" t="s">
        <v>76</v>
      </c>
      <c r="B1691" t="s">
        <v>105</v>
      </c>
      <c r="C1691" t="s">
        <v>222</v>
      </c>
      <c r="D1691" s="110">
        <v>666073</v>
      </c>
      <c r="E1691" s="111">
        <v>666073</v>
      </c>
      <c r="F1691" s="111">
        <v>666073</v>
      </c>
      <c r="G1691" s="111">
        <v>666073</v>
      </c>
      <c r="H1691" s="112"/>
      <c r="I1691" s="110">
        <v>107000</v>
      </c>
      <c r="J1691" s="111">
        <v>119956</v>
      </c>
      <c r="K1691" s="111">
        <v>126339</v>
      </c>
      <c r="L1691" s="111">
        <v>133745</v>
      </c>
      <c r="M1691" s="112"/>
    </row>
    <row r="1692" spans="1:13" x14ac:dyDescent="0.2">
      <c r="A1692" s="113" t="s">
        <v>76</v>
      </c>
      <c r="B1692" s="113" t="s">
        <v>105</v>
      </c>
      <c r="C1692" s="113" t="s">
        <v>223</v>
      </c>
      <c r="D1692" s="114">
        <v>586343</v>
      </c>
      <c r="E1692" s="115">
        <v>586343</v>
      </c>
      <c r="F1692" s="115">
        <v>586343</v>
      </c>
      <c r="G1692" s="115"/>
      <c r="H1692" s="116"/>
      <c r="I1692" s="114">
        <v>82893</v>
      </c>
      <c r="J1692" s="115">
        <v>92756</v>
      </c>
      <c r="K1692" s="115">
        <v>100894</v>
      </c>
      <c r="L1692" s="115"/>
      <c r="M1692" s="116"/>
    </row>
    <row r="1693" spans="1:13" x14ac:dyDescent="0.2">
      <c r="A1693" t="s">
        <v>76</v>
      </c>
      <c r="B1693" t="s">
        <v>105</v>
      </c>
      <c r="C1693" t="s">
        <v>224</v>
      </c>
      <c r="D1693" s="110">
        <v>145382</v>
      </c>
      <c r="E1693" s="111">
        <v>145382</v>
      </c>
      <c r="F1693" s="111"/>
      <c r="G1693" s="111"/>
      <c r="H1693" s="112"/>
      <c r="I1693" s="110">
        <v>39979</v>
      </c>
      <c r="J1693" s="111">
        <v>42515</v>
      </c>
      <c r="K1693" s="111"/>
      <c r="L1693" s="111"/>
      <c r="M1693" s="112"/>
    </row>
    <row r="1694" spans="1:13" x14ac:dyDescent="0.2">
      <c r="A1694" s="117" t="s">
        <v>76</v>
      </c>
      <c r="B1694" s="117" t="s">
        <v>105</v>
      </c>
      <c r="C1694" s="117" t="s">
        <v>225</v>
      </c>
      <c r="D1694" s="118">
        <v>232054</v>
      </c>
      <c r="E1694" s="119"/>
      <c r="F1694" s="119"/>
      <c r="G1694" s="119"/>
      <c r="H1694" s="120"/>
      <c r="I1694" s="118">
        <v>71244</v>
      </c>
      <c r="J1694" s="119"/>
      <c r="K1694" s="119"/>
      <c r="L1694" s="119"/>
      <c r="M1694" s="120"/>
    </row>
    <row r="1695" spans="1:13" x14ac:dyDescent="0.2">
      <c r="A1695" t="s">
        <v>76</v>
      </c>
      <c r="B1695" t="s">
        <v>111</v>
      </c>
      <c r="C1695" t="s">
        <v>222</v>
      </c>
      <c r="D1695" s="110">
        <v>60836</v>
      </c>
      <c r="E1695" s="111">
        <v>60836</v>
      </c>
      <c r="F1695" s="111">
        <v>60836</v>
      </c>
      <c r="G1695" s="111">
        <v>60836</v>
      </c>
      <c r="H1695" s="112"/>
      <c r="I1695" s="110">
        <v>8225</v>
      </c>
      <c r="J1695" s="111">
        <v>11195</v>
      </c>
      <c r="K1695" s="111">
        <v>11695</v>
      </c>
      <c r="L1695" s="111">
        <v>12175</v>
      </c>
      <c r="M1695" s="112"/>
    </row>
    <row r="1696" spans="1:13" x14ac:dyDescent="0.2">
      <c r="A1696" s="113" t="s">
        <v>76</v>
      </c>
      <c r="B1696" s="113" t="s">
        <v>111</v>
      </c>
      <c r="C1696" s="113" t="s">
        <v>223</v>
      </c>
      <c r="D1696" s="114">
        <v>43765</v>
      </c>
      <c r="E1696" s="115">
        <v>43765</v>
      </c>
      <c r="F1696" s="115">
        <v>43765</v>
      </c>
      <c r="G1696" s="115"/>
      <c r="H1696" s="116"/>
      <c r="I1696" s="114">
        <v>5765</v>
      </c>
      <c r="J1696" s="115">
        <v>6415</v>
      </c>
      <c r="K1696" s="115">
        <v>6265</v>
      </c>
      <c r="L1696" s="115"/>
      <c r="M1696" s="116"/>
    </row>
    <row r="1697" spans="1:13" x14ac:dyDescent="0.2">
      <c r="A1697" t="s">
        <v>76</v>
      </c>
      <c r="B1697" t="s">
        <v>111</v>
      </c>
      <c r="C1697" t="s">
        <v>224</v>
      </c>
      <c r="D1697" s="110">
        <v>39665</v>
      </c>
      <c r="E1697" s="111">
        <v>39665</v>
      </c>
      <c r="F1697" s="111"/>
      <c r="G1697" s="111"/>
      <c r="H1697" s="112"/>
      <c r="I1697" s="110">
        <v>2920</v>
      </c>
      <c r="J1697" s="111">
        <v>4660</v>
      </c>
      <c r="K1697" s="111"/>
      <c r="L1697" s="111"/>
      <c r="M1697" s="112"/>
    </row>
    <row r="1698" spans="1:13" x14ac:dyDescent="0.2">
      <c r="A1698" s="117" t="s">
        <v>76</v>
      </c>
      <c r="B1698" s="117" t="s">
        <v>111</v>
      </c>
      <c r="C1698" s="117" t="s">
        <v>225</v>
      </c>
      <c r="D1698" s="118">
        <v>32250</v>
      </c>
      <c r="E1698" s="119"/>
      <c r="F1698" s="119"/>
      <c r="G1698" s="119"/>
      <c r="H1698" s="120"/>
      <c r="I1698" s="118">
        <v>5040</v>
      </c>
      <c r="J1698" s="119"/>
      <c r="K1698" s="119"/>
      <c r="L1698" s="119"/>
      <c r="M1698" s="120"/>
    </row>
    <row r="1699" spans="1:13" x14ac:dyDescent="0.2">
      <c r="A1699" s="124" t="s">
        <v>76</v>
      </c>
      <c r="B1699" s="124" t="s">
        <v>109</v>
      </c>
      <c r="C1699" s="124" t="s">
        <v>222</v>
      </c>
      <c r="D1699" s="125">
        <v>992535.49</v>
      </c>
      <c r="E1699" s="126">
        <v>992535.49</v>
      </c>
      <c r="F1699" s="126">
        <v>992535.49</v>
      </c>
      <c r="G1699" s="126">
        <v>992535.49</v>
      </c>
      <c r="H1699" s="127"/>
      <c r="I1699" s="125">
        <v>104562.63</v>
      </c>
      <c r="J1699" s="126">
        <v>185426.78</v>
      </c>
      <c r="K1699" s="126">
        <v>249092.37</v>
      </c>
      <c r="L1699" s="126">
        <v>295650.63</v>
      </c>
      <c r="M1699" s="127"/>
    </row>
    <row r="1700" spans="1:13" x14ac:dyDescent="0.2">
      <c r="A1700" s="113" t="s">
        <v>76</v>
      </c>
      <c r="B1700" s="113" t="s">
        <v>109</v>
      </c>
      <c r="C1700" s="113" t="s">
        <v>223</v>
      </c>
      <c r="D1700" s="114">
        <v>1057621.25</v>
      </c>
      <c r="E1700" s="115">
        <v>1057621.25</v>
      </c>
      <c r="F1700" s="115">
        <v>1057621.25</v>
      </c>
      <c r="G1700" s="115"/>
      <c r="H1700" s="116"/>
      <c r="I1700" s="114">
        <v>133967.34</v>
      </c>
      <c r="J1700" s="115">
        <v>179636.07</v>
      </c>
      <c r="K1700" s="115">
        <v>249940.64</v>
      </c>
      <c r="L1700" s="115"/>
      <c r="M1700" s="116"/>
    </row>
    <row r="1701" spans="1:13" x14ac:dyDescent="0.2">
      <c r="A1701" t="s">
        <v>76</v>
      </c>
      <c r="B1701" t="s">
        <v>109</v>
      </c>
      <c r="C1701" t="s">
        <v>224</v>
      </c>
      <c r="D1701" s="110">
        <v>36356.15</v>
      </c>
      <c r="E1701" s="111">
        <v>36356.15</v>
      </c>
      <c r="F1701" s="111"/>
      <c r="G1701" s="111"/>
      <c r="H1701" s="112"/>
      <c r="I1701" s="110">
        <v>3720</v>
      </c>
      <c r="J1701" s="111">
        <v>6379.5</v>
      </c>
      <c r="K1701" s="111"/>
      <c r="L1701" s="111"/>
      <c r="M1701" s="112"/>
    </row>
    <row r="1702" spans="1:13" x14ac:dyDescent="0.2">
      <c r="A1702" s="117" t="s">
        <v>76</v>
      </c>
      <c r="B1702" s="117" t="s">
        <v>109</v>
      </c>
      <c r="C1702" s="117" t="s">
        <v>225</v>
      </c>
      <c r="D1702" s="118">
        <v>213961.78</v>
      </c>
      <c r="E1702" s="119"/>
      <c r="F1702" s="119"/>
      <c r="G1702" s="119"/>
      <c r="H1702" s="120"/>
      <c r="I1702" s="118">
        <v>35257.4</v>
      </c>
      <c r="J1702" s="119"/>
      <c r="K1702" s="119"/>
      <c r="L1702" s="119"/>
      <c r="M1702" s="120"/>
    </row>
    <row r="1703" spans="1:13" x14ac:dyDescent="0.2">
      <c r="A1703" t="s">
        <v>76</v>
      </c>
      <c r="B1703" t="s">
        <v>106</v>
      </c>
      <c r="C1703" t="s">
        <v>222</v>
      </c>
      <c r="D1703" s="110">
        <v>4440946</v>
      </c>
      <c r="E1703" s="111">
        <v>4440946</v>
      </c>
      <c r="F1703" s="111">
        <v>4440946</v>
      </c>
      <c r="G1703" s="111">
        <v>4440946</v>
      </c>
      <c r="H1703" s="112"/>
      <c r="I1703" s="110">
        <v>4440946</v>
      </c>
      <c r="J1703" s="111">
        <v>4440946</v>
      </c>
      <c r="K1703" s="111">
        <v>4440946</v>
      </c>
      <c r="L1703" s="111">
        <v>4440946</v>
      </c>
      <c r="M1703" s="112"/>
    </row>
    <row r="1704" spans="1:13" x14ac:dyDescent="0.2">
      <c r="A1704" s="113" t="s">
        <v>76</v>
      </c>
      <c r="B1704" s="113" t="s">
        <v>106</v>
      </c>
      <c r="C1704" s="113" t="s">
        <v>223</v>
      </c>
      <c r="D1704" s="114">
        <v>4002609</v>
      </c>
      <c r="E1704" s="115">
        <v>4002609</v>
      </c>
      <c r="F1704" s="115">
        <v>4002609</v>
      </c>
      <c r="G1704" s="115"/>
      <c r="H1704" s="116"/>
      <c r="I1704" s="114">
        <v>4002609</v>
      </c>
      <c r="J1704" s="115">
        <v>4002609</v>
      </c>
      <c r="K1704" s="115">
        <v>4002609</v>
      </c>
      <c r="L1704" s="115"/>
      <c r="M1704" s="116"/>
    </row>
    <row r="1705" spans="1:13" x14ac:dyDescent="0.2">
      <c r="A1705" t="s">
        <v>76</v>
      </c>
      <c r="B1705" t="s">
        <v>106</v>
      </c>
      <c r="C1705" t="s">
        <v>224</v>
      </c>
      <c r="D1705" s="110">
        <v>2685868</v>
      </c>
      <c r="E1705" s="111">
        <v>2685868</v>
      </c>
      <c r="F1705" s="111"/>
      <c r="G1705" s="111"/>
      <c r="H1705" s="112"/>
      <c r="I1705" s="110">
        <v>2685868</v>
      </c>
      <c r="J1705" s="111">
        <v>2685868</v>
      </c>
      <c r="K1705" s="111"/>
      <c r="L1705" s="111"/>
      <c r="M1705" s="112"/>
    </row>
    <row r="1706" spans="1:13" x14ac:dyDescent="0.2">
      <c r="A1706" s="117" t="s">
        <v>76</v>
      </c>
      <c r="B1706" s="117" t="s">
        <v>106</v>
      </c>
      <c r="C1706" s="117" t="s">
        <v>225</v>
      </c>
      <c r="D1706" s="118">
        <v>3245321</v>
      </c>
      <c r="E1706" s="119"/>
      <c r="F1706" s="119"/>
      <c r="G1706" s="119"/>
      <c r="H1706" s="120"/>
      <c r="I1706" s="118">
        <v>3245321</v>
      </c>
      <c r="J1706" s="119"/>
      <c r="K1706" s="119"/>
      <c r="L1706" s="119"/>
      <c r="M1706" s="120"/>
    </row>
    <row r="1707" spans="1:13" x14ac:dyDescent="0.2">
      <c r="A1707" t="s">
        <v>76</v>
      </c>
      <c r="B1707" t="s">
        <v>107</v>
      </c>
      <c r="C1707" t="s">
        <v>222</v>
      </c>
      <c r="D1707" s="110">
        <v>5846315</v>
      </c>
      <c r="E1707" s="111">
        <v>5846315</v>
      </c>
      <c r="F1707" s="111">
        <v>5846315</v>
      </c>
      <c r="G1707" s="111">
        <v>5846315</v>
      </c>
      <c r="H1707" s="112"/>
      <c r="I1707" s="110">
        <v>5846315</v>
      </c>
      <c r="J1707" s="111">
        <v>5846315</v>
      </c>
      <c r="K1707" s="111">
        <v>5846315</v>
      </c>
      <c r="L1707" s="111">
        <v>5846315</v>
      </c>
      <c r="M1707" s="112"/>
    </row>
    <row r="1708" spans="1:13" x14ac:dyDescent="0.2">
      <c r="A1708" s="113" t="s">
        <v>76</v>
      </c>
      <c r="B1708" s="113" t="s">
        <v>107</v>
      </c>
      <c r="C1708" s="113" t="s">
        <v>223</v>
      </c>
      <c r="D1708" s="114">
        <v>6674749</v>
      </c>
      <c r="E1708" s="115">
        <v>6674749</v>
      </c>
      <c r="F1708" s="115">
        <v>6674749</v>
      </c>
      <c r="G1708" s="115"/>
      <c r="H1708" s="116"/>
      <c r="I1708" s="114">
        <v>6674749</v>
      </c>
      <c r="J1708" s="115">
        <v>6674749</v>
      </c>
      <c r="K1708" s="115">
        <v>6674749</v>
      </c>
      <c r="L1708" s="115"/>
      <c r="M1708" s="116"/>
    </row>
    <row r="1709" spans="1:13" x14ac:dyDescent="0.2">
      <c r="A1709" t="s">
        <v>76</v>
      </c>
      <c r="B1709" t="s">
        <v>107</v>
      </c>
      <c r="C1709" t="s">
        <v>224</v>
      </c>
      <c r="D1709" s="110">
        <v>4303642</v>
      </c>
      <c r="E1709" s="111">
        <v>4303642</v>
      </c>
      <c r="F1709" s="111"/>
      <c r="G1709" s="111"/>
      <c r="H1709" s="112"/>
      <c r="I1709" s="110">
        <v>4303642</v>
      </c>
      <c r="J1709" s="111">
        <v>4303642</v>
      </c>
      <c r="K1709" s="111"/>
      <c r="L1709" s="111"/>
      <c r="M1709" s="112"/>
    </row>
    <row r="1710" spans="1:13" x14ac:dyDescent="0.2">
      <c r="A1710" s="117" t="s">
        <v>76</v>
      </c>
      <c r="B1710" s="117" t="s">
        <v>107</v>
      </c>
      <c r="C1710" s="117" t="s">
        <v>225</v>
      </c>
      <c r="D1710" s="118">
        <v>5456415</v>
      </c>
      <c r="E1710" s="119"/>
      <c r="F1710" s="119"/>
      <c r="G1710" s="119"/>
      <c r="H1710" s="120"/>
      <c r="I1710" s="118">
        <v>5456415</v>
      </c>
      <c r="J1710" s="119"/>
      <c r="K1710" s="119"/>
      <c r="L1710" s="119"/>
      <c r="M1710" s="120"/>
    </row>
    <row r="1711" spans="1:13" x14ac:dyDescent="0.2">
      <c r="A1711" t="s">
        <v>76</v>
      </c>
      <c r="B1711" t="s">
        <v>108</v>
      </c>
      <c r="C1711" t="s">
        <v>222</v>
      </c>
      <c r="D1711" s="110">
        <v>472310</v>
      </c>
      <c r="E1711" s="111">
        <v>472310</v>
      </c>
      <c r="F1711" s="111">
        <v>472310</v>
      </c>
      <c r="G1711" s="111">
        <v>472310</v>
      </c>
      <c r="H1711" s="112"/>
      <c r="I1711" s="110">
        <v>472310</v>
      </c>
      <c r="J1711" s="111">
        <v>472310</v>
      </c>
      <c r="K1711" s="111">
        <v>472310</v>
      </c>
      <c r="L1711" s="111">
        <v>472310</v>
      </c>
      <c r="M1711" s="112"/>
    </row>
    <row r="1712" spans="1:13" x14ac:dyDescent="0.2">
      <c r="A1712" s="113" t="s">
        <v>76</v>
      </c>
      <c r="B1712" s="113" t="s">
        <v>108</v>
      </c>
      <c r="C1712" s="113" t="s">
        <v>223</v>
      </c>
      <c r="D1712" s="114">
        <v>474699</v>
      </c>
      <c r="E1712" s="115">
        <v>474699</v>
      </c>
      <c r="F1712" s="115">
        <v>474699</v>
      </c>
      <c r="G1712" s="115"/>
      <c r="H1712" s="116"/>
      <c r="I1712" s="114">
        <v>474699</v>
      </c>
      <c r="J1712" s="115">
        <v>474699</v>
      </c>
      <c r="K1712" s="115">
        <v>474699</v>
      </c>
      <c r="L1712" s="115"/>
      <c r="M1712" s="116"/>
    </row>
    <row r="1713" spans="1:13" x14ac:dyDescent="0.2">
      <c r="A1713" t="s">
        <v>76</v>
      </c>
      <c r="B1713" t="s">
        <v>108</v>
      </c>
      <c r="C1713" t="s">
        <v>224</v>
      </c>
      <c r="D1713" s="110">
        <v>419414</v>
      </c>
      <c r="E1713" s="111">
        <v>419414</v>
      </c>
      <c r="F1713" s="111"/>
      <c r="G1713" s="111"/>
      <c r="H1713" s="112"/>
      <c r="I1713" s="110">
        <v>419414</v>
      </c>
      <c r="J1713" s="111">
        <v>419414</v>
      </c>
      <c r="K1713" s="111"/>
      <c r="L1713" s="111"/>
      <c r="M1713" s="112"/>
    </row>
    <row r="1714" spans="1:13" x14ac:dyDescent="0.2">
      <c r="A1714" s="117" t="s">
        <v>76</v>
      </c>
      <c r="B1714" s="117" t="s">
        <v>108</v>
      </c>
      <c r="C1714" s="117" t="s">
        <v>225</v>
      </c>
      <c r="D1714" s="118">
        <v>561012</v>
      </c>
      <c r="E1714" s="119"/>
      <c r="F1714" s="119"/>
      <c r="G1714" s="119"/>
      <c r="H1714" s="120"/>
      <c r="I1714" s="118">
        <v>561012</v>
      </c>
      <c r="J1714" s="119"/>
      <c r="K1714" s="119"/>
      <c r="L1714" s="119"/>
      <c r="M1714" s="120"/>
    </row>
    <row r="1715" spans="1:13" x14ac:dyDescent="0.2">
      <c r="A1715" t="s">
        <v>76</v>
      </c>
      <c r="B1715" t="s">
        <v>70</v>
      </c>
      <c r="C1715" t="s">
        <v>222</v>
      </c>
      <c r="D1715" s="110">
        <v>1269988</v>
      </c>
      <c r="E1715" s="111">
        <v>1269988</v>
      </c>
      <c r="F1715" s="111">
        <v>1269988</v>
      </c>
      <c r="G1715" s="111">
        <v>1269988</v>
      </c>
      <c r="H1715" s="112"/>
      <c r="I1715" s="110">
        <v>1269988</v>
      </c>
      <c r="J1715" s="111">
        <v>1269988</v>
      </c>
      <c r="K1715" s="111">
        <v>1269988</v>
      </c>
      <c r="L1715" s="111">
        <v>1269988</v>
      </c>
      <c r="M1715" s="112"/>
    </row>
    <row r="1716" spans="1:13" x14ac:dyDescent="0.2">
      <c r="A1716" s="113" t="s">
        <v>76</v>
      </c>
      <c r="B1716" s="113" t="s">
        <v>70</v>
      </c>
      <c r="C1716" s="113" t="s">
        <v>223</v>
      </c>
      <c r="D1716" s="114">
        <v>1163292</v>
      </c>
      <c r="E1716" s="115">
        <v>1163292</v>
      </c>
      <c r="F1716" s="115">
        <v>1163292</v>
      </c>
      <c r="G1716" s="115"/>
      <c r="H1716" s="116"/>
      <c r="I1716" s="114">
        <v>1163292</v>
      </c>
      <c r="J1716" s="115">
        <v>1163292</v>
      </c>
      <c r="K1716" s="115">
        <v>1163292</v>
      </c>
      <c r="L1716" s="115"/>
      <c r="M1716" s="116"/>
    </row>
    <row r="1717" spans="1:13" x14ac:dyDescent="0.2">
      <c r="A1717" t="s">
        <v>76</v>
      </c>
      <c r="B1717" t="s">
        <v>70</v>
      </c>
      <c r="C1717" t="s">
        <v>224</v>
      </c>
      <c r="D1717" s="110">
        <v>700610</v>
      </c>
      <c r="E1717" s="111">
        <v>700610</v>
      </c>
      <c r="F1717" s="111"/>
      <c r="G1717" s="111"/>
      <c r="H1717" s="112"/>
      <c r="I1717" s="110">
        <v>700610</v>
      </c>
      <c r="J1717" s="111">
        <v>700610</v>
      </c>
      <c r="K1717" s="111"/>
      <c r="L1717" s="111"/>
      <c r="M1717" s="112"/>
    </row>
    <row r="1718" spans="1:13" x14ac:dyDescent="0.2">
      <c r="A1718" s="117" t="s">
        <v>76</v>
      </c>
      <c r="B1718" s="117" t="s">
        <v>70</v>
      </c>
      <c r="C1718" s="117" t="s">
        <v>225</v>
      </c>
      <c r="D1718" s="118">
        <v>1223170</v>
      </c>
      <c r="E1718" s="119"/>
      <c r="F1718" s="119"/>
      <c r="G1718" s="119"/>
      <c r="H1718" s="120"/>
      <c r="I1718" s="118">
        <v>1223170</v>
      </c>
      <c r="J1718" s="119"/>
      <c r="K1718" s="119"/>
      <c r="L1718" s="119"/>
      <c r="M1718" s="120"/>
    </row>
    <row r="1719" spans="1:13" x14ac:dyDescent="0.2">
      <c r="A1719" t="s">
        <v>76</v>
      </c>
      <c r="B1719" t="s">
        <v>110</v>
      </c>
      <c r="C1719" t="s">
        <v>222</v>
      </c>
      <c r="D1719" s="110">
        <v>14239726.380000001</v>
      </c>
      <c r="E1719" s="111">
        <v>14239726.380000001</v>
      </c>
      <c r="F1719" s="111">
        <v>14239726.380000001</v>
      </c>
      <c r="G1719" s="111">
        <v>14239726.380000001</v>
      </c>
      <c r="H1719" s="112"/>
      <c r="I1719" s="110">
        <v>4516909.46</v>
      </c>
      <c r="J1719" s="111">
        <v>7705407.2599999998</v>
      </c>
      <c r="K1719" s="111">
        <v>9541215.25</v>
      </c>
      <c r="L1719" s="111">
        <v>10178123.57</v>
      </c>
      <c r="M1719" s="112"/>
    </row>
    <row r="1720" spans="1:13" x14ac:dyDescent="0.2">
      <c r="A1720" s="113" t="s">
        <v>76</v>
      </c>
      <c r="B1720" s="113" t="s">
        <v>110</v>
      </c>
      <c r="C1720" s="113" t="s">
        <v>223</v>
      </c>
      <c r="D1720" s="114">
        <v>12393339.23</v>
      </c>
      <c r="E1720" s="115">
        <v>12393339.23</v>
      </c>
      <c r="F1720" s="115">
        <v>12393339.23</v>
      </c>
      <c r="G1720" s="115"/>
      <c r="H1720" s="116"/>
      <c r="I1720" s="114">
        <v>4058879.72</v>
      </c>
      <c r="J1720" s="115">
        <v>5886293.0099999998</v>
      </c>
      <c r="K1720" s="115">
        <v>7246712.7199999997</v>
      </c>
      <c r="L1720" s="115"/>
      <c r="M1720" s="116"/>
    </row>
    <row r="1721" spans="1:13" x14ac:dyDescent="0.2">
      <c r="A1721" t="s">
        <v>76</v>
      </c>
      <c r="B1721" t="s">
        <v>110</v>
      </c>
      <c r="C1721" t="s">
        <v>224</v>
      </c>
      <c r="D1721" s="110">
        <v>3283064.55</v>
      </c>
      <c r="E1721" s="111">
        <v>3283064.55</v>
      </c>
      <c r="F1721" s="111"/>
      <c r="G1721" s="111"/>
      <c r="H1721" s="112"/>
      <c r="I1721" s="110">
        <v>1194308.6299999999</v>
      </c>
      <c r="J1721" s="111">
        <v>1586680.65</v>
      </c>
      <c r="K1721" s="111"/>
      <c r="L1721" s="111"/>
      <c r="M1721" s="112"/>
    </row>
    <row r="1722" spans="1:13" ht="13.5" thickBot="1" x14ac:dyDescent="0.25">
      <c r="A1722" s="128" t="s">
        <v>76</v>
      </c>
      <c r="B1722" s="128" t="s">
        <v>110</v>
      </c>
      <c r="C1722" s="128" t="s">
        <v>225</v>
      </c>
      <c r="D1722" s="129">
        <v>7301565.0499999998</v>
      </c>
      <c r="E1722" s="130"/>
      <c r="F1722" s="130"/>
      <c r="G1722" s="130"/>
      <c r="H1722" s="131"/>
      <c r="I1722" s="129">
        <v>1660427.07</v>
      </c>
      <c r="J1722" s="130"/>
      <c r="K1722" s="130"/>
      <c r="L1722" s="130"/>
      <c r="M1722" s="131"/>
    </row>
    <row r="1723" spans="1:13" x14ac:dyDescent="0.2">
      <c r="A1723" s="132" t="s">
        <v>44</v>
      </c>
      <c r="B1723" s="132" t="s">
        <v>104</v>
      </c>
      <c r="C1723" s="132" t="s">
        <v>222</v>
      </c>
      <c r="D1723" s="133">
        <v>452594</v>
      </c>
      <c r="E1723" s="134">
        <v>452134</v>
      </c>
      <c r="F1723" s="134">
        <v>451718</v>
      </c>
      <c r="G1723" s="134">
        <v>451468</v>
      </c>
      <c r="H1723" s="135"/>
      <c r="I1723" s="133">
        <v>46936</v>
      </c>
      <c r="J1723" s="134">
        <v>79115</v>
      </c>
      <c r="K1723" s="134">
        <v>93982</v>
      </c>
      <c r="L1723" s="134">
        <v>109102</v>
      </c>
      <c r="M1723" s="135"/>
    </row>
    <row r="1724" spans="1:13" x14ac:dyDescent="0.2">
      <c r="A1724" s="113" t="s">
        <v>44</v>
      </c>
      <c r="B1724" s="113" t="s">
        <v>104</v>
      </c>
      <c r="C1724" s="113" t="s">
        <v>223</v>
      </c>
      <c r="D1724" s="114">
        <v>285515</v>
      </c>
      <c r="E1724" s="115">
        <v>285015</v>
      </c>
      <c r="F1724" s="115">
        <v>284793</v>
      </c>
      <c r="G1724" s="115"/>
      <c r="H1724" s="116"/>
      <c r="I1724" s="114">
        <v>60825</v>
      </c>
      <c r="J1724" s="115">
        <v>78434</v>
      </c>
      <c r="K1724" s="115">
        <v>88048</v>
      </c>
      <c r="L1724" s="115"/>
      <c r="M1724" s="116"/>
    </row>
    <row r="1725" spans="1:13" x14ac:dyDescent="0.2">
      <c r="A1725" t="s">
        <v>44</v>
      </c>
      <c r="B1725" t="s">
        <v>104</v>
      </c>
      <c r="C1725" t="s">
        <v>224</v>
      </c>
      <c r="D1725" s="110">
        <v>172392</v>
      </c>
      <c r="E1725" s="111">
        <v>172042</v>
      </c>
      <c r="F1725" s="111"/>
      <c r="G1725" s="111"/>
      <c r="H1725" s="112"/>
      <c r="I1725" s="110">
        <v>7149</v>
      </c>
      <c r="J1725" s="111">
        <v>11132</v>
      </c>
      <c r="K1725" s="111"/>
      <c r="L1725" s="111"/>
      <c r="M1725" s="112"/>
    </row>
    <row r="1726" spans="1:13" x14ac:dyDescent="0.2">
      <c r="A1726" s="117" t="s">
        <v>44</v>
      </c>
      <c r="B1726" s="117" t="s">
        <v>104</v>
      </c>
      <c r="C1726" s="117" t="s">
        <v>225</v>
      </c>
      <c r="D1726" s="118">
        <v>245792</v>
      </c>
      <c r="E1726" s="119"/>
      <c r="F1726" s="119"/>
      <c r="G1726" s="119"/>
      <c r="H1726" s="120"/>
      <c r="I1726" s="118">
        <v>32201</v>
      </c>
      <c r="J1726" s="119"/>
      <c r="K1726" s="119"/>
      <c r="L1726" s="119"/>
      <c r="M1726" s="120"/>
    </row>
    <row r="1727" spans="1:13" x14ac:dyDescent="0.2">
      <c r="A1727" t="s">
        <v>44</v>
      </c>
      <c r="B1727" t="s">
        <v>140</v>
      </c>
      <c r="C1727" t="s">
        <v>222</v>
      </c>
      <c r="D1727" s="110">
        <v>53118</v>
      </c>
      <c r="E1727" s="111">
        <v>53118</v>
      </c>
      <c r="F1727" s="111">
        <v>53118</v>
      </c>
      <c r="G1727" s="111"/>
      <c r="H1727" s="112"/>
      <c r="I1727" s="110">
        <v>0</v>
      </c>
      <c r="J1727" s="111"/>
      <c r="K1727" s="111"/>
      <c r="L1727" s="111"/>
      <c r="M1727" s="112"/>
    </row>
    <row r="1728" spans="1:13" x14ac:dyDescent="0.2">
      <c r="A1728" s="113" t="s">
        <v>44</v>
      </c>
      <c r="B1728" s="113" t="s">
        <v>140</v>
      </c>
      <c r="C1728" s="113" t="s">
        <v>223</v>
      </c>
      <c r="D1728" s="114">
        <v>0</v>
      </c>
      <c r="E1728" s="115">
        <v>0</v>
      </c>
      <c r="F1728" s="115"/>
      <c r="G1728" s="115"/>
      <c r="H1728" s="116"/>
      <c r="I1728" s="114">
        <v>0</v>
      </c>
      <c r="J1728" s="115">
        <v>0</v>
      </c>
      <c r="K1728" s="115"/>
      <c r="L1728" s="115"/>
      <c r="M1728" s="116"/>
    </row>
    <row r="1729" spans="1:13" x14ac:dyDescent="0.2">
      <c r="A1729" t="s">
        <v>44</v>
      </c>
      <c r="B1729" t="s">
        <v>140</v>
      </c>
      <c r="C1729" t="s">
        <v>224</v>
      </c>
      <c r="D1729" s="110">
        <v>53208</v>
      </c>
      <c r="E1729" s="111"/>
      <c r="F1729" s="111"/>
      <c r="G1729" s="111"/>
      <c r="H1729" s="112"/>
      <c r="I1729" s="110"/>
      <c r="J1729" s="111"/>
      <c r="K1729" s="111"/>
      <c r="L1729" s="111"/>
      <c r="M1729" s="112"/>
    </row>
    <row r="1730" spans="1:13" x14ac:dyDescent="0.2">
      <c r="A1730" s="117" t="s">
        <v>44</v>
      </c>
      <c r="B1730" s="117" t="s">
        <v>140</v>
      </c>
      <c r="C1730" s="117" t="s">
        <v>225</v>
      </c>
      <c r="D1730" s="118"/>
      <c r="E1730" s="119"/>
      <c r="F1730" s="119"/>
      <c r="G1730" s="119"/>
      <c r="H1730" s="120"/>
      <c r="I1730" s="118"/>
      <c r="J1730" s="119"/>
      <c r="K1730" s="119"/>
      <c r="L1730" s="119"/>
      <c r="M1730" s="120"/>
    </row>
    <row r="1731" spans="1:13" x14ac:dyDescent="0.2">
      <c r="A1731" t="s">
        <v>44</v>
      </c>
      <c r="B1731" t="s">
        <v>105</v>
      </c>
      <c r="C1731" t="s">
        <v>222</v>
      </c>
      <c r="D1731" s="110">
        <v>420838</v>
      </c>
      <c r="E1731" s="111">
        <v>412004</v>
      </c>
      <c r="F1731" s="111">
        <v>411382</v>
      </c>
      <c r="G1731" s="111">
        <v>409562</v>
      </c>
      <c r="H1731" s="112"/>
      <c r="I1731" s="110">
        <v>110610</v>
      </c>
      <c r="J1731" s="111">
        <v>183099</v>
      </c>
      <c r="K1731" s="111">
        <v>197166</v>
      </c>
      <c r="L1731" s="111">
        <v>213558</v>
      </c>
      <c r="M1731" s="112"/>
    </row>
    <row r="1732" spans="1:13" x14ac:dyDescent="0.2">
      <c r="A1732" s="113" t="s">
        <v>44</v>
      </c>
      <c r="B1732" s="113" t="s">
        <v>105</v>
      </c>
      <c r="C1732" s="113" t="s">
        <v>223</v>
      </c>
      <c r="D1732" s="114">
        <v>411158</v>
      </c>
      <c r="E1732" s="115">
        <v>409425</v>
      </c>
      <c r="F1732" s="115">
        <v>406267</v>
      </c>
      <c r="G1732" s="115"/>
      <c r="H1732" s="116"/>
      <c r="I1732" s="114">
        <v>125596</v>
      </c>
      <c r="J1732" s="115">
        <v>160885</v>
      </c>
      <c r="K1732" s="115">
        <v>191355</v>
      </c>
      <c r="L1732" s="115"/>
      <c r="M1732" s="116"/>
    </row>
    <row r="1733" spans="1:13" x14ac:dyDescent="0.2">
      <c r="A1733" t="s">
        <v>44</v>
      </c>
      <c r="B1733" t="s">
        <v>105</v>
      </c>
      <c r="C1733" t="s">
        <v>224</v>
      </c>
      <c r="D1733" s="110">
        <v>159238</v>
      </c>
      <c r="E1733" s="111">
        <v>155099</v>
      </c>
      <c r="F1733" s="111"/>
      <c r="G1733" s="111"/>
      <c r="H1733" s="112"/>
      <c r="I1733" s="110">
        <v>40203</v>
      </c>
      <c r="J1733" s="111">
        <v>66783</v>
      </c>
      <c r="K1733" s="111"/>
      <c r="L1733" s="111"/>
      <c r="M1733" s="112"/>
    </row>
    <row r="1734" spans="1:13" x14ac:dyDescent="0.2">
      <c r="A1734" s="117" t="s">
        <v>44</v>
      </c>
      <c r="B1734" s="117" t="s">
        <v>105</v>
      </c>
      <c r="C1734" s="117" t="s">
        <v>225</v>
      </c>
      <c r="D1734" s="118">
        <v>334708</v>
      </c>
      <c r="E1734" s="119"/>
      <c r="F1734" s="119"/>
      <c r="G1734" s="119"/>
      <c r="H1734" s="120"/>
      <c r="I1734" s="118">
        <v>95855</v>
      </c>
      <c r="J1734" s="119"/>
      <c r="K1734" s="119"/>
      <c r="L1734" s="119"/>
      <c r="M1734" s="120"/>
    </row>
    <row r="1735" spans="1:13" x14ac:dyDescent="0.2">
      <c r="A1735" t="s">
        <v>44</v>
      </c>
      <c r="B1735" t="s">
        <v>111</v>
      </c>
      <c r="C1735" t="s">
        <v>222</v>
      </c>
      <c r="D1735" s="110">
        <v>250</v>
      </c>
      <c r="E1735" s="111">
        <v>250</v>
      </c>
      <c r="F1735" s="111">
        <v>250</v>
      </c>
      <c r="G1735" s="111">
        <v>250</v>
      </c>
      <c r="H1735" s="112"/>
      <c r="I1735" s="110">
        <v>0</v>
      </c>
      <c r="J1735" s="111">
        <v>0</v>
      </c>
      <c r="K1735" s="111">
        <v>0</v>
      </c>
      <c r="L1735" s="111"/>
      <c r="M1735" s="112"/>
    </row>
    <row r="1736" spans="1:13" x14ac:dyDescent="0.2">
      <c r="A1736" s="113" t="s">
        <v>44</v>
      </c>
      <c r="B1736" s="113" t="s">
        <v>111</v>
      </c>
      <c r="C1736" s="113" t="s">
        <v>223</v>
      </c>
      <c r="D1736" s="114">
        <v>136</v>
      </c>
      <c r="E1736" s="115">
        <v>136</v>
      </c>
      <c r="F1736" s="115">
        <v>136</v>
      </c>
      <c r="G1736" s="115"/>
      <c r="H1736" s="116"/>
      <c r="I1736" s="114">
        <v>8</v>
      </c>
      <c r="J1736" s="115">
        <v>8</v>
      </c>
      <c r="K1736" s="115">
        <v>8</v>
      </c>
      <c r="L1736" s="115"/>
      <c r="M1736" s="116"/>
    </row>
    <row r="1737" spans="1:13" x14ac:dyDescent="0.2">
      <c r="A1737" t="s">
        <v>44</v>
      </c>
      <c r="B1737" t="s">
        <v>111</v>
      </c>
      <c r="C1737" t="s">
        <v>224</v>
      </c>
      <c r="D1737" s="110">
        <v>73</v>
      </c>
      <c r="E1737" s="111">
        <v>73</v>
      </c>
      <c r="F1737" s="111"/>
      <c r="G1737" s="111"/>
      <c r="H1737" s="112"/>
      <c r="I1737" s="110">
        <v>23</v>
      </c>
      <c r="J1737" s="111">
        <v>23</v>
      </c>
      <c r="K1737" s="111"/>
      <c r="L1737" s="111"/>
      <c r="M1737" s="112"/>
    </row>
    <row r="1738" spans="1:13" x14ac:dyDescent="0.2">
      <c r="A1738" s="117" t="s">
        <v>44</v>
      </c>
      <c r="B1738" s="117" t="s">
        <v>111</v>
      </c>
      <c r="C1738" s="117" t="s">
        <v>225</v>
      </c>
      <c r="D1738" s="118">
        <v>300</v>
      </c>
      <c r="E1738" s="119"/>
      <c r="F1738" s="119"/>
      <c r="G1738" s="119"/>
      <c r="H1738" s="120"/>
      <c r="I1738" s="118"/>
      <c r="J1738" s="119"/>
      <c r="K1738" s="119"/>
      <c r="L1738" s="119"/>
      <c r="M1738" s="120"/>
    </row>
    <row r="1739" spans="1:13" x14ac:dyDescent="0.2">
      <c r="A1739" s="124" t="s">
        <v>44</v>
      </c>
      <c r="B1739" s="124" t="s">
        <v>109</v>
      </c>
      <c r="C1739" s="124" t="s">
        <v>222</v>
      </c>
      <c r="D1739" s="125">
        <v>123920</v>
      </c>
      <c r="E1739" s="126">
        <v>123725</v>
      </c>
      <c r="F1739" s="126">
        <v>123725</v>
      </c>
      <c r="G1739" s="126">
        <v>122743</v>
      </c>
      <c r="H1739" s="127"/>
      <c r="I1739" s="125">
        <v>44141</v>
      </c>
      <c r="J1739" s="126">
        <v>67557</v>
      </c>
      <c r="K1739" s="126">
        <v>72997</v>
      </c>
      <c r="L1739" s="126">
        <v>83123</v>
      </c>
      <c r="M1739" s="127"/>
    </row>
    <row r="1740" spans="1:13" x14ac:dyDescent="0.2">
      <c r="A1740" s="113" t="s">
        <v>44</v>
      </c>
      <c r="B1740" s="113" t="s">
        <v>109</v>
      </c>
      <c r="C1740" s="113" t="s">
        <v>223</v>
      </c>
      <c r="D1740" s="114">
        <v>124953</v>
      </c>
      <c r="E1740" s="115">
        <v>124637</v>
      </c>
      <c r="F1740" s="115">
        <v>124169</v>
      </c>
      <c r="G1740" s="115"/>
      <c r="H1740" s="116"/>
      <c r="I1740" s="114">
        <v>51966</v>
      </c>
      <c r="J1740" s="115">
        <v>61320</v>
      </c>
      <c r="K1740" s="115">
        <v>76432</v>
      </c>
      <c r="L1740" s="115"/>
      <c r="M1740" s="116"/>
    </row>
    <row r="1741" spans="1:13" x14ac:dyDescent="0.2">
      <c r="A1741" t="s">
        <v>44</v>
      </c>
      <c r="B1741" t="s">
        <v>109</v>
      </c>
      <c r="C1741" t="s">
        <v>224</v>
      </c>
      <c r="D1741" s="110">
        <v>28215</v>
      </c>
      <c r="E1741" s="111">
        <v>28215</v>
      </c>
      <c r="F1741" s="111"/>
      <c r="G1741" s="111"/>
      <c r="H1741" s="112"/>
      <c r="I1741" s="110">
        <v>9474</v>
      </c>
      <c r="J1741" s="111">
        <v>14988</v>
      </c>
      <c r="K1741" s="111"/>
      <c r="L1741" s="111"/>
      <c r="M1741" s="112"/>
    </row>
    <row r="1742" spans="1:13" x14ac:dyDescent="0.2">
      <c r="A1742" s="117" t="s">
        <v>44</v>
      </c>
      <c r="B1742" s="117" t="s">
        <v>109</v>
      </c>
      <c r="C1742" s="117" t="s">
        <v>225</v>
      </c>
      <c r="D1742" s="118">
        <v>76159</v>
      </c>
      <c r="E1742" s="119"/>
      <c r="F1742" s="119"/>
      <c r="G1742" s="119"/>
      <c r="H1742" s="120"/>
      <c r="I1742" s="118">
        <v>17176</v>
      </c>
      <c r="J1742" s="119"/>
      <c r="K1742" s="119"/>
      <c r="L1742" s="119"/>
      <c r="M1742" s="120"/>
    </row>
    <row r="1743" spans="1:13" x14ac:dyDescent="0.2">
      <c r="A1743" t="s">
        <v>44</v>
      </c>
      <c r="B1743" t="s">
        <v>106</v>
      </c>
      <c r="C1743" t="s">
        <v>222</v>
      </c>
      <c r="D1743" s="110">
        <v>190507</v>
      </c>
      <c r="E1743" s="111">
        <v>190507</v>
      </c>
      <c r="F1743" s="111">
        <v>190507</v>
      </c>
      <c r="G1743" s="111">
        <v>190507</v>
      </c>
      <c r="H1743" s="112"/>
      <c r="I1743" s="110">
        <v>186864</v>
      </c>
      <c r="J1743" s="111">
        <v>188114</v>
      </c>
      <c r="K1743" s="111">
        <v>188114</v>
      </c>
      <c r="L1743" s="111">
        <v>188114</v>
      </c>
      <c r="M1743" s="112"/>
    </row>
    <row r="1744" spans="1:13" x14ac:dyDescent="0.2">
      <c r="A1744" s="113" t="s">
        <v>44</v>
      </c>
      <c r="B1744" s="113" t="s">
        <v>106</v>
      </c>
      <c r="C1744" s="113" t="s">
        <v>223</v>
      </c>
      <c r="D1744" s="114">
        <v>189166</v>
      </c>
      <c r="E1744" s="115">
        <v>189166</v>
      </c>
      <c r="F1744" s="115">
        <v>189166</v>
      </c>
      <c r="G1744" s="115"/>
      <c r="H1744" s="116"/>
      <c r="I1744" s="114">
        <v>186393</v>
      </c>
      <c r="J1744" s="115">
        <v>186398</v>
      </c>
      <c r="K1744" s="115">
        <v>186498</v>
      </c>
      <c r="L1744" s="115"/>
      <c r="M1744" s="116"/>
    </row>
    <row r="1745" spans="1:13" x14ac:dyDescent="0.2">
      <c r="A1745" t="s">
        <v>44</v>
      </c>
      <c r="B1745" t="s">
        <v>106</v>
      </c>
      <c r="C1745" t="s">
        <v>224</v>
      </c>
      <c r="D1745" s="110">
        <v>103984</v>
      </c>
      <c r="E1745" s="111">
        <v>103976</v>
      </c>
      <c r="F1745" s="111"/>
      <c r="G1745" s="111"/>
      <c r="H1745" s="112"/>
      <c r="I1745" s="110">
        <v>102229</v>
      </c>
      <c r="J1745" s="111">
        <v>102639</v>
      </c>
      <c r="K1745" s="111"/>
      <c r="L1745" s="111"/>
      <c r="M1745" s="112"/>
    </row>
    <row r="1746" spans="1:13" x14ac:dyDescent="0.2">
      <c r="A1746" s="117" t="s">
        <v>44</v>
      </c>
      <c r="B1746" s="117" t="s">
        <v>106</v>
      </c>
      <c r="C1746" s="117" t="s">
        <v>225</v>
      </c>
      <c r="D1746" s="118">
        <v>179129</v>
      </c>
      <c r="E1746" s="119"/>
      <c r="F1746" s="119"/>
      <c r="G1746" s="119"/>
      <c r="H1746" s="120"/>
      <c r="I1746" s="118">
        <v>170006</v>
      </c>
      <c r="J1746" s="119"/>
      <c r="K1746" s="119"/>
      <c r="L1746" s="119"/>
      <c r="M1746" s="120"/>
    </row>
    <row r="1747" spans="1:13" x14ac:dyDescent="0.2">
      <c r="A1747" t="s">
        <v>44</v>
      </c>
      <c r="B1747" t="s">
        <v>107</v>
      </c>
      <c r="C1747" t="s">
        <v>222</v>
      </c>
      <c r="D1747" s="110">
        <v>86817</v>
      </c>
      <c r="E1747" s="111">
        <v>86808</v>
      </c>
      <c r="F1747" s="111">
        <v>86808</v>
      </c>
      <c r="G1747" s="111">
        <v>86808</v>
      </c>
      <c r="H1747" s="112"/>
      <c r="I1747" s="110">
        <v>84994</v>
      </c>
      <c r="J1747" s="111">
        <v>85114</v>
      </c>
      <c r="K1747" s="111">
        <v>85114</v>
      </c>
      <c r="L1747" s="111">
        <v>85124</v>
      </c>
      <c r="M1747" s="112"/>
    </row>
    <row r="1748" spans="1:13" x14ac:dyDescent="0.2">
      <c r="A1748" s="113" t="s">
        <v>44</v>
      </c>
      <c r="B1748" s="113" t="s">
        <v>107</v>
      </c>
      <c r="C1748" s="113" t="s">
        <v>223</v>
      </c>
      <c r="D1748" s="114">
        <v>89889</v>
      </c>
      <c r="E1748" s="115">
        <v>89889</v>
      </c>
      <c r="F1748" s="115">
        <v>89889</v>
      </c>
      <c r="G1748" s="115"/>
      <c r="H1748" s="116"/>
      <c r="I1748" s="114">
        <v>88479</v>
      </c>
      <c r="J1748" s="115">
        <v>88564</v>
      </c>
      <c r="K1748" s="115">
        <v>88564</v>
      </c>
      <c r="L1748" s="115"/>
      <c r="M1748" s="116"/>
    </row>
    <row r="1749" spans="1:13" x14ac:dyDescent="0.2">
      <c r="A1749" t="s">
        <v>44</v>
      </c>
      <c r="B1749" t="s">
        <v>107</v>
      </c>
      <c r="C1749" t="s">
        <v>224</v>
      </c>
      <c r="D1749" s="110">
        <v>34677</v>
      </c>
      <c r="E1749" s="111">
        <v>34677</v>
      </c>
      <c r="F1749" s="111"/>
      <c r="G1749" s="111"/>
      <c r="H1749" s="112"/>
      <c r="I1749" s="110">
        <v>34277</v>
      </c>
      <c r="J1749" s="111">
        <v>34317</v>
      </c>
      <c r="K1749" s="111"/>
      <c r="L1749" s="111"/>
      <c r="M1749" s="112"/>
    </row>
    <row r="1750" spans="1:13" x14ac:dyDescent="0.2">
      <c r="A1750" s="117" t="s">
        <v>44</v>
      </c>
      <c r="B1750" s="117" t="s">
        <v>107</v>
      </c>
      <c r="C1750" s="117" t="s">
        <v>225</v>
      </c>
      <c r="D1750" s="118">
        <v>66940</v>
      </c>
      <c r="E1750" s="119"/>
      <c r="F1750" s="119"/>
      <c r="G1750" s="119"/>
      <c r="H1750" s="120"/>
      <c r="I1750" s="118">
        <v>66140</v>
      </c>
      <c r="J1750" s="119"/>
      <c r="K1750" s="119"/>
      <c r="L1750" s="119"/>
      <c r="M1750" s="120"/>
    </row>
    <row r="1751" spans="1:13" x14ac:dyDescent="0.2">
      <c r="A1751" t="s">
        <v>44</v>
      </c>
      <c r="B1751" t="s">
        <v>108</v>
      </c>
      <c r="C1751" t="s">
        <v>222</v>
      </c>
      <c r="D1751" s="110">
        <v>35809</v>
      </c>
      <c r="E1751" s="111">
        <v>35809</v>
      </c>
      <c r="F1751" s="111">
        <v>35809</v>
      </c>
      <c r="G1751" s="111">
        <v>35809</v>
      </c>
      <c r="H1751" s="112"/>
      <c r="I1751" s="110">
        <v>35542</v>
      </c>
      <c r="J1751" s="111">
        <v>35542</v>
      </c>
      <c r="K1751" s="111">
        <v>35542</v>
      </c>
      <c r="L1751" s="111">
        <v>35542</v>
      </c>
      <c r="M1751" s="112"/>
    </row>
    <row r="1752" spans="1:13" x14ac:dyDescent="0.2">
      <c r="A1752" s="113" t="s">
        <v>44</v>
      </c>
      <c r="B1752" s="113" t="s">
        <v>108</v>
      </c>
      <c r="C1752" s="113" t="s">
        <v>223</v>
      </c>
      <c r="D1752" s="114">
        <v>32858</v>
      </c>
      <c r="E1752" s="115">
        <v>32858</v>
      </c>
      <c r="F1752" s="115">
        <v>32758</v>
      </c>
      <c r="G1752" s="115"/>
      <c r="H1752" s="116"/>
      <c r="I1752" s="114">
        <v>32402</v>
      </c>
      <c r="J1752" s="115">
        <v>32402</v>
      </c>
      <c r="K1752" s="115">
        <v>32402</v>
      </c>
      <c r="L1752" s="115"/>
      <c r="M1752" s="116"/>
    </row>
    <row r="1753" spans="1:13" x14ac:dyDescent="0.2">
      <c r="A1753" t="s">
        <v>44</v>
      </c>
      <c r="B1753" t="s">
        <v>108</v>
      </c>
      <c r="C1753" t="s">
        <v>224</v>
      </c>
      <c r="D1753" s="110">
        <v>37706</v>
      </c>
      <c r="E1753" s="111">
        <v>37706</v>
      </c>
      <c r="F1753" s="111"/>
      <c r="G1753" s="111"/>
      <c r="H1753" s="112"/>
      <c r="I1753" s="110">
        <v>36833</v>
      </c>
      <c r="J1753" s="111">
        <v>36852</v>
      </c>
      <c r="K1753" s="111"/>
      <c r="L1753" s="111"/>
      <c r="M1753" s="112"/>
    </row>
    <row r="1754" spans="1:13" x14ac:dyDescent="0.2">
      <c r="A1754" s="117" t="s">
        <v>44</v>
      </c>
      <c r="B1754" s="117" t="s">
        <v>108</v>
      </c>
      <c r="C1754" s="117" t="s">
        <v>225</v>
      </c>
      <c r="D1754" s="118">
        <v>43828</v>
      </c>
      <c r="E1754" s="119"/>
      <c r="F1754" s="119"/>
      <c r="G1754" s="119"/>
      <c r="H1754" s="120"/>
      <c r="I1754" s="118">
        <v>43005</v>
      </c>
      <c r="J1754" s="119"/>
      <c r="K1754" s="119"/>
      <c r="L1754" s="119"/>
      <c r="M1754" s="120"/>
    </row>
    <row r="1755" spans="1:13" x14ac:dyDescent="0.2">
      <c r="A1755" t="s">
        <v>44</v>
      </c>
      <c r="B1755" t="s">
        <v>70</v>
      </c>
      <c r="C1755" t="s">
        <v>222</v>
      </c>
      <c r="D1755" s="110">
        <v>63542</v>
      </c>
      <c r="E1755" s="111">
        <v>63542</v>
      </c>
      <c r="F1755" s="111">
        <v>63542</v>
      </c>
      <c r="G1755" s="111">
        <v>63542</v>
      </c>
      <c r="H1755" s="112"/>
      <c r="I1755" s="110">
        <v>60109</v>
      </c>
      <c r="J1755" s="111">
        <v>60519</v>
      </c>
      <c r="K1755" s="111">
        <v>60519</v>
      </c>
      <c r="L1755" s="111">
        <v>60519</v>
      </c>
      <c r="M1755" s="112"/>
    </row>
    <row r="1756" spans="1:13" x14ac:dyDescent="0.2">
      <c r="A1756" s="113" t="s">
        <v>44</v>
      </c>
      <c r="B1756" s="113" t="s">
        <v>70</v>
      </c>
      <c r="C1756" s="113" t="s">
        <v>223</v>
      </c>
      <c r="D1756" s="114">
        <v>51973</v>
      </c>
      <c r="E1756" s="115">
        <v>51576</v>
      </c>
      <c r="F1756" s="115">
        <v>51576</v>
      </c>
      <c r="G1756" s="115"/>
      <c r="H1756" s="116"/>
      <c r="I1756" s="114">
        <v>49373</v>
      </c>
      <c r="J1756" s="115">
        <v>49584</v>
      </c>
      <c r="K1756" s="115">
        <v>49584</v>
      </c>
      <c r="L1756" s="115"/>
      <c r="M1756" s="116"/>
    </row>
    <row r="1757" spans="1:13" x14ac:dyDescent="0.2">
      <c r="A1757" t="s">
        <v>44</v>
      </c>
      <c r="B1757" t="s">
        <v>70</v>
      </c>
      <c r="C1757" t="s">
        <v>224</v>
      </c>
      <c r="D1757" s="110">
        <v>39163</v>
      </c>
      <c r="E1757" s="111">
        <v>37671</v>
      </c>
      <c r="F1757" s="111"/>
      <c r="G1757" s="111"/>
      <c r="H1757" s="112"/>
      <c r="I1757" s="110">
        <v>34013</v>
      </c>
      <c r="J1757" s="111">
        <v>34394</v>
      </c>
      <c r="K1757" s="111"/>
      <c r="L1757" s="111"/>
      <c r="M1757" s="112"/>
    </row>
    <row r="1758" spans="1:13" x14ac:dyDescent="0.2">
      <c r="A1758" s="117" t="s">
        <v>44</v>
      </c>
      <c r="B1758" s="117" t="s">
        <v>70</v>
      </c>
      <c r="C1758" s="117" t="s">
        <v>225</v>
      </c>
      <c r="D1758" s="118">
        <v>68308</v>
      </c>
      <c r="E1758" s="119"/>
      <c r="F1758" s="119"/>
      <c r="G1758" s="119"/>
      <c r="H1758" s="120"/>
      <c r="I1758" s="118">
        <v>62195</v>
      </c>
      <c r="J1758" s="119"/>
      <c r="K1758" s="119"/>
      <c r="L1758" s="119"/>
      <c r="M1758" s="120"/>
    </row>
    <row r="1759" spans="1:13" x14ac:dyDescent="0.2">
      <c r="A1759" t="s">
        <v>44</v>
      </c>
      <c r="B1759" t="s">
        <v>110</v>
      </c>
      <c r="C1759" t="s">
        <v>222</v>
      </c>
      <c r="D1759" s="110">
        <v>1290746</v>
      </c>
      <c r="E1759" s="111">
        <v>1016373</v>
      </c>
      <c r="F1759" s="111">
        <v>1006426</v>
      </c>
      <c r="G1759" s="111">
        <v>975767</v>
      </c>
      <c r="H1759" s="112"/>
      <c r="I1759" s="110">
        <v>559645</v>
      </c>
      <c r="J1759" s="111">
        <v>833037</v>
      </c>
      <c r="K1759" s="111">
        <v>860010</v>
      </c>
      <c r="L1759" s="111">
        <v>887539</v>
      </c>
      <c r="M1759" s="112"/>
    </row>
    <row r="1760" spans="1:13" x14ac:dyDescent="0.2">
      <c r="A1760" s="113" t="s">
        <v>44</v>
      </c>
      <c r="B1760" s="113" t="s">
        <v>110</v>
      </c>
      <c r="C1760" s="113" t="s">
        <v>223</v>
      </c>
      <c r="D1760" s="114">
        <v>1171990</v>
      </c>
      <c r="E1760" s="115">
        <v>1142582</v>
      </c>
      <c r="F1760" s="115">
        <v>1000086</v>
      </c>
      <c r="G1760" s="115"/>
      <c r="H1760" s="116"/>
      <c r="I1760" s="114">
        <v>539609</v>
      </c>
      <c r="J1760" s="115">
        <v>737869</v>
      </c>
      <c r="K1760" s="115">
        <v>875310</v>
      </c>
      <c r="L1760" s="115"/>
      <c r="M1760" s="116"/>
    </row>
    <row r="1761" spans="1:13" x14ac:dyDescent="0.2">
      <c r="A1761" t="s">
        <v>44</v>
      </c>
      <c r="B1761" t="s">
        <v>110</v>
      </c>
      <c r="C1761" t="s">
        <v>224</v>
      </c>
      <c r="D1761" s="110">
        <v>546185</v>
      </c>
      <c r="E1761" s="111">
        <v>371383</v>
      </c>
      <c r="F1761" s="111"/>
      <c r="G1761" s="111"/>
      <c r="H1761" s="112"/>
      <c r="I1761" s="110">
        <v>156187</v>
      </c>
      <c r="J1761" s="111">
        <v>255707</v>
      </c>
      <c r="K1761" s="111"/>
      <c r="L1761" s="111"/>
      <c r="M1761" s="112"/>
    </row>
    <row r="1762" spans="1:13" ht="13.5" thickBot="1" x14ac:dyDescent="0.25">
      <c r="A1762" s="128" t="s">
        <v>44</v>
      </c>
      <c r="B1762" s="128" t="s">
        <v>110</v>
      </c>
      <c r="C1762" s="128" t="s">
        <v>225</v>
      </c>
      <c r="D1762" s="129">
        <v>1343021</v>
      </c>
      <c r="E1762" s="130"/>
      <c r="F1762" s="130"/>
      <c r="G1762" s="130"/>
      <c r="H1762" s="131"/>
      <c r="I1762" s="129">
        <v>527109</v>
      </c>
      <c r="J1762" s="130"/>
      <c r="K1762" s="130"/>
      <c r="L1762" s="130"/>
      <c r="M1762" s="131"/>
    </row>
    <row r="1763" spans="1:13" x14ac:dyDescent="0.2">
      <c r="A1763" s="132" t="s">
        <v>45</v>
      </c>
      <c r="B1763" s="132" t="s">
        <v>104</v>
      </c>
      <c r="C1763" s="132" t="s">
        <v>222</v>
      </c>
      <c r="D1763" s="133">
        <v>171475</v>
      </c>
      <c r="E1763" s="134">
        <v>171475</v>
      </c>
      <c r="F1763" s="134">
        <v>171925</v>
      </c>
      <c r="G1763" s="134">
        <v>171925</v>
      </c>
      <c r="H1763" s="135"/>
      <c r="I1763" s="133">
        <v>2246.42</v>
      </c>
      <c r="J1763" s="134">
        <v>5519.55</v>
      </c>
      <c r="K1763" s="134">
        <v>9636.09</v>
      </c>
      <c r="L1763" s="134">
        <v>12232.97</v>
      </c>
      <c r="M1763" s="135"/>
    </row>
    <row r="1764" spans="1:13" x14ac:dyDescent="0.2">
      <c r="A1764" s="113" t="s">
        <v>45</v>
      </c>
      <c r="B1764" s="113" t="s">
        <v>104</v>
      </c>
      <c r="C1764" s="113" t="s">
        <v>223</v>
      </c>
      <c r="D1764" s="114">
        <v>254782.5</v>
      </c>
      <c r="E1764" s="115">
        <v>254782.5</v>
      </c>
      <c r="F1764" s="115">
        <v>255850.5</v>
      </c>
      <c r="G1764" s="115"/>
      <c r="H1764" s="116"/>
      <c r="I1764" s="114">
        <v>2972.9</v>
      </c>
      <c r="J1764" s="115">
        <v>8722.26</v>
      </c>
      <c r="K1764" s="115">
        <v>14105.84</v>
      </c>
      <c r="L1764" s="115"/>
      <c r="M1764" s="116"/>
    </row>
    <row r="1765" spans="1:13" x14ac:dyDescent="0.2">
      <c r="A1765" t="s">
        <v>45</v>
      </c>
      <c r="B1765" t="s">
        <v>104</v>
      </c>
      <c r="C1765" t="s">
        <v>224</v>
      </c>
      <c r="D1765" s="110">
        <v>112374.5</v>
      </c>
      <c r="E1765" s="111">
        <v>112942.5</v>
      </c>
      <c r="F1765" s="111"/>
      <c r="G1765" s="111"/>
      <c r="H1765" s="112"/>
      <c r="I1765" s="110">
        <v>1984.09</v>
      </c>
      <c r="J1765" s="111">
        <v>3174.4</v>
      </c>
      <c r="K1765" s="111"/>
      <c r="L1765" s="111"/>
      <c r="M1765" s="112"/>
    </row>
    <row r="1766" spans="1:13" x14ac:dyDescent="0.2">
      <c r="A1766" s="117" t="s">
        <v>45</v>
      </c>
      <c r="B1766" s="117" t="s">
        <v>104</v>
      </c>
      <c r="C1766" s="117" t="s">
        <v>225</v>
      </c>
      <c r="D1766" s="118">
        <v>58091</v>
      </c>
      <c r="E1766" s="119"/>
      <c r="F1766" s="119"/>
      <c r="G1766" s="119"/>
      <c r="H1766" s="120"/>
      <c r="I1766" s="118">
        <v>3108.31</v>
      </c>
      <c r="J1766" s="119"/>
      <c r="K1766" s="119"/>
      <c r="L1766" s="119"/>
      <c r="M1766" s="120"/>
    </row>
    <row r="1767" spans="1:13" x14ac:dyDescent="0.2">
      <c r="A1767" t="s">
        <v>45</v>
      </c>
      <c r="B1767" t="s">
        <v>140</v>
      </c>
      <c r="C1767" t="s">
        <v>222</v>
      </c>
      <c r="D1767" s="110">
        <v>100000</v>
      </c>
      <c r="E1767" s="111">
        <v>100000</v>
      </c>
      <c r="F1767" s="111">
        <v>100000</v>
      </c>
      <c r="G1767" s="111">
        <v>100000</v>
      </c>
      <c r="H1767" s="112"/>
      <c r="I1767" s="110">
        <v>0</v>
      </c>
      <c r="J1767" s="111">
        <v>0</v>
      </c>
      <c r="K1767" s="111">
        <v>0</v>
      </c>
      <c r="L1767" s="111">
        <v>0</v>
      </c>
      <c r="M1767" s="112"/>
    </row>
    <row r="1768" spans="1:13" x14ac:dyDescent="0.2">
      <c r="A1768" s="113" t="s">
        <v>45</v>
      </c>
      <c r="B1768" s="113" t="s">
        <v>140</v>
      </c>
      <c r="C1768" s="113" t="s">
        <v>223</v>
      </c>
      <c r="D1768" s="114">
        <v>50000</v>
      </c>
      <c r="E1768" s="115">
        <v>50000</v>
      </c>
      <c r="F1768" s="115">
        <v>50000</v>
      </c>
      <c r="G1768" s="115"/>
      <c r="H1768" s="116"/>
      <c r="I1768" s="114">
        <v>0</v>
      </c>
      <c r="J1768" s="115">
        <v>0</v>
      </c>
      <c r="K1768" s="115">
        <v>0</v>
      </c>
      <c r="L1768" s="115"/>
      <c r="M1768" s="116"/>
    </row>
    <row r="1769" spans="1:13" x14ac:dyDescent="0.2">
      <c r="A1769" t="s">
        <v>45</v>
      </c>
      <c r="B1769" t="s">
        <v>140</v>
      </c>
      <c r="C1769" t="s">
        <v>224</v>
      </c>
      <c r="D1769" s="110">
        <v>50000</v>
      </c>
      <c r="E1769" s="111">
        <v>50000</v>
      </c>
      <c r="F1769" s="111"/>
      <c r="G1769" s="111"/>
      <c r="H1769" s="112"/>
      <c r="I1769" s="110">
        <v>0</v>
      </c>
      <c r="J1769" s="111">
        <v>0</v>
      </c>
      <c r="K1769" s="111"/>
      <c r="L1769" s="111"/>
      <c r="M1769" s="112"/>
    </row>
    <row r="1770" spans="1:13" x14ac:dyDescent="0.2">
      <c r="A1770" s="117" t="s">
        <v>45</v>
      </c>
      <c r="B1770" s="117" t="s">
        <v>140</v>
      </c>
      <c r="C1770" s="117" t="s">
        <v>225</v>
      </c>
      <c r="D1770" s="118">
        <v>0</v>
      </c>
      <c r="E1770" s="119"/>
      <c r="F1770" s="119"/>
      <c r="G1770" s="119"/>
      <c r="H1770" s="120"/>
      <c r="I1770" s="118">
        <v>0</v>
      </c>
      <c r="J1770" s="119"/>
      <c r="K1770" s="119"/>
      <c r="L1770" s="119"/>
      <c r="M1770" s="120"/>
    </row>
    <row r="1771" spans="1:13" x14ac:dyDescent="0.2">
      <c r="A1771" t="s">
        <v>45</v>
      </c>
      <c r="B1771" t="s">
        <v>105</v>
      </c>
      <c r="C1771" t="s">
        <v>222</v>
      </c>
      <c r="D1771" s="110">
        <v>52632</v>
      </c>
      <c r="E1771" s="111">
        <v>52632</v>
      </c>
      <c r="F1771" s="111">
        <v>52682</v>
      </c>
      <c r="G1771" s="111">
        <v>52816</v>
      </c>
      <c r="H1771" s="112"/>
      <c r="I1771" s="110">
        <v>9551.5</v>
      </c>
      <c r="J1771" s="111">
        <v>14942.5</v>
      </c>
      <c r="K1771" s="111">
        <v>22123.5</v>
      </c>
      <c r="L1771" s="111">
        <v>24642.5</v>
      </c>
      <c r="M1771" s="112"/>
    </row>
    <row r="1772" spans="1:13" x14ac:dyDescent="0.2">
      <c r="A1772" s="113" t="s">
        <v>45</v>
      </c>
      <c r="B1772" s="113" t="s">
        <v>105</v>
      </c>
      <c r="C1772" s="113" t="s">
        <v>223</v>
      </c>
      <c r="D1772" s="114">
        <v>49300.75</v>
      </c>
      <c r="E1772" s="115">
        <v>49300.75</v>
      </c>
      <c r="F1772" s="115">
        <v>49373.75</v>
      </c>
      <c r="G1772" s="115"/>
      <c r="H1772" s="116"/>
      <c r="I1772" s="114">
        <v>7726.75</v>
      </c>
      <c r="J1772" s="115">
        <v>14227.75</v>
      </c>
      <c r="K1772" s="115">
        <v>16094.75</v>
      </c>
      <c r="L1772" s="115"/>
      <c r="M1772" s="116"/>
    </row>
    <row r="1773" spans="1:13" x14ac:dyDescent="0.2">
      <c r="A1773" t="s">
        <v>45</v>
      </c>
      <c r="B1773" t="s">
        <v>105</v>
      </c>
      <c r="C1773" t="s">
        <v>224</v>
      </c>
      <c r="D1773" s="110">
        <v>42971.5</v>
      </c>
      <c r="E1773" s="111">
        <v>43131.5</v>
      </c>
      <c r="F1773" s="111"/>
      <c r="G1773" s="111"/>
      <c r="H1773" s="112"/>
      <c r="I1773" s="110">
        <v>12502.5</v>
      </c>
      <c r="J1773" s="111">
        <v>22425.5</v>
      </c>
      <c r="K1773" s="111"/>
      <c r="L1773" s="111"/>
      <c r="M1773" s="112"/>
    </row>
    <row r="1774" spans="1:13" x14ac:dyDescent="0.2">
      <c r="A1774" s="117" t="s">
        <v>45</v>
      </c>
      <c r="B1774" s="117" t="s">
        <v>105</v>
      </c>
      <c r="C1774" s="117" t="s">
        <v>225</v>
      </c>
      <c r="D1774" s="118">
        <v>40972.5</v>
      </c>
      <c r="E1774" s="119"/>
      <c r="F1774" s="119"/>
      <c r="G1774" s="119"/>
      <c r="H1774" s="120"/>
      <c r="I1774" s="118">
        <v>6905.5</v>
      </c>
      <c r="J1774" s="119"/>
      <c r="K1774" s="119"/>
      <c r="L1774" s="119"/>
      <c r="M1774" s="120"/>
    </row>
    <row r="1775" spans="1:13" x14ac:dyDescent="0.2">
      <c r="A1775" t="s">
        <v>45</v>
      </c>
      <c r="B1775" t="s">
        <v>111</v>
      </c>
      <c r="C1775" t="s">
        <v>222</v>
      </c>
      <c r="D1775" s="110">
        <v>2615.5</v>
      </c>
      <c r="E1775" s="111">
        <v>2615.5</v>
      </c>
      <c r="F1775" s="111">
        <v>2615.5</v>
      </c>
      <c r="G1775" s="111">
        <v>2615.5</v>
      </c>
      <c r="H1775" s="112"/>
      <c r="I1775" s="110">
        <v>211</v>
      </c>
      <c r="J1775" s="111">
        <v>277.5</v>
      </c>
      <c r="K1775" s="111">
        <v>277.5</v>
      </c>
      <c r="L1775" s="111">
        <v>495.5</v>
      </c>
      <c r="M1775" s="112"/>
    </row>
    <row r="1776" spans="1:13" x14ac:dyDescent="0.2">
      <c r="A1776" s="113" t="s">
        <v>45</v>
      </c>
      <c r="B1776" s="113" t="s">
        <v>111</v>
      </c>
      <c r="C1776" s="113" t="s">
        <v>223</v>
      </c>
      <c r="D1776" s="114">
        <v>1352.5</v>
      </c>
      <c r="E1776" s="115">
        <v>1352.5</v>
      </c>
      <c r="F1776" s="115">
        <v>1352.5</v>
      </c>
      <c r="G1776" s="115"/>
      <c r="H1776" s="116"/>
      <c r="I1776" s="114">
        <v>73</v>
      </c>
      <c r="J1776" s="115">
        <v>349</v>
      </c>
      <c r="K1776" s="115">
        <v>349</v>
      </c>
      <c r="L1776" s="115"/>
      <c r="M1776" s="116"/>
    </row>
    <row r="1777" spans="1:13" x14ac:dyDescent="0.2">
      <c r="A1777" t="s">
        <v>45</v>
      </c>
      <c r="B1777" t="s">
        <v>111</v>
      </c>
      <c r="C1777" t="s">
        <v>224</v>
      </c>
      <c r="D1777" s="110">
        <v>1907</v>
      </c>
      <c r="E1777" s="111">
        <v>1907</v>
      </c>
      <c r="F1777" s="111"/>
      <c r="G1777" s="111"/>
      <c r="H1777" s="112"/>
      <c r="I1777" s="110">
        <v>5</v>
      </c>
      <c r="J1777" s="111">
        <v>5</v>
      </c>
      <c r="K1777" s="111"/>
      <c r="L1777" s="111"/>
      <c r="M1777" s="112"/>
    </row>
    <row r="1778" spans="1:13" x14ac:dyDescent="0.2">
      <c r="A1778" s="117" t="s">
        <v>45</v>
      </c>
      <c r="B1778" s="117" t="s">
        <v>111</v>
      </c>
      <c r="C1778" s="117" t="s">
        <v>225</v>
      </c>
      <c r="D1778" s="118">
        <v>1140</v>
      </c>
      <c r="E1778" s="119"/>
      <c r="F1778" s="119"/>
      <c r="G1778" s="119"/>
      <c r="H1778" s="120"/>
      <c r="I1778" s="118">
        <v>0</v>
      </c>
      <c r="J1778" s="119"/>
      <c r="K1778" s="119"/>
      <c r="L1778" s="119"/>
      <c r="M1778" s="120"/>
    </row>
    <row r="1779" spans="1:13" x14ac:dyDescent="0.2">
      <c r="A1779" s="124" t="s">
        <v>45</v>
      </c>
      <c r="B1779" s="124" t="s">
        <v>109</v>
      </c>
      <c r="C1779" s="124" t="s">
        <v>222</v>
      </c>
      <c r="D1779" s="125">
        <v>147934.5</v>
      </c>
      <c r="E1779" s="126">
        <v>147934.5</v>
      </c>
      <c r="F1779" s="126">
        <v>148087.5</v>
      </c>
      <c r="G1779" s="126">
        <v>148072.5</v>
      </c>
      <c r="H1779" s="127"/>
      <c r="I1779" s="125">
        <v>28969.5</v>
      </c>
      <c r="J1779" s="126">
        <v>66303.5</v>
      </c>
      <c r="K1779" s="126">
        <v>87576.5</v>
      </c>
      <c r="L1779" s="126">
        <v>102798.5</v>
      </c>
      <c r="M1779" s="127"/>
    </row>
    <row r="1780" spans="1:13" x14ac:dyDescent="0.2">
      <c r="A1780" s="113" t="s">
        <v>45</v>
      </c>
      <c r="B1780" s="113" t="s">
        <v>109</v>
      </c>
      <c r="C1780" s="113" t="s">
        <v>223</v>
      </c>
      <c r="D1780" s="114">
        <v>127439</v>
      </c>
      <c r="E1780" s="115">
        <v>127439</v>
      </c>
      <c r="F1780" s="115">
        <v>127027</v>
      </c>
      <c r="G1780" s="115"/>
      <c r="H1780" s="116"/>
      <c r="I1780" s="114">
        <v>13894</v>
      </c>
      <c r="J1780" s="115">
        <v>39822</v>
      </c>
      <c r="K1780" s="115">
        <v>55540</v>
      </c>
      <c r="L1780" s="115"/>
      <c r="M1780" s="116"/>
    </row>
    <row r="1781" spans="1:13" x14ac:dyDescent="0.2">
      <c r="A1781" t="s">
        <v>45</v>
      </c>
      <c r="B1781" t="s">
        <v>109</v>
      </c>
      <c r="C1781" t="s">
        <v>224</v>
      </c>
      <c r="D1781" s="110">
        <v>88063.25</v>
      </c>
      <c r="E1781" s="111">
        <v>88063.25</v>
      </c>
      <c r="F1781" s="111"/>
      <c r="G1781" s="111"/>
      <c r="H1781" s="112"/>
      <c r="I1781" s="110">
        <v>24723.25</v>
      </c>
      <c r="J1781" s="111">
        <v>43765.25</v>
      </c>
      <c r="K1781" s="111"/>
      <c r="L1781" s="111"/>
      <c r="M1781" s="112"/>
    </row>
    <row r="1782" spans="1:13" x14ac:dyDescent="0.2">
      <c r="A1782" s="117" t="s">
        <v>45</v>
      </c>
      <c r="B1782" s="117" t="s">
        <v>109</v>
      </c>
      <c r="C1782" s="117" t="s">
        <v>225</v>
      </c>
      <c r="D1782" s="118">
        <v>95011</v>
      </c>
      <c r="E1782" s="119"/>
      <c r="F1782" s="119"/>
      <c r="G1782" s="119"/>
      <c r="H1782" s="120"/>
      <c r="I1782" s="118">
        <v>23102</v>
      </c>
      <c r="J1782" s="119"/>
      <c r="K1782" s="119"/>
      <c r="L1782" s="119"/>
      <c r="M1782" s="120"/>
    </row>
    <row r="1783" spans="1:13" x14ac:dyDescent="0.2">
      <c r="A1783" t="s">
        <v>45</v>
      </c>
      <c r="B1783" t="s">
        <v>106</v>
      </c>
      <c r="C1783" t="s">
        <v>222</v>
      </c>
      <c r="D1783" s="110">
        <v>107647.99</v>
      </c>
      <c r="E1783" s="111">
        <v>107647.99</v>
      </c>
      <c r="F1783" s="111">
        <v>107647.99</v>
      </c>
      <c r="G1783" s="111">
        <v>107647.99</v>
      </c>
      <c r="H1783" s="112"/>
      <c r="I1783" s="110">
        <v>107564.99</v>
      </c>
      <c r="J1783" s="111">
        <v>107574.99</v>
      </c>
      <c r="K1783" s="111">
        <v>107574.99</v>
      </c>
      <c r="L1783" s="111">
        <v>107574.99</v>
      </c>
      <c r="M1783" s="112"/>
    </row>
    <row r="1784" spans="1:13" x14ac:dyDescent="0.2">
      <c r="A1784" s="113" t="s">
        <v>45</v>
      </c>
      <c r="B1784" s="113" t="s">
        <v>106</v>
      </c>
      <c r="C1784" s="113" t="s">
        <v>223</v>
      </c>
      <c r="D1784" s="114">
        <v>86932.66</v>
      </c>
      <c r="E1784" s="115">
        <v>86932.66</v>
      </c>
      <c r="F1784" s="115">
        <v>86932.66</v>
      </c>
      <c r="G1784" s="115"/>
      <c r="H1784" s="116"/>
      <c r="I1784" s="114">
        <v>85165.16</v>
      </c>
      <c r="J1784" s="115">
        <v>86062.66</v>
      </c>
      <c r="K1784" s="115">
        <v>86062.66</v>
      </c>
      <c r="L1784" s="115"/>
      <c r="M1784" s="116"/>
    </row>
    <row r="1785" spans="1:13" x14ac:dyDescent="0.2">
      <c r="A1785" t="s">
        <v>45</v>
      </c>
      <c r="B1785" t="s">
        <v>106</v>
      </c>
      <c r="C1785" t="s">
        <v>224</v>
      </c>
      <c r="D1785" s="110">
        <v>36563.18</v>
      </c>
      <c r="E1785" s="111">
        <v>36563.18</v>
      </c>
      <c r="F1785" s="111"/>
      <c r="G1785" s="111"/>
      <c r="H1785" s="112"/>
      <c r="I1785" s="110">
        <v>34341.86</v>
      </c>
      <c r="J1785" s="111">
        <v>35191.86</v>
      </c>
      <c r="K1785" s="111"/>
      <c r="L1785" s="111"/>
      <c r="M1785" s="112"/>
    </row>
    <row r="1786" spans="1:13" x14ac:dyDescent="0.2">
      <c r="A1786" s="117" t="s">
        <v>45</v>
      </c>
      <c r="B1786" s="117" t="s">
        <v>106</v>
      </c>
      <c r="C1786" s="117" t="s">
        <v>225</v>
      </c>
      <c r="D1786" s="118">
        <v>41931.82</v>
      </c>
      <c r="E1786" s="119"/>
      <c r="F1786" s="119"/>
      <c r="G1786" s="119"/>
      <c r="H1786" s="120"/>
      <c r="I1786" s="118">
        <v>39597.82</v>
      </c>
      <c r="J1786" s="119"/>
      <c r="K1786" s="119"/>
      <c r="L1786" s="119"/>
      <c r="M1786" s="120"/>
    </row>
    <row r="1787" spans="1:13" x14ac:dyDescent="0.2">
      <c r="A1787" t="s">
        <v>45</v>
      </c>
      <c r="B1787" t="s">
        <v>107</v>
      </c>
      <c r="C1787" t="s">
        <v>222</v>
      </c>
      <c r="D1787" s="110">
        <v>84062.88</v>
      </c>
      <c r="E1787" s="111">
        <v>84062.88</v>
      </c>
      <c r="F1787" s="111">
        <v>84062.88</v>
      </c>
      <c r="G1787" s="111">
        <v>84062.88</v>
      </c>
      <c r="H1787" s="112"/>
      <c r="I1787" s="110">
        <v>83152.88</v>
      </c>
      <c r="J1787" s="111">
        <v>83237.88</v>
      </c>
      <c r="K1787" s="111">
        <v>83237.88</v>
      </c>
      <c r="L1787" s="111">
        <v>83237.88</v>
      </c>
      <c r="M1787" s="112"/>
    </row>
    <row r="1788" spans="1:13" x14ac:dyDescent="0.2">
      <c r="A1788" s="113" t="s">
        <v>45</v>
      </c>
      <c r="B1788" s="113" t="s">
        <v>107</v>
      </c>
      <c r="C1788" s="113" t="s">
        <v>223</v>
      </c>
      <c r="D1788" s="114">
        <v>85882.65</v>
      </c>
      <c r="E1788" s="115">
        <v>85882.65</v>
      </c>
      <c r="F1788" s="115">
        <v>85882.65</v>
      </c>
      <c r="G1788" s="115"/>
      <c r="H1788" s="116"/>
      <c r="I1788" s="114">
        <v>85007.65</v>
      </c>
      <c r="J1788" s="115">
        <v>85872.65</v>
      </c>
      <c r="K1788" s="115">
        <v>85872.65</v>
      </c>
      <c r="L1788" s="115"/>
      <c r="M1788" s="116"/>
    </row>
    <row r="1789" spans="1:13" x14ac:dyDescent="0.2">
      <c r="A1789" t="s">
        <v>45</v>
      </c>
      <c r="B1789" t="s">
        <v>107</v>
      </c>
      <c r="C1789" t="s">
        <v>224</v>
      </c>
      <c r="D1789" s="110">
        <v>72819.3</v>
      </c>
      <c r="E1789" s="111">
        <v>72819.3</v>
      </c>
      <c r="F1789" s="111"/>
      <c r="G1789" s="111"/>
      <c r="H1789" s="112"/>
      <c r="I1789" s="110">
        <v>71364.3</v>
      </c>
      <c r="J1789" s="111">
        <v>72819.3</v>
      </c>
      <c r="K1789" s="111"/>
      <c r="L1789" s="111"/>
      <c r="M1789" s="112"/>
    </row>
    <row r="1790" spans="1:13" x14ac:dyDescent="0.2">
      <c r="A1790" s="117" t="s">
        <v>45</v>
      </c>
      <c r="B1790" s="117" t="s">
        <v>107</v>
      </c>
      <c r="C1790" s="117" t="s">
        <v>225</v>
      </c>
      <c r="D1790" s="118">
        <v>81570.7</v>
      </c>
      <c r="E1790" s="119"/>
      <c r="F1790" s="119"/>
      <c r="G1790" s="119"/>
      <c r="H1790" s="120"/>
      <c r="I1790" s="118">
        <v>80365.7</v>
      </c>
      <c r="J1790" s="119"/>
      <c r="K1790" s="119"/>
      <c r="L1790" s="119"/>
      <c r="M1790" s="120"/>
    </row>
    <row r="1791" spans="1:13" x14ac:dyDescent="0.2">
      <c r="A1791" t="s">
        <v>45</v>
      </c>
      <c r="B1791" t="s">
        <v>108</v>
      </c>
      <c r="C1791" t="s">
        <v>222</v>
      </c>
      <c r="D1791" s="110">
        <v>29790.5</v>
      </c>
      <c r="E1791" s="111">
        <v>29790.5</v>
      </c>
      <c r="F1791" s="111">
        <v>29790.5</v>
      </c>
      <c r="G1791" s="111">
        <v>29790.5</v>
      </c>
      <c r="H1791" s="112"/>
      <c r="I1791" s="110">
        <v>29544.5</v>
      </c>
      <c r="J1791" s="111">
        <v>29544.5</v>
      </c>
      <c r="K1791" s="111">
        <v>29544.5</v>
      </c>
      <c r="L1791" s="111">
        <v>29544.5</v>
      </c>
      <c r="M1791" s="112"/>
    </row>
    <row r="1792" spans="1:13" x14ac:dyDescent="0.2">
      <c r="A1792" s="113" t="s">
        <v>45</v>
      </c>
      <c r="B1792" s="113" t="s">
        <v>108</v>
      </c>
      <c r="C1792" s="113" t="s">
        <v>223</v>
      </c>
      <c r="D1792" s="114">
        <v>31070.5</v>
      </c>
      <c r="E1792" s="115">
        <v>31055.5</v>
      </c>
      <c r="F1792" s="115">
        <v>31055.5</v>
      </c>
      <c r="G1792" s="115"/>
      <c r="H1792" s="116"/>
      <c r="I1792" s="114">
        <v>30652.5</v>
      </c>
      <c r="J1792" s="115">
        <v>30652.5</v>
      </c>
      <c r="K1792" s="115">
        <v>30652.5</v>
      </c>
      <c r="L1792" s="115"/>
      <c r="M1792" s="116"/>
    </row>
    <row r="1793" spans="1:13" x14ac:dyDescent="0.2">
      <c r="A1793" t="s">
        <v>45</v>
      </c>
      <c r="B1793" t="s">
        <v>108</v>
      </c>
      <c r="C1793" t="s">
        <v>224</v>
      </c>
      <c r="D1793" s="110">
        <v>38130.5</v>
      </c>
      <c r="E1793" s="111">
        <v>38130.5</v>
      </c>
      <c r="F1793" s="111"/>
      <c r="G1793" s="111"/>
      <c r="H1793" s="112"/>
      <c r="I1793" s="110">
        <v>37550.5</v>
      </c>
      <c r="J1793" s="111">
        <v>37785.5</v>
      </c>
      <c r="K1793" s="111"/>
      <c r="L1793" s="111"/>
      <c r="M1793" s="112"/>
    </row>
    <row r="1794" spans="1:13" x14ac:dyDescent="0.2">
      <c r="A1794" s="117" t="s">
        <v>45</v>
      </c>
      <c r="B1794" s="117" t="s">
        <v>108</v>
      </c>
      <c r="C1794" s="117" t="s">
        <v>225</v>
      </c>
      <c r="D1794" s="118">
        <v>31370</v>
      </c>
      <c r="E1794" s="119"/>
      <c r="F1794" s="119"/>
      <c r="G1794" s="119"/>
      <c r="H1794" s="120"/>
      <c r="I1794" s="118">
        <v>30931</v>
      </c>
      <c r="J1794" s="119"/>
      <c r="K1794" s="119"/>
      <c r="L1794" s="119"/>
      <c r="M1794" s="120"/>
    </row>
    <row r="1795" spans="1:13" x14ac:dyDescent="0.2">
      <c r="A1795" t="s">
        <v>45</v>
      </c>
      <c r="B1795" t="s">
        <v>70</v>
      </c>
      <c r="C1795" t="s">
        <v>222</v>
      </c>
      <c r="D1795" s="110">
        <v>41881.96</v>
      </c>
      <c r="E1795" s="111">
        <v>41581.96</v>
      </c>
      <c r="F1795" s="111">
        <v>41581.96</v>
      </c>
      <c r="G1795" s="111">
        <v>41581.96</v>
      </c>
      <c r="H1795" s="112"/>
      <c r="I1795" s="110">
        <v>40359.93</v>
      </c>
      <c r="J1795" s="111">
        <v>40400.959999999999</v>
      </c>
      <c r="K1795" s="111">
        <v>40575.96</v>
      </c>
      <c r="L1795" s="111">
        <v>40853.96</v>
      </c>
      <c r="M1795" s="112"/>
    </row>
    <row r="1796" spans="1:13" x14ac:dyDescent="0.2">
      <c r="A1796" s="113" t="s">
        <v>45</v>
      </c>
      <c r="B1796" s="113" t="s">
        <v>70</v>
      </c>
      <c r="C1796" s="113" t="s">
        <v>223</v>
      </c>
      <c r="D1796" s="114">
        <v>43299.7</v>
      </c>
      <c r="E1796" s="115">
        <v>43299.7</v>
      </c>
      <c r="F1796" s="115">
        <v>43299.7</v>
      </c>
      <c r="G1796" s="115"/>
      <c r="H1796" s="116"/>
      <c r="I1796" s="114">
        <v>40021.89</v>
      </c>
      <c r="J1796" s="115">
        <v>40638.699999999997</v>
      </c>
      <c r="K1796" s="115">
        <v>40975.699999999997</v>
      </c>
      <c r="L1796" s="115"/>
      <c r="M1796" s="116"/>
    </row>
    <row r="1797" spans="1:13" x14ac:dyDescent="0.2">
      <c r="A1797" t="s">
        <v>45</v>
      </c>
      <c r="B1797" t="s">
        <v>70</v>
      </c>
      <c r="C1797" t="s">
        <v>224</v>
      </c>
      <c r="D1797" s="110">
        <v>48093.36</v>
      </c>
      <c r="E1797" s="111">
        <v>48089.36</v>
      </c>
      <c r="F1797" s="111"/>
      <c r="G1797" s="111"/>
      <c r="H1797" s="112"/>
      <c r="I1797" s="110">
        <v>46496.2</v>
      </c>
      <c r="J1797" s="111">
        <v>47477.25</v>
      </c>
      <c r="K1797" s="111"/>
      <c r="L1797" s="111"/>
      <c r="M1797" s="112"/>
    </row>
    <row r="1798" spans="1:13" x14ac:dyDescent="0.2">
      <c r="A1798" s="117" t="s">
        <v>45</v>
      </c>
      <c r="B1798" s="117" t="s">
        <v>70</v>
      </c>
      <c r="C1798" s="117" t="s">
        <v>225</v>
      </c>
      <c r="D1798" s="118">
        <v>57317.46</v>
      </c>
      <c r="E1798" s="119"/>
      <c r="F1798" s="119"/>
      <c r="G1798" s="119"/>
      <c r="H1798" s="120"/>
      <c r="I1798" s="118">
        <v>53263.8</v>
      </c>
      <c r="J1798" s="119"/>
      <c r="K1798" s="119"/>
      <c r="L1798" s="119"/>
      <c r="M1798" s="120"/>
    </row>
    <row r="1799" spans="1:13" x14ac:dyDescent="0.2">
      <c r="A1799" t="s">
        <v>45</v>
      </c>
      <c r="B1799" t="s">
        <v>110</v>
      </c>
      <c r="C1799" t="s">
        <v>222</v>
      </c>
      <c r="D1799" s="110">
        <v>355334.01</v>
      </c>
      <c r="E1799" s="111">
        <v>331778.65000000002</v>
      </c>
      <c r="F1799" s="111">
        <v>326654.25</v>
      </c>
      <c r="G1799" s="111">
        <v>325900.5</v>
      </c>
      <c r="H1799" s="112"/>
      <c r="I1799" s="110">
        <v>177054.65</v>
      </c>
      <c r="J1799" s="111">
        <v>271975.75</v>
      </c>
      <c r="K1799" s="111">
        <v>283808.65000000002</v>
      </c>
      <c r="L1799" s="111">
        <v>288633.59999999998</v>
      </c>
      <c r="M1799" s="112"/>
    </row>
    <row r="1800" spans="1:13" x14ac:dyDescent="0.2">
      <c r="A1800" s="113" t="s">
        <v>45</v>
      </c>
      <c r="B1800" s="113" t="s">
        <v>110</v>
      </c>
      <c r="C1800" s="113" t="s">
        <v>223</v>
      </c>
      <c r="D1800" s="114">
        <v>321829.40000000002</v>
      </c>
      <c r="E1800" s="115">
        <v>304124.09999999998</v>
      </c>
      <c r="F1800" s="115">
        <v>297895.09999999998</v>
      </c>
      <c r="G1800" s="115"/>
      <c r="H1800" s="116"/>
      <c r="I1800" s="114">
        <v>181469.3</v>
      </c>
      <c r="J1800" s="115">
        <v>233809.7</v>
      </c>
      <c r="K1800" s="115">
        <v>253267.4</v>
      </c>
      <c r="L1800" s="115"/>
      <c r="M1800" s="116"/>
    </row>
    <row r="1801" spans="1:13" x14ac:dyDescent="0.2">
      <c r="A1801" t="s">
        <v>45</v>
      </c>
      <c r="B1801" t="s">
        <v>110</v>
      </c>
      <c r="C1801" t="s">
        <v>224</v>
      </c>
      <c r="D1801" s="110">
        <v>190302.7</v>
      </c>
      <c r="E1801" s="111">
        <v>173367.7</v>
      </c>
      <c r="F1801" s="111"/>
      <c r="G1801" s="111"/>
      <c r="H1801" s="112"/>
      <c r="I1801" s="110">
        <v>74257.55</v>
      </c>
      <c r="J1801" s="111">
        <v>121119.75</v>
      </c>
      <c r="K1801" s="111"/>
      <c r="L1801" s="111"/>
      <c r="M1801" s="112"/>
    </row>
    <row r="1802" spans="1:13" ht="13.5" thickBot="1" x14ac:dyDescent="0.25">
      <c r="A1802" s="128" t="s">
        <v>45</v>
      </c>
      <c r="B1802" s="128" t="s">
        <v>110</v>
      </c>
      <c r="C1802" s="128" t="s">
        <v>225</v>
      </c>
      <c r="D1802" s="129">
        <v>188641.8</v>
      </c>
      <c r="E1802" s="130"/>
      <c r="F1802" s="130"/>
      <c r="G1802" s="130"/>
      <c r="H1802" s="131"/>
      <c r="I1802" s="129">
        <v>83113.7</v>
      </c>
      <c r="J1802" s="130"/>
      <c r="K1802" s="130"/>
      <c r="L1802" s="130"/>
      <c r="M1802" s="131"/>
    </row>
    <row r="1803" spans="1:13" x14ac:dyDescent="0.2">
      <c r="A1803" s="132" t="s">
        <v>46</v>
      </c>
      <c r="B1803" s="132" t="s">
        <v>104</v>
      </c>
      <c r="C1803" s="132" t="s">
        <v>222</v>
      </c>
      <c r="D1803" s="133">
        <v>535081.77</v>
      </c>
      <c r="E1803" s="134">
        <v>535031.77</v>
      </c>
      <c r="F1803" s="134">
        <v>534931.77</v>
      </c>
      <c r="G1803" s="134">
        <v>534931.77</v>
      </c>
      <c r="H1803" s="135"/>
      <c r="I1803" s="133">
        <v>25408.06</v>
      </c>
      <c r="J1803" s="134">
        <v>51009.65</v>
      </c>
      <c r="K1803" s="134">
        <v>69277.53</v>
      </c>
      <c r="L1803" s="134">
        <v>89889.16</v>
      </c>
      <c r="M1803" s="135"/>
    </row>
    <row r="1804" spans="1:13" x14ac:dyDescent="0.2">
      <c r="A1804" s="113" t="s">
        <v>46</v>
      </c>
      <c r="B1804" s="113" t="s">
        <v>104</v>
      </c>
      <c r="C1804" s="113" t="s">
        <v>223</v>
      </c>
      <c r="D1804" s="114">
        <v>1209496.03</v>
      </c>
      <c r="E1804" s="115">
        <v>1210513.03</v>
      </c>
      <c r="F1804" s="115">
        <v>1210463.03</v>
      </c>
      <c r="G1804" s="115"/>
      <c r="H1804" s="116"/>
      <c r="I1804" s="114">
        <v>32038.13</v>
      </c>
      <c r="J1804" s="115">
        <v>51756.66</v>
      </c>
      <c r="K1804" s="115">
        <v>65909.14</v>
      </c>
      <c r="L1804" s="115"/>
      <c r="M1804" s="116"/>
    </row>
    <row r="1805" spans="1:13" x14ac:dyDescent="0.2">
      <c r="A1805" t="s">
        <v>46</v>
      </c>
      <c r="B1805" t="s">
        <v>104</v>
      </c>
      <c r="C1805" t="s">
        <v>224</v>
      </c>
      <c r="D1805" s="110">
        <v>293601.89</v>
      </c>
      <c r="E1805" s="111">
        <v>293551.89</v>
      </c>
      <c r="F1805" s="111"/>
      <c r="G1805" s="111"/>
      <c r="H1805" s="112"/>
      <c r="I1805" s="110">
        <v>16196.74</v>
      </c>
      <c r="J1805" s="111">
        <v>21352.38</v>
      </c>
      <c r="K1805" s="111"/>
      <c r="L1805" s="111"/>
      <c r="M1805" s="112"/>
    </row>
    <row r="1806" spans="1:13" x14ac:dyDescent="0.2">
      <c r="A1806" s="117" t="s">
        <v>46</v>
      </c>
      <c r="B1806" s="117" t="s">
        <v>104</v>
      </c>
      <c r="C1806" s="117" t="s">
        <v>225</v>
      </c>
      <c r="D1806" s="118">
        <v>434592.35</v>
      </c>
      <c r="E1806" s="119"/>
      <c r="F1806" s="119"/>
      <c r="G1806" s="119"/>
      <c r="H1806" s="120"/>
      <c r="I1806" s="118">
        <v>29712.73</v>
      </c>
      <c r="J1806" s="119"/>
      <c r="K1806" s="119"/>
      <c r="L1806" s="119"/>
      <c r="M1806" s="120"/>
    </row>
    <row r="1807" spans="1:13" x14ac:dyDescent="0.2">
      <c r="A1807" t="s">
        <v>46</v>
      </c>
      <c r="B1807" t="s">
        <v>140</v>
      </c>
      <c r="C1807" t="s">
        <v>222</v>
      </c>
      <c r="D1807" s="110">
        <v>886707.51</v>
      </c>
      <c r="E1807" s="111">
        <v>886707.51</v>
      </c>
      <c r="F1807" s="111">
        <v>886757.51</v>
      </c>
      <c r="G1807" s="111">
        <v>886757.51</v>
      </c>
      <c r="H1807" s="112"/>
      <c r="I1807" s="110">
        <v>0</v>
      </c>
      <c r="J1807" s="111">
        <v>0</v>
      </c>
      <c r="K1807" s="111">
        <v>0</v>
      </c>
      <c r="L1807" s="111">
        <v>0</v>
      </c>
      <c r="M1807" s="112"/>
    </row>
    <row r="1808" spans="1:13" x14ac:dyDescent="0.2">
      <c r="A1808" s="113" t="s">
        <v>46</v>
      </c>
      <c r="B1808" s="113" t="s">
        <v>140</v>
      </c>
      <c r="C1808" s="113" t="s">
        <v>223</v>
      </c>
      <c r="D1808" s="114">
        <v>1007838.49</v>
      </c>
      <c r="E1808" s="115">
        <v>1007838.49</v>
      </c>
      <c r="F1808" s="115">
        <v>1007838.49</v>
      </c>
      <c r="G1808" s="115"/>
      <c r="H1808" s="116"/>
      <c r="I1808" s="114">
        <v>0</v>
      </c>
      <c r="J1808" s="115">
        <v>0</v>
      </c>
      <c r="K1808" s="115">
        <v>0</v>
      </c>
      <c r="L1808" s="115"/>
      <c r="M1808" s="116"/>
    </row>
    <row r="1809" spans="1:13" x14ac:dyDescent="0.2">
      <c r="A1809" t="s">
        <v>46</v>
      </c>
      <c r="B1809" t="s">
        <v>140</v>
      </c>
      <c r="C1809" t="s">
        <v>224</v>
      </c>
      <c r="D1809" s="110">
        <v>325779.89</v>
      </c>
      <c r="E1809" s="111">
        <v>325779.89</v>
      </c>
      <c r="F1809" s="111"/>
      <c r="G1809" s="111"/>
      <c r="H1809" s="112"/>
      <c r="I1809" s="110">
        <v>0</v>
      </c>
      <c r="J1809" s="111">
        <v>0</v>
      </c>
      <c r="K1809" s="111"/>
      <c r="L1809" s="111"/>
      <c r="M1809" s="112"/>
    </row>
    <row r="1810" spans="1:13" x14ac:dyDescent="0.2">
      <c r="A1810" s="117" t="s">
        <v>46</v>
      </c>
      <c r="B1810" s="117" t="s">
        <v>140</v>
      </c>
      <c r="C1810" s="117" t="s">
        <v>225</v>
      </c>
      <c r="D1810" s="118">
        <v>197307.9</v>
      </c>
      <c r="E1810" s="119"/>
      <c r="F1810" s="119"/>
      <c r="G1810" s="119"/>
      <c r="H1810" s="120"/>
      <c r="I1810" s="118">
        <v>0</v>
      </c>
      <c r="J1810" s="119"/>
      <c r="K1810" s="119"/>
      <c r="L1810" s="119"/>
      <c r="M1810" s="120"/>
    </row>
    <row r="1811" spans="1:13" x14ac:dyDescent="0.2">
      <c r="A1811" t="s">
        <v>46</v>
      </c>
      <c r="B1811" t="s">
        <v>105</v>
      </c>
      <c r="C1811" t="s">
        <v>222</v>
      </c>
      <c r="D1811" s="110">
        <v>280004.96000000002</v>
      </c>
      <c r="E1811" s="111">
        <v>281134.96000000002</v>
      </c>
      <c r="F1811" s="111">
        <v>281041.96000000002</v>
      </c>
      <c r="G1811" s="111">
        <v>281083.96000000002</v>
      </c>
      <c r="H1811" s="112"/>
      <c r="I1811" s="110">
        <v>77563.16</v>
      </c>
      <c r="J1811" s="111">
        <v>112915.49</v>
      </c>
      <c r="K1811" s="111">
        <v>129671.83</v>
      </c>
      <c r="L1811" s="111">
        <v>138259.73000000001</v>
      </c>
      <c r="M1811" s="112"/>
    </row>
    <row r="1812" spans="1:13" x14ac:dyDescent="0.2">
      <c r="A1812" s="113" t="s">
        <v>46</v>
      </c>
      <c r="B1812" s="113" t="s">
        <v>105</v>
      </c>
      <c r="C1812" s="113" t="s">
        <v>223</v>
      </c>
      <c r="D1812" s="114">
        <v>334688.73</v>
      </c>
      <c r="E1812" s="115">
        <v>336786.73</v>
      </c>
      <c r="F1812" s="115">
        <v>336881.73</v>
      </c>
      <c r="G1812" s="115"/>
      <c r="H1812" s="116"/>
      <c r="I1812" s="114">
        <v>116768.61</v>
      </c>
      <c r="J1812" s="115">
        <v>173807.94</v>
      </c>
      <c r="K1812" s="115">
        <v>187762.11</v>
      </c>
      <c r="L1812" s="115"/>
      <c r="M1812" s="116"/>
    </row>
    <row r="1813" spans="1:13" x14ac:dyDescent="0.2">
      <c r="A1813" t="s">
        <v>46</v>
      </c>
      <c r="B1813" t="s">
        <v>105</v>
      </c>
      <c r="C1813" t="s">
        <v>224</v>
      </c>
      <c r="D1813" s="110">
        <v>279759.52</v>
      </c>
      <c r="E1813" s="111">
        <v>281864.52</v>
      </c>
      <c r="F1813" s="111"/>
      <c r="G1813" s="111"/>
      <c r="H1813" s="112"/>
      <c r="I1813" s="110">
        <v>114524.09</v>
      </c>
      <c r="J1813" s="111">
        <v>164552.09</v>
      </c>
      <c r="K1813" s="111"/>
      <c r="L1813" s="111"/>
      <c r="M1813" s="112"/>
    </row>
    <row r="1814" spans="1:13" x14ac:dyDescent="0.2">
      <c r="A1814" s="117" t="s">
        <v>46</v>
      </c>
      <c r="B1814" s="117" t="s">
        <v>105</v>
      </c>
      <c r="C1814" s="117" t="s">
        <v>225</v>
      </c>
      <c r="D1814" s="118">
        <v>312107.03999999998</v>
      </c>
      <c r="E1814" s="119"/>
      <c r="F1814" s="119"/>
      <c r="G1814" s="119"/>
      <c r="H1814" s="120"/>
      <c r="I1814" s="118">
        <v>108237.66</v>
      </c>
      <c r="J1814" s="119"/>
      <c r="K1814" s="119"/>
      <c r="L1814" s="119"/>
      <c r="M1814" s="120"/>
    </row>
    <row r="1815" spans="1:13" x14ac:dyDescent="0.2">
      <c r="A1815" t="s">
        <v>46</v>
      </c>
      <c r="B1815" t="s">
        <v>111</v>
      </c>
      <c r="C1815" t="s">
        <v>222</v>
      </c>
      <c r="D1815" s="110">
        <v>18620.5</v>
      </c>
      <c r="E1815" s="111">
        <v>19035.5</v>
      </c>
      <c r="F1815" s="111">
        <v>19685.5</v>
      </c>
      <c r="G1815" s="111">
        <v>19685.5</v>
      </c>
      <c r="H1815" s="112"/>
      <c r="I1815" s="110">
        <v>3705.5</v>
      </c>
      <c r="J1815" s="111">
        <v>4170.5</v>
      </c>
      <c r="K1815" s="111">
        <v>4170.5</v>
      </c>
      <c r="L1815" s="111">
        <v>4495.5</v>
      </c>
      <c r="M1815" s="112"/>
    </row>
    <row r="1816" spans="1:13" x14ac:dyDescent="0.2">
      <c r="A1816" s="113" t="s">
        <v>46</v>
      </c>
      <c r="B1816" s="113" t="s">
        <v>111</v>
      </c>
      <c r="C1816" s="113" t="s">
        <v>223</v>
      </c>
      <c r="D1816" s="114">
        <v>36584.5</v>
      </c>
      <c r="E1816" s="115">
        <v>36634.5</v>
      </c>
      <c r="F1816" s="115">
        <v>36349.5</v>
      </c>
      <c r="G1816" s="115"/>
      <c r="H1816" s="116"/>
      <c r="I1816" s="114">
        <v>8119.5</v>
      </c>
      <c r="J1816" s="115">
        <v>13255.5</v>
      </c>
      <c r="K1816" s="115">
        <v>14218.58</v>
      </c>
      <c r="L1816" s="115"/>
      <c r="M1816" s="116"/>
    </row>
    <row r="1817" spans="1:13" x14ac:dyDescent="0.2">
      <c r="A1817" t="s">
        <v>46</v>
      </c>
      <c r="B1817" t="s">
        <v>111</v>
      </c>
      <c r="C1817" t="s">
        <v>224</v>
      </c>
      <c r="D1817" s="110">
        <v>34064.5</v>
      </c>
      <c r="E1817" s="111">
        <v>34114.5</v>
      </c>
      <c r="F1817" s="111"/>
      <c r="G1817" s="111"/>
      <c r="H1817" s="112"/>
      <c r="I1817" s="110">
        <v>11314</v>
      </c>
      <c r="J1817" s="111">
        <v>13662.5</v>
      </c>
      <c r="K1817" s="111"/>
      <c r="L1817" s="111"/>
      <c r="M1817" s="112"/>
    </row>
    <row r="1818" spans="1:13" x14ac:dyDescent="0.2">
      <c r="A1818" s="117" t="s">
        <v>46</v>
      </c>
      <c r="B1818" s="117" t="s">
        <v>111</v>
      </c>
      <c r="C1818" s="117" t="s">
        <v>225</v>
      </c>
      <c r="D1818" s="118">
        <v>27940.5</v>
      </c>
      <c r="E1818" s="119"/>
      <c r="F1818" s="119"/>
      <c r="G1818" s="119"/>
      <c r="H1818" s="120"/>
      <c r="I1818" s="118">
        <v>9443.5</v>
      </c>
      <c r="J1818" s="119"/>
      <c r="K1818" s="119"/>
      <c r="L1818" s="119"/>
      <c r="M1818" s="120"/>
    </row>
    <row r="1819" spans="1:13" x14ac:dyDescent="0.2">
      <c r="A1819" s="124" t="s">
        <v>46</v>
      </c>
      <c r="B1819" s="124" t="s">
        <v>109</v>
      </c>
      <c r="C1819" s="124" t="s">
        <v>222</v>
      </c>
      <c r="D1819" s="125">
        <v>310452.43</v>
      </c>
      <c r="E1819" s="126">
        <v>311851.43</v>
      </c>
      <c r="F1819" s="126">
        <v>311851.43</v>
      </c>
      <c r="G1819" s="126">
        <v>311851.43</v>
      </c>
      <c r="H1819" s="127"/>
      <c r="I1819" s="125">
        <v>106599.59</v>
      </c>
      <c r="J1819" s="126">
        <v>164079.12</v>
      </c>
      <c r="K1819" s="126">
        <v>197531.98</v>
      </c>
      <c r="L1819" s="126">
        <v>213064.37</v>
      </c>
      <c r="M1819" s="127"/>
    </row>
    <row r="1820" spans="1:13" x14ac:dyDescent="0.2">
      <c r="A1820" s="113" t="s">
        <v>46</v>
      </c>
      <c r="B1820" s="113" t="s">
        <v>109</v>
      </c>
      <c r="C1820" s="113" t="s">
        <v>223</v>
      </c>
      <c r="D1820" s="114">
        <v>366277.71</v>
      </c>
      <c r="E1820" s="115">
        <v>366702.71</v>
      </c>
      <c r="F1820" s="115">
        <v>366702.71</v>
      </c>
      <c r="G1820" s="115"/>
      <c r="H1820" s="116"/>
      <c r="I1820" s="114">
        <v>133383.69</v>
      </c>
      <c r="J1820" s="115">
        <v>205032.54</v>
      </c>
      <c r="K1820" s="115">
        <v>239185.88</v>
      </c>
      <c r="L1820" s="115"/>
      <c r="M1820" s="116"/>
    </row>
    <row r="1821" spans="1:13" x14ac:dyDescent="0.2">
      <c r="A1821" t="s">
        <v>46</v>
      </c>
      <c r="B1821" t="s">
        <v>109</v>
      </c>
      <c r="C1821" t="s">
        <v>224</v>
      </c>
      <c r="D1821" s="110">
        <v>211764.69</v>
      </c>
      <c r="E1821" s="111">
        <v>210964.69</v>
      </c>
      <c r="F1821" s="111"/>
      <c r="G1821" s="111"/>
      <c r="H1821" s="112"/>
      <c r="I1821" s="110">
        <v>79477.039999999994</v>
      </c>
      <c r="J1821" s="111">
        <v>119355.15</v>
      </c>
      <c r="K1821" s="111"/>
      <c r="L1821" s="111"/>
      <c r="M1821" s="112"/>
    </row>
    <row r="1822" spans="1:13" x14ac:dyDescent="0.2">
      <c r="A1822" s="117" t="s">
        <v>46</v>
      </c>
      <c r="B1822" s="117" t="s">
        <v>109</v>
      </c>
      <c r="C1822" s="117" t="s">
        <v>225</v>
      </c>
      <c r="D1822" s="118">
        <v>294215.81</v>
      </c>
      <c r="E1822" s="119"/>
      <c r="F1822" s="119"/>
      <c r="G1822" s="119"/>
      <c r="H1822" s="120"/>
      <c r="I1822" s="118">
        <v>104531.3</v>
      </c>
      <c r="J1822" s="119"/>
      <c r="K1822" s="119"/>
      <c r="L1822" s="119"/>
      <c r="M1822" s="120"/>
    </row>
    <row r="1823" spans="1:13" x14ac:dyDescent="0.2">
      <c r="A1823" t="s">
        <v>46</v>
      </c>
      <c r="B1823" t="s">
        <v>106</v>
      </c>
      <c r="C1823" t="s">
        <v>222</v>
      </c>
      <c r="D1823" s="110">
        <v>254174.68</v>
      </c>
      <c r="E1823" s="111">
        <v>253894.68</v>
      </c>
      <c r="F1823" s="111">
        <v>253894.68</v>
      </c>
      <c r="G1823" s="111">
        <v>253894.68</v>
      </c>
      <c r="H1823" s="112"/>
      <c r="I1823" s="110">
        <v>249863.67999999999</v>
      </c>
      <c r="J1823" s="111">
        <v>249583.68</v>
      </c>
      <c r="K1823" s="111">
        <v>249583.68</v>
      </c>
      <c r="L1823" s="111">
        <v>249633.68</v>
      </c>
      <c r="M1823" s="112"/>
    </row>
    <row r="1824" spans="1:13" x14ac:dyDescent="0.2">
      <c r="A1824" s="113" t="s">
        <v>46</v>
      </c>
      <c r="B1824" s="113" t="s">
        <v>106</v>
      </c>
      <c r="C1824" s="113" t="s">
        <v>223</v>
      </c>
      <c r="D1824" s="114">
        <v>235874.49</v>
      </c>
      <c r="E1824" s="115">
        <v>235874.49</v>
      </c>
      <c r="F1824" s="115">
        <v>235874.49</v>
      </c>
      <c r="G1824" s="115"/>
      <c r="H1824" s="116"/>
      <c r="I1824" s="114">
        <v>234131.99</v>
      </c>
      <c r="J1824" s="115">
        <v>234131.99</v>
      </c>
      <c r="K1824" s="115">
        <v>234131.99</v>
      </c>
      <c r="L1824" s="115"/>
      <c r="M1824" s="116"/>
    </row>
    <row r="1825" spans="1:13" x14ac:dyDescent="0.2">
      <c r="A1825" t="s">
        <v>46</v>
      </c>
      <c r="B1825" t="s">
        <v>106</v>
      </c>
      <c r="C1825" t="s">
        <v>224</v>
      </c>
      <c r="D1825" s="110">
        <v>105575.34</v>
      </c>
      <c r="E1825" s="111">
        <v>105575.34</v>
      </c>
      <c r="F1825" s="111"/>
      <c r="G1825" s="111"/>
      <c r="H1825" s="112"/>
      <c r="I1825" s="110">
        <v>104210.34</v>
      </c>
      <c r="J1825" s="111">
        <v>104210.34</v>
      </c>
      <c r="K1825" s="111"/>
      <c r="L1825" s="111"/>
      <c r="M1825" s="112"/>
    </row>
    <row r="1826" spans="1:13" x14ac:dyDescent="0.2">
      <c r="A1826" s="117" t="s">
        <v>46</v>
      </c>
      <c r="B1826" s="117" t="s">
        <v>106</v>
      </c>
      <c r="C1826" s="117" t="s">
        <v>225</v>
      </c>
      <c r="D1826" s="118">
        <v>158111.78</v>
      </c>
      <c r="E1826" s="119"/>
      <c r="F1826" s="119"/>
      <c r="G1826" s="119"/>
      <c r="H1826" s="120"/>
      <c r="I1826" s="118">
        <v>155401.28</v>
      </c>
      <c r="J1826" s="119"/>
      <c r="K1826" s="119"/>
      <c r="L1826" s="119"/>
      <c r="M1826" s="120"/>
    </row>
    <row r="1827" spans="1:13" x14ac:dyDescent="0.2">
      <c r="A1827" t="s">
        <v>46</v>
      </c>
      <c r="B1827" t="s">
        <v>107</v>
      </c>
      <c r="C1827" t="s">
        <v>222</v>
      </c>
      <c r="D1827" s="110">
        <v>232717.83</v>
      </c>
      <c r="E1827" s="111">
        <v>232807.83</v>
      </c>
      <c r="F1827" s="111">
        <v>232807.83</v>
      </c>
      <c r="G1827" s="111">
        <v>232807.83</v>
      </c>
      <c r="H1827" s="112"/>
      <c r="I1827" s="110">
        <v>228630.83</v>
      </c>
      <c r="J1827" s="111">
        <v>228720.83</v>
      </c>
      <c r="K1827" s="111">
        <v>228720.83</v>
      </c>
      <c r="L1827" s="111">
        <v>228720.83</v>
      </c>
      <c r="M1827" s="112"/>
    </row>
    <row r="1828" spans="1:13" x14ac:dyDescent="0.2">
      <c r="A1828" s="113" t="s">
        <v>46</v>
      </c>
      <c r="B1828" s="113" t="s">
        <v>107</v>
      </c>
      <c r="C1828" s="113" t="s">
        <v>223</v>
      </c>
      <c r="D1828" s="114">
        <v>257882.15</v>
      </c>
      <c r="E1828" s="115">
        <v>257882.15</v>
      </c>
      <c r="F1828" s="115">
        <v>257792.15</v>
      </c>
      <c r="G1828" s="115"/>
      <c r="H1828" s="116"/>
      <c r="I1828" s="114">
        <v>256051.48</v>
      </c>
      <c r="J1828" s="115">
        <v>256051.48</v>
      </c>
      <c r="K1828" s="115">
        <v>255961.48</v>
      </c>
      <c r="L1828" s="115"/>
      <c r="M1828" s="116"/>
    </row>
    <row r="1829" spans="1:13" x14ac:dyDescent="0.2">
      <c r="A1829" t="s">
        <v>46</v>
      </c>
      <c r="B1829" t="s">
        <v>107</v>
      </c>
      <c r="C1829" t="s">
        <v>224</v>
      </c>
      <c r="D1829" s="110">
        <v>144236.66</v>
      </c>
      <c r="E1829" s="111">
        <v>144236.66</v>
      </c>
      <c r="F1829" s="111"/>
      <c r="G1829" s="111"/>
      <c r="H1829" s="112"/>
      <c r="I1829" s="110">
        <v>143291.66</v>
      </c>
      <c r="J1829" s="111">
        <v>143291.66</v>
      </c>
      <c r="K1829" s="111"/>
      <c r="L1829" s="111"/>
      <c r="M1829" s="112"/>
    </row>
    <row r="1830" spans="1:13" x14ac:dyDescent="0.2">
      <c r="A1830" s="117" t="s">
        <v>46</v>
      </c>
      <c r="B1830" s="117" t="s">
        <v>107</v>
      </c>
      <c r="C1830" s="117" t="s">
        <v>225</v>
      </c>
      <c r="D1830" s="118">
        <v>191539.78</v>
      </c>
      <c r="E1830" s="119"/>
      <c r="F1830" s="119"/>
      <c r="G1830" s="119"/>
      <c r="H1830" s="120"/>
      <c r="I1830" s="118">
        <v>190245.28</v>
      </c>
      <c r="J1830" s="119"/>
      <c r="K1830" s="119"/>
      <c r="L1830" s="119"/>
      <c r="M1830" s="120"/>
    </row>
    <row r="1831" spans="1:13" x14ac:dyDescent="0.2">
      <c r="A1831" t="s">
        <v>46</v>
      </c>
      <c r="B1831" t="s">
        <v>108</v>
      </c>
      <c r="C1831" t="s">
        <v>222</v>
      </c>
      <c r="D1831" s="110">
        <v>63872.5</v>
      </c>
      <c r="E1831" s="111">
        <v>63872.5</v>
      </c>
      <c r="F1831" s="111">
        <v>63872.5</v>
      </c>
      <c r="G1831" s="111">
        <v>63872.5</v>
      </c>
      <c r="H1831" s="112"/>
      <c r="I1831" s="110">
        <v>61650.5</v>
      </c>
      <c r="J1831" s="111">
        <v>61650.5</v>
      </c>
      <c r="K1831" s="111">
        <v>61650.5</v>
      </c>
      <c r="L1831" s="111">
        <v>61650.5</v>
      </c>
      <c r="M1831" s="112"/>
    </row>
    <row r="1832" spans="1:13" x14ac:dyDescent="0.2">
      <c r="A1832" s="113" t="s">
        <v>46</v>
      </c>
      <c r="B1832" s="113" t="s">
        <v>108</v>
      </c>
      <c r="C1832" s="113" t="s">
        <v>223</v>
      </c>
      <c r="D1832" s="114">
        <v>70461.95</v>
      </c>
      <c r="E1832" s="115">
        <v>70461.95</v>
      </c>
      <c r="F1832" s="115">
        <v>70461.95</v>
      </c>
      <c r="G1832" s="115"/>
      <c r="H1832" s="116"/>
      <c r="I1832" s="114">
        <v>67501.95</v>
      </c>
      <c r="J1832" s="115">
        <v>67505.95</v>
      </c>
      <c r="K1832" s="115">
        <v>67505.95</v>
      </c>
      <c r="L1832" s="115"/>
      <c r="M1832" s="116"/>
    </row>
    <row r="1833" spans="1:13" x14ac:dyDescent="0.2">
      <c r="A1833" t="s">
        <v>46</v>
      </c>
      <c r="B1833" t="s">
        <v>108</v>
      </c>
      <c r="C1833" t="s">
        <v>224</v>
      </c>
      <c r="D1833" s="110">
        <v>59474.5</v>
      </c>
      <c r="E1833" s="111">
        <v>59474.5</v>
      </c>
      <c r="F1833" s="111"/>
      <c r="G1833" s="111"/>
      <c r="H1833" s="112"/>
      <c r="I1833" s="110">
        <v>57147.5</v>
      </c>
      <c r="J1833" s="111">
        <v>57147.5</v>
      </c>
      <c r="K1833" s="111"/>
      <c r="L1833" s="111"/>
      <c r="M1833" s="112"/>
    </row>
    <row r="1834" spans="1:13" x14ac:dyDescent="0.2">
      <c r="A1834" s="117" t="s">
        <v>46</v>
      </c>
      <c r="B1834" s="117" t="s">
        <v>108</v>
      </c>
      <c r="C1834" s="117" t="s">
        <v>225</v>
      </c>
      <c r="D1834" s="118">
        <v>72619</v>
      </c>
      <c r="E1834" s="119"/>
      <c r="F1834" s="119"/>
      <c r="G1834" s="119"/>
      <c r="H1834" s="120"/>
      <c r="I1834" s="118">
        <v>71753</v>
      </c>
      <c r="J1834" s="119"/>
      <c r="K1834" s="119"/>
      <c r="L1834" s="119"/>
      <c r="M1834" s="120"/>
    </row>
    <row r="1835" spans="1:13" x14ac:dyDescent="0.2">
      <c r="A1835" t="s">
        <v>46</v>
      </c>
      <c r="B1835" t="s">
        <v>70</v>
      </c>
      <c r="C1835" t="s">
        <v>222</v>
      </c>
      <c r="D1835" s="110">
        <v>178481.4</v>
      </c>
      <c r="E1835" s="111">
        <v>178481.4</v>
      </c>
      <c r="F1835" s="111">
        <v>178481.4</v>
      </c>
      <c r="G1835" s="111">
        <v>178483.4</v>
      </c>
      <c r="H1835" s="112"/>
      <c r="I1835" s="110">
        <v>150474.35</v>
      </c>
      <c r="J1835" s="111">
        <v>150932.35</v>
      </c>
      <c r="K1835" s="111">
        <v>150932.35</v>
      </c>
      <c r="L1835" s="111">
        <v>150934.35</v>
      </c>
      <c r="M1835" s="112"/>
    </row>
    <row r="1836" spans="1:13" x14ac:dyDescent="0.2">
      <c r="A1836" s="113" t="s">
        <v>46</v>
      </c>
      <c r="B1836" s="113" t="s">
        <v>70</v>
      </c>
      <c r="C1836" s="113" t="s">
        <v>223</v>
      </c>
      <c r="D1836" s="114">
        <v>170932.4</v>
      </c>
      <c r="E1836" s="115">
        <v>170369.4</v>
      </c>
      <c r="F1836" s="115">
        <v>170369.4</v>
      </c>
      <c r="G1836" s="115"/>
      <c r="H1836" s="116"/>
      <c r="I1836" s="114">
        <v>148638.9</v>
      </c>
      <c r="J1836" s="115">
        <v>147930.9</v>
      </c>
      <c r="K1836" s="115">
        <v>148388.9</v>
      </c>
      <c r="L1836" s="115"/>
      <c r="M1836" s="116"/>
    </row>
    <row r="1837" spans="1:13" x14ac:dyDescent="0.2">
      <c r="A1837" t="s">
        <v>46</v>
      </c>
      <c r="B1837" t="s">
        <v>70</v>
      </c>
      <c r="C1837" t="s">
        <v>224</v>
      </c>
      <c r="D1837" s="110">
        <v>157976.5</v>
      </c>
      <c r="E1837" s="111">
        <v>158036.5</v>
      </c>
      <c r="F1837" s="111"/>
      <c r="G1837" s="111"/>
      <c r="H1837" s="112"/>
      <c r="I1837" s="110">
        <v>138491.5</v>
      </c>
      <c r="J1837" s="111">
        <v>138811.5</v>
      </c>
      <c r="K1837" s="111"/>
      <c r="L1837" s="111"/>
      <c r="M1837" s="112"/>
    </row>
    <row r="1838" spans="1:13" x14ac:dyDescent="0.2">
      <c r="A1838" s="117" t="s">
        <v>46</v>
      </c>
      <c r="B1838" s="117" t="s">
        <v>70</v>
      </c>
      <c r="C1838" s="117" t="s">
        <v>225</v>
      </c>
      <c r="D1838" s="118">
        <v>182064.9</v>
      </c>
      <c r="E1838" s="119"/>
      <c r="F1838" s="119"/>
      <c r="G1838" s="119"/>
      <c r="H1838" s="120"/>
      <c r="I1838" s="118">
        <v>159948.4</v>
      </c>
      <c r="J1838" s="119"/>
      <c r="K1838" s="119"/>
      <c r="L1838" s="119"/>
      <c r="M1838" s="120"/>
    </row>
    <row r="1839" spans="1:13" x14ac:dyDescent="0.2">
      <c r="A1839" t="s">
        <v>46</v>
      </c>
      <c r="B1839" t="s">
        <v>110</v>
      </c>
      <c r="C1839" t="s">
        <v>222</v>
      </c>
      <c r="D1839" s="110">
        <v>780301.52</v>
      </c>
      <c r="E1839" s="111">
        <v>787439.17</v>
      </c>
      <c r="F1839" s="111">
        <v>787827.07</v>
      </c>
      <c r="G1839" s="111">
        <v>787759.07</v>
      </c>
      <c r="H1839" s="112"/>
      <c r="I1839" s="110">
        <v>489955.44</v>
      </c>
      <c r="J1839" s="111">
        <v>624458.43999999994</v>
      </c>
      <c r="K1839" s="111">
        <v>660319.56000000006</v>
      </c>
      <c r="L1839" s="111">
        <v>672387.04</v>
      </c>
      <c r="M1839" s="112"/>
    </row>
    <row r="1840" spans="1:13" x14ac:dyDescent="0.2">
      <c r="A1840" s="113" t="s">
        <v>46</v>
      </c>
      <c r="B1840" s="113" t="s">
        <v>110</v>
      </c>
      <c r="C1840" s="113" t="s">
        <v>223</v>
      </c>
      <c r="D1840" s="114">
        <v>818181.61</v>
      </c>
      <c r="E1840" s="115">
        <v>817918.25</v>
      </c>
      <c r="F1840" s="115">
        <v>821927.15</v>
      </c>
      <c r="G1840" s="115"/>
      <c r="H1840" s="116"/>
      <c r="I1840" s="114">
        <v>523194.98</v>
      </c>
      <c r="J1840" s="115">
        <v>649978.92000000004</v>
      </c>
      <c r="K1840" s="115">
        <v>680286.38</v>
      </c>
      <c r="L1840" s="115"/>
      <c r="M1840" s="116"/>
    </row>
    <row r="1841" spans="1:13" x14ac:dyDescent="0.2">
      <c r="A1841" t="s">
        <v>46</v>
      </c>
      <c r="B1841" t="s">
        <v>110</v>
      </c>
      <c r="C1841" t="s">
        <v>224</v>
      </c>
      <c r="D1841" s="110">
        <v>404613.35</v>
      </c>
      <c r="E1841" s="111">
        <v>404112.55</v>
      </c>
      <c r="F1841" s="111"/>
      <c r="G1841" s="111"/>
      <c r="H1841" s="112"/>
      <c r="I1841" s="110">
        <v>226942.39</v>
      </c>
      <c r="J1841" s="111">
        <v>305153.90999999997</v>
      </c>
      <c r="K1841" s="111"/>
      <c r="L1841" s="111"/>
      <c r="M1841" s="112"/>
    </row>
    <row r="1842" spans="1:13" ht="13.5" thickBot="1" x14ac:dyDescent="0.25">
      <c r="A1842" s="128" t="s">
        <v>46</v>
      </c>
      <c r="B1842" s="128" t="s">
        <v>110</v>
      </c>
      <c r="C1842" s="128" t="s">
        <v>225</v>
      </c>
      <c r="D1842" s="129">
        <v>603127.05000000005</v>
      </c>
      <c r="E1842" s="130"/>
      <c r="F1842" s="130"/>
      <c r="G1842" s="130"/>
      <c r="H1842" s="131"/>
      <c r="I1842" s="129">
        <v>348279.58</v>
      </c>
      <c r="J1842" s="130"/>
      <c r="K1842" s="130"/>
      <c r="L1842" s="130"/>
      <c r="M1842" s="131"/>
    </row>
    <row r="1843" spans="1:13" x14ac:dyDescent="0.2">
      <c r="A1843" s="132" t="s">
        <v>47</v>
      </c>
      <c r="B1843" s="132" t="s">
        <v>104</v>
      </c>
      <c r="C1843" s="132" t="s">
        <v>222</v>
      </c>
      <c r="D1843" s="133">
        <v>227287.66</v>
      </c>
      <c r="E1843" s="134">
        <v>227287.66</v>
      </c>
      <c r="F1843" s="134">
        <v>227153.66</v>
      </c>
      <c r="G1843" s="134">
        <v>227153.66</v>
      </c>
      <c r="H1843" s="135"/>
      <c r="I1843" s="133">
        <v>1710</v>
      </c>
      <c r="J1843" s="134">
        <v>6413.98</v>
      </c>
      <c r="K1843" s="134">
        <v>9123.51</v>
      </c>
      <c r="L1843" s="134">
        <v>12205.13</v>
      </c>
      <c r="M1843" s="135"/>
    </row>
    <row r="1844" spans="1:13" x14ac:dyDescent="0.2">
      <c r="A1844" s="113" t="s">
        <v>47</v>
      </c>
      <c r="B1844" s="113" t="s">
        <v>104</v>
      </c>
      <c r="C1844" s="113" t="s">
        <v>223</v>
      </c>
      <c r="D1844" s="114">
        <v>156950.73000000001</v>
      </c>
      <c r="E1844" s="115">
        <v>156950.73000000001</v>
      </c>
      <c r="F1844" s="115">
        <v>156950.73000000001</v>
      </c>
      <c r="G1844" s="115"/>
      <c r="H1844" s="116"/>
      <c r="I1844" s="114">
        <v>3340.98</v>
      </c>
      <c r="J1844" s="115">
        <v>6378.99</v>
      </c>
      <c r="K1844" s="115">
        <v>9477.27</v>
      </c>
      <c r="L1844" s="115"/>
      <c r="M1844" s="116"/>
    </row>
    <row r="1845" spans="1:13" x14ac:dyDescent="0.2">
      <c r="A1845" t="s">
        <v>47</v>
      </c>
      <c r="B1845" t="s">
        <v>104</v>
      </c>
      <c r="C1845" t="s">
        <v>224</v>
      </c>
      <c r="D1845" s="110">
        <v>57731</v>
      </c>
      <c r="E1845" s="111">
        <v>57951</v>
      </c>
      <c r="F1845" s="111"/>
      <c r="G1845" s="111"/>
      <c r="H1845" s="112"/>
      <c r="I1845" s="110">
        <v>2275.5300000000002</v>
      </c>
      <c r="J1845" s="111">
        <v>3734</v>
      </c>
      <c r="K1845" s="111"/>
      <c r="L1845" s="111"/>
      <c r="M1845" s="112"/>
    </row>
    <row r="1846" spans="1:13" x14ac:dyDescent="0.2">
      <c r="A1846" s="117" t="s">
        <v>47</v>
      </c>
      <c r="B1846" s="117" t="s">
        <v>104</v>
      </c>
      <c r="C1846" s="117" t="s">
        <v>225</v>
      </c>
      <c r="D1846" s="118">
        <v>198653.65</v>
      </c>
      <c r="E1846" s="119"/>
      <c r="F1846" s="119"/>
      <c r="G1846" s="119"/>
      <c r="H1846" s="120"/>
      <c r="I1846" s="118">
        <v>2501.8200000000002</v>
      </c>
      <c r="J1846" s="119"/>
      <c r="K1846" s="119"/>
      <c r="L1846" s="119"/>
      <c r="M1846" s="120"/>
    </row>
    <row r="1847" spans="1:13" x14ac:dyDescent="0.2">
      <c r="A1847" t="s">
        <v>47</v>
      </c>
      <c r="B1847" t="s">
        <v>140</v>
      </c>
      <c r="C1847" t="s">
        <v>222</v>
      </c>
      <c r="D1847" s="110">
        <v>100000</v>
      </c>
      <c r="E1847" s="111">
        <v>100000</v>
      </c>
      <c r="F1847" s="111">
        <v>100000</v>
      </c>
      <c r="G1847" s="111">
        <v>100000</v>
      </c>
      <c r="H1847" s="112"/>
      <c r="I1847" s="110">
        <v>0</v>
      </c>
      <c r="J1847" s="111">
        <v>0</v>
      </c>
      <c r="K1847" s="111">
        <v>0</v>
      </c>
      <c r="L1847" s="111">
        <v>0</v>
      </c>
      <c r="M1847" s="112"/>
    </row>
    <row r="1848" spans="1:13" x14ac:dyDescent="0.2">
      <c r="A1848" s="113" t="s">
        <v>47</v>
      </c>
      <c r="B1848" s="113" t="s">
        <v>140</v>
      </c>
      <c r="C1848" s="113" t="s">
        <v>223</v>
      </c>
      <c r="D1848" s="114">
        <v>50000</v>
      </c>
      <c r="E1848" s="115">
        <v>50000</v>
      </c>
      <c r="F1848" s="115">
        <v>50000</v>
      </c>
      <c r="G1848" s="115"/>
      <c r="H1848" s="116"/>
      <c r="I1848" s="114">
        <v>0</v>
      </c>
      <c r="J1848" s="115">
        <v>0</v>
      </c>
      <c r="K1848" s="115">
        <v>0</v>
      </c>
      <c r="L1848" s="115"/>
      <c r="M1848" s="116"/>
    </row>
    <row r="1849" spans="1:13" x14ac:dyDescent="0.2">
      <c r="A1849" t="s">
        <v>47</v>
      </c>
      <c r="B1849" t="s">
        <v>140</v>
      </c>
      <c r="C1849" t="s">
        <v>224</v>
      </c>
      <c r="D1849" s="110">
        <v>0</v>
      </c>
      <c r="E1849" s="111">
        <v>0</v>
      </c>
      <c r="F1849" s="111"/>
      <c r="G1849" s="111"/>
      <c r="H1849" s="112"/>
      <c r="I1849" s="110">
        <v>0</v>
      </c>
      <c r="J1849" s="111">
        <v>0</v>
      </c>
      <c r="K1849" s="111"/>
      <c r="L1849" s="111"/>
      <c r="M1849" s="112"/>
    </row>
    <row r="1850" spans="1:13" x14ac:dyDescent="0.2">
      <c r="A1850" s="117" t="s">
        <v>47</v>
      </c>
      <c r="B1850" s="117" t="s">
        <v>140</v>
      </c>
      <c r="C1850" s="117" t="s">
        <v>225</v>
      </c>
      <c r="D1850" s="118">
        <v>100000</v>
      </c>
      <c r="E1850" s="119"/>
      <c r="F1850" s="119"/>
      <c r="G1850" s="119"/>
      <c r="H1850" s="120"/>
      <c r="I1850" s="118">
        <v>0</v>
      </c>
      <c r="J1850" s="119"/>
      <c r="K1850" s="119"/>
      <c r="L1850" s="119"/>
      <c r="M1850" s="120"/>
    </row>
    <row r="1851" spans="1:13" x14ac:dyDescent="0.2">
      <c r="A1851" t="s">
        <v>47</v>
      </c>
      <c r="B1851" t="s">
        <v>105</v>
      </c>
      <c r="C1851" t="s">
        <v>222</v>
      </c>
      <c r="D1851" s="110">
        <v>66368.5</v>
      </c>
      <c r="E1851" s="111">
        <v>64673.5</v>
      </c>
      <c r="F1851" s="111">
        <v>64673.5</v>
      </c>
      <c r="G1851" s="111">
        <v>64673.5</v>
      </c>
      <c r="H1851" s="112"/>
      <c r="I1851" s="110">
        <v>7836.5</v>
      </c>
      <c r="J1851" s="111">
        <v>18089</v>
      </c>
      <c r="K1851" s="111">
        <v>20398.5</v>
      </c>
      <c r="L1851" s="111">
        <v>23506.5</v>
      </c>
      <c r="M1851" s="112"/>
    </row>
    <row r="1852" spans="1:13" x14ac:dyDescent="0.2">
      <c r="A1852" s="113" t="s">
        <v>47</v>
      </c>
      <c r="B1852" s="113" t="s">
        <v>105</v>
      </c>
      <c r="C1852" s="113" t="s">
        <v>223</v>
      </c>
      <c r="D1852" s="114">
        <v>49450.5</v>
      </c>
      <c r="E1852" s="115">
        <v>49450.5</v>
      </c>
      <c r="F1852" s="115">
        <v>49695.5</v>
      </c>
      <c r="G1852" s="115"/>
      <c r="H1852" s="116"/>
      <c r="I1852" s="114">
        <v>8699.5</v>
      </c>
      <c r="J1852" s="115">
        <v>17647</v>
      </c>
      <c r="K1852" s="115">
        <v>19767.5</v>
      </c>
      <c r="L1852" s="115"/>
      <c r="M1852" s="116"/>
    </row>
    <row r="1853" spans="1:13" x14ac:dyDescent="0.2">
      <c r="A1853" t="s">
        <v>47</v>
      </c>
      <c r="B1853" t="s">
        <v>105</v>
      </c>
      <c r="C1853" t="s">
        <v>224</v>
      </c>
      <c r="D1853" s="110">
        <v>26250</v>
      </c>
      <c r="E1853" s="111">
        <v>26560</v>
      </c>
      <c r="F1853" s="111"/>
      <c r="G1853" s="111"/>
      <c r="H1853" s="112"/>
      <c r="I1853" s="110">
        <v>5587</v>
      </c>
      <c r="J1853" s="111">
        <v>11659.5</v>
      </c>
      <c r="K1853" s="111"/>
      <c r="L1853" s="111"/>
      <c r="M1853" s="112"/>
    </row>
    <row r="1854" spans="1:13" x14ac:dyDescent="0.2">
      <c r="A1854" s="117" t="s">
        <v>47</v>
      </c>
      <c r="B1854" s="117" t="s">
        <v>105</v>
      </c>
      <c r="C1854" s="117" t="s">
        <v>225</v>
      </c>
      <c r="D1854" s="118">
        <v>52122.25</v>
      </c>
      <c r="E1854" s="119"/>
      <c r="F1854" s="119"/>
      <c r="G1854" s="119"/>
      <c r="H1854" s="120"/>
      <c r="I1854" s="118">
        <v>8670</v>
      </c>
      <c r="J1854" s="119"/>
      <c r="K1854" s="119"/>
      <c r="L1854" s="119"/>
      <c r="M1854" s="120"/>
    </row>
    <row r="1855" spans="1:13" x14ac:dyDescent="0.2">
      <c r="A1855" t="s">
        <v>47</v>
      </c>
      <c r="B1855" t="s">
        <v>111</v>
      </c>
      <c r="C1855" t="s">
        <v>222</v>
      </c>
      <c r="D1855" s="110">
        <v>8150</v>
      </c>
      <c r="E1855" s="111">
        <v>7580</v>
      </c>
      <c r="F1855" s="111">
        <v>7580</v>
      </c>
      <c r="G1855" s="111">
        <v>7580</v>
      </c>
      <c r="H1855" s="112"/>
      <c r="I1855" s="110">
        <v>30</v>
      </c>
      <c r="J1855" s="111">
        <v>30</v>
      </c>
      <c r="K1855" s="111">
        <v>80</v>
      </c>
      <c r="L1855" s="111">
        <v>80</v>
      </c>
      <c r="M1855" s="112"/>
    </row>
    <row r="1856" spans="1:13" x14ac:dyDescent="0.2">
      <c r="A1856" s="113" t="s">
        <v>47</v>
      </c>
      <c r="B1856" s="113" t="s">
        <v>111</v>
      </c>
      <c r="C1856" s="113" t="s">
        <v>223</v>
      </c>
      <c r="D1856" s="114">
        <v>3403.5</v>
      </c>
      <c r="E1856" s="115">
        <v>3403.5</v>
      </c>
      <c r="F1856" s="115">
        <v>3263.5</v>
      </c>
      <c r="G1856" s="115"/>
      <c r="H1856" s="116"/>
      <c r="I1856" s="114">
        <v>23.5</v>
      </c>
      <c r="J1856" s="115">
        <v>73.5</v>
      </c>
      <c r="K1856" s="115">
        <v>73.5</v>
      </c>
      <c r="L1856" s="115"/>
      <c r="M1856" s="116"/>
    </row>
    <row r="1857" spans="1:13" x14ac:dyDescent="0.2">
      <c r="A1857" t="s">
        <v>47</v>
      </c>
      <c r="B1857" t="s">
        <v>111</v>
      </c>
      <c r="C1857" t="s">
        <v>224</v>
      </c>
      <c r="D1857" s="110">
        <v>2063.5</v>
      </c>
      <c r="E1857" s="111">
        <v>2153.5</v>
      </c>
      <c r="F1857" s="111"/>
      <c r="G1857" s="111"/>
      <c r="H1857" s="112"/>
      <c r="I1857" s="110">
        <v>3.5</v>
      </c>
      <c r="J1857" s="111">
        <v>248.5</v>
      </c>
      <c r="K1857" s="111"/>
      <c r="L1857" s="111"/>
      <c r="M1857" s="112"/>
    </row>
    <row r="1858" spans="1:13" x14ac:dyDescent="0.2">
      <c r="A1858" s="117" t="s">
        <v>47</v>
      </c>
      <c r="B1858" s="117" t="s">
        <v>111</v>
      </c>
      <c r="C1858" s="117" t="s">
        <v>225</v>
      </c>
      <c r="D1858" s="118">
        <v>4090.5</v>
      </c>
      <c r="E1858" s="119"/>
      <c r="F1858" s="119"/>
      <c r="G1858" s="119"/>
      <c r="H1858" s="120"/>
      <c r="I1858" s="118">
        <v>10.5</v>
      </c>
      <c r="J1858" s="119"/>
      <c r="K1858" s="119"/>
      <c r="L1858" s="119"/>
      <c r="M1858" s="120"/>
    </row>
    <row r="1859" spans="1:13" x14ac:dyDescent="0.2">
      <c r="A1859" s="124" t="s">
        <v>47</v>
      </c>
      <c r="B1859" s="124" t="s">
        <v>109</v>
      </c>
      <c r="C1859" s="124" t="s">
        <v>222</v>
      </c>
      <c r="D1859" s="125">
        <v>125804.45</v>
      </c>
      <c r="E1859" s="126">
        <v>123946.45</v>
      </c>
      <c r="F1859" s="126">
        <v>122946.45</v>
      </c>
      <c r="G1859" s="126">
        <v>122946.45</v>
      </c>
      <c r="H1859" s="127"/>
      <c r="I1859" s="125">
        <v>39892</v>
      </c>
      <c r="J1859" s="126">
        <v>67230</v>
      </c>
      <c r="K1859" s="126">
        <v>74986.759999999995</v>
      </c>
      <c r="L1859" s="126">
        <v>80102.73</v>
      </c>
      <c r="M1859" s="127"/>
    </row>
    <row r="1860" spans="1:13" x14ac:dyDescent="0.2">
      <c r="A1860" s="113" t="s">
        <v>47</v>
      </c>
      <c r="B1860" s="113" t="s">
        <v>109</v>
      </c>
      <c r="C1860" s="113" t="s">
        <v>223</v>
      </c>
      <c r="D1860" s="114">
        <v>116866.5</v>
      </c>
      <c r="E1860" s="115">
        <v>116866.5</v>
      </c>
      <c r="F1860" s="115">
        <v>116766.5</v>
      </c>
      <c r="G1860" s="115"/>
      <c r="H1860" s="116"/>
      <c r="I1860" s="114">
        <v>47469.75</v>
      </c>
      <c r="J1860" s="115">
        <v>59620.75</v>
      </c>
      <c r="K1860" s="115">
        <v>70272.25</v>
      </c>
      <c r="L1860" s="115"/>
      <c r="M1860" s="116"/>
    </row>
    <row r="1861" spans="1:13" x14ac:dyDescent="0.2">
      <c r="A1861" t="s">
        <v>47</v>
      </c>
      <c r="B1861" t="s">
        <v>109</v>
      </c>
      <c r="C1861" t="s">
        <v>224</v>
      </c>
      <c r="D1861" s="110">
        <v>61210</v>
      </c>
      <c r="E1861" s="111">
        <v>61210</v>
      </c>
      <c r="F1861" s="111"/>
      <c r="G1861" s="111"/>
      <c r="H1861" s="112"/>
      <c r="I1861" s="110">
        <v>16939.5</v>
      </c>
      <c r="J1861" s="111">
        <v>37028</v>
      </c>
      <c r="K1861" s="111"/>
      <c r="L1861" s="111"/>
      <c r="M1861" s="112"/>
    </row>
    <row r="1862" spans="1:13" x14ac:dyDescent="0.2">
      <c r="A1862" s="117" t="s">
        <v>47</v>
      </c>
      <c r="B1862" s="117" t="s">
        <v>109</v>
      </c>
      <c r="C1862" s="117" t="s">
        <v>225</v>
      </c>
      <c r="D1862" s="118">
        <v>62473.75</v>
      </c>
      <c r="E1862" s="119"/>
      <c r="F1862" s="119"/>
      <c r="G1862" s="119"/>
      <c r="H1862" s="120"/>
      <c r="I1862" s="118">
        <v>24331.75</v>
      </c>
      <c r="J1862" s="119"/>
      <c r="K1862" s="119"/>
      <c r="L1862" s="119"/>
      <c r="M1862" s="120"/>
    </row>
    <row r="1863" spans="1:13" x14ac:dyDescent="0.2">
      <c r="A1863" t="s">
        <v>47</v>
      </c>
      <c r="B1863" t="s">
        <v>106</v>
      </c>
      <c r="C1863" t="s">
        <v>222</v>
      </c>
      <c r="D1863" s="110">
        <v>43425</v>
      </c>
      <c r="E1863" s="111">
        <v>43825</v>
      </c>
      <c r="F1863" s="111">
        <v>43825</v>
      </c>
      <c r="G1863" s="111">
        <v>43825</v>
      </c>
      <c r="H1863" s="112"/>
      <c r="I1863" s="110">
        <v>40240</v>
      </c>
      <c r="J1863" s="111">
        <v>42350</v>
      </c>
      <c r="K1863" s="111">
        <v>42350</v>
      </c>
      <c r="L1863" s="111">
        <v>42350</v>
      </c>
      <c r="M1863" s="112"/>
    </row>
    <row r="1864" spans="1:13" x14ac:dyDescent="0.2">
      <c r="A1864" s="113" t="s">
        <v>47</v>
      </c>
      <c r="B1864" s="113" t="s">
        <v>106</v>
      </c>
      <c r="C1864" s="113" t="s">
        <v>223</v>
      </c>
      <c r="D1864" s="114">
        <v>43797</v>
      </c>
      <c r="E1864" s="115">
        <v>43797</v>
      </c>
      <c r="F1864" s="115">
        <v>43797</v>
      </c>
      <c r="G1864" s="115"/>
      <c r="H1864" s="116"/>
      <c r="I1864" s="114">
        <v>40357</v>
      </c>
      <c r="J1864" s="115">
        <v>43227</v>
      </c>
      <c r="K1864" s="115">
        <v>43227</v>
      </c>
      <c r="L1864" s="115"/>
      <c r="M1864" s="116"/>
    </row>
    <row r="1865" spans="1:13" x14ac:dyDescent="0.2">
      <c r="A1865" t="s">
        <v>47</v>
      </c>
      <c r="B1865" t="s">
        <v>106</v>
      </c>
      <c r="C1865" t="s">
        <v>224</v>
      </c>
      <c r="D1865" s="110">
        <v>20777.5</v>
      </c>
      <c r="E1865" s="111">
        <v>20777.5</v>
      </c>
      <c r="F1865" s="111"/>
      <c r="G1865" s="111"/>
      <c r="H1865" s="112"/>
      <c r="I1865" s="110">
        <v>19457.5</v>
      </c>
      <c r="J1865" s="111">
        <v>20327.5</v>
      </c>
      <c r="K1865" s="111"/>
      <c r="L1865" s="111"/>
      <c r="M1865" s="112"/>
    </row>
    <row r="1866" spans="1:13" x14ac:dyDescent="0.2">
      <c r="A1866" s="117" t="s">
        <v>47</v>
      </c>
      <c r="B1866" s="117" t="s">
        <v>106</v>
      </c>
      <c r="C1866" s="117" t="s">
        <v>225</v>
      </c>
      <c r="D1866" s="118">
        <v>18179.5</v>
      </c>
      <c r="E1866" s="119"/>
      <c r="F1866" s="119"/>
      <c r="G1866" s="119"/>
      <c r="H1866" s="120"/>
      <c r="I1866" s="118">
        <v>17379.5</v>
      </c>
      <c r="J1866" s="119"/>
      <c r="K1866" s="119"/>
      <c r="L1866" s="119"/>
      <c r="M1866" s="120"/>
    </row>
    <row r="1867" spans="1:13" x14ac:dyDescent="0.2">
      <c r="A1867" t="s">
        <v>47</v>
      </c>
      <c r="B1867" t="s">
        <v>107</v>
      </c>
      <c r="C1867" t="s">
        <v>222</v>
      </c>
      <c r="D1867" s="110">
        <v>44296</v>
      </c>
      <c r="E1867" s="111">
        <v>44001</v>
      </c>
      <c r="F1867" s="111">
        <v>44001</v>
      </c>
      <c r="G1867" s="111">
        <v>44001</v>
      </c>
      <c r="H1867" s="112"/>
      <c r="I1867" s="110">
        <v>44286</v>
      </c>
      <c r="J1867" s="111">
        <v>44001</v>
      </c>
      <c r="K1867" s="111">
        <v>44001</v>
      </c>
      <c r="L1867" s="111">
        <v>44001</v>
      </c>
      <c r="M1867" s="112"/>
    </row>
    <row r="1868" spans="1:13" x14ac:dyDescent="0.2">
      <c r="A1868" s="113" t="s">
        <v>47</v>
      </c>
      <c r="B1868" s="113" t="s">
        <v>107</v>
      </c>
      <c r="C1868" s="113" t="s">
        <v>223</v>
      </c>
      <c r="D1868" s="114">
        <v>52262.5</v>
      </c>
      <c r="E1868" s="115">
        <v>52572.5</v>
      </c>
      <c r="F1868" s="115">
        <v>52572.5</v>
      </c>
      <c r="G1868" s="115"/>
      <c r="H1868" s="116"/>
      <c r="I1868" s="114">
        <v>51937.5</v>
      </c>
      <c r="J1868" s="115">
        <v>52572.5</v>
      </c>
      <c r="K1868" s="115">
        <v>52572.5</v>
      </c>
      <c r="L1868" s="115"/>
      <c r="M1868" s="116"/>
    </row>
    <row r="1869" spans="1:13" x14ac:dyDescent="0.2">
      <c r="A1869" t="s">
        <v>47</v>
      </c>
      <c r="B1869" t="s">
        <v>107</v>
      </c>
      <c r="C1869" t="s">
        <v>224</v>
      </c>
      <c r="D1869" s="110">
        <v>23285.5</v>
      </c>
      <c r="E1869" s="111">
        <v>23285.5</v>
      </c>
      <c r="F1869" s="111"/>
      <c r="G1869" s="111"/>
      <c r="H1869" s="112"/>
      <c r="I1869" s="110">
        <v>23285.5</v>
      </c>
      <c r="J1869" s="111">
        <v>23285.5</v>
      </c>
      <c r="K1869" s="111"/>
      <c r="L1869" s="111"/>
      <c r="M1869" s="112"/>
    </row>
    <row r="1870" spans="1:13" x14ac:dyDescent="0.2">
      <c r="A1870" s="117" t="s">
        <v>47</v>
      </c>
      <c r="B1870" s="117" t="s">
        <v>107</v>
      </c>
      <c r="C1870" s="117" t="s">
        <v>225</v>
      </c>
      <c r="D1870" s="118">
        <v>26260</v>
      </c>
      <c r="E1870" s="119"/>
      <c r="F1870" s="119"/>
      <c r="G1870" s="119"/>
      <c r="H1870" s="120"/>
      <c r="I1870" s="118">
        <v>25365</v>
      </c>
      <c r="J1870" s="119"/>
      <c r="K1870" s="119"/>
      <c r="L1870" s="119"/>
      <c r="M1870" s="120"/>
    </row>
    <row r="1871" spans="1:13" x14ac:dyDescent="0.2">
      <c r="A1871" t="s">
        <v>47</v>
      </c>
      <c r="B1871" t="s">
        <v>108</v>
      </c>
      <c r="C1871" t="s">
        <v>222</v>
      </c>
      <c r="D1871" s="110">
        <v>14065.5</v>
      </c>
      <c r="E1871" s="111">
        <v>14065.5</v>
      </c>
      <c r="F1871" s="111">
        <v>14065.5</v>
      </c>
      <c r="G1871" s="111">
        <v>14065.5</v>
      </c>
      <c r="H1871" s="112"/>
      <c r="I1871" s="110">
        <v>14065.5</v>
      </c>
      <c r="J1871" s="111">
        <v>14065.5</v>
      </c>
      <c r="K1871" s="111">
        <v>14065.5</v>
      </c>
      <c r="L1871" s="111">
        <v>14065.5</v>
      </c>
      <c r="M1871" s="112"/>
    </row>
    <row r="1872" spans="1:13" x14ac:dyDescent="0.2">
      <c r="A1872" s="113" t="s">
        <v>47</v>
      </c>
      <c r="B1872" s="113" t="s">
        <v>108</v>
      </c>
      <c r="C1872" s="113" t="s">
        <v>223</v>
      </c>
      <c r="D1872" s="114">
        <v>14549.5</v>
      </c>
      <c r="E1872" s="115">
        <v>14549.5</v>
      </c>
      <c r="F1872" s="115">
        <v>14549.5</v>
      </c>
      <c r="G1872" s="115"/>
      <c r="H1872" s="116"/>
      <c r="I1872" s="114">
        <v>14314.5</v>
      </c>
      <c r="J1872" s="115">
        <v>14549.5</v>
      </c>
      <c r="K1872" s="115">
        <v>14549.5</v>
      </c>
      <c r="L1872" s="115"/>
      <c r="M1872" s="116"/>
    </row>
    <row r="1873" spans="1:13" x14ac:dyDescent="0.2">
      <c r="A1873" t="s">
        <v>47</v>
      </c>
      <c r="B1873" t="s">
        <v>108</v>
      </c>
      <c r="C1873" t="s">
        <v>224</v>
      </c>
      <c r="D1873" s="110">
        <v>13053</v>
      </c>
      <c r="E1873" s="111">
        <v>13053</v>
      </c>
      <c r="F1873" s="111"/>
      <c r="G1873" s="111"/>
      <c r="H1873" s="112"/>
      <c r="I1873" s="110">
        <v>12653</v>
      </c>
      <c r="J1873" s="111">
        <v>13053</v>
      </c>
      <c r="K1873" s="111"/>
      <c r="L1873" s="111"/>
      <c r="M1873" s="112"/>
    </row>
    <row r="1874" spans="1:13" x14ac:dyDescent="0.2">
      <c r="A1874" s="117" t="s">
        <v>47</v>
      </c>
      <c r="B1874" s="117" t="s">
        <v>108</v>
      </c>
      <c r="C1874" s="117" t="s">
        <v>225</v>
      </c>
      <c r="D1874" s="118">
        <v>16628.5</v>
      </c>
      <c r="E1874" s="119"/>
      <c r="F1874" s="119"/>
      <c r="G1874" s="119"/>
      <c r="H1874" s="120"/>
      <c r="I1874" s="118">
        <v>16628.5</v>
      </c>
      <c r="J1874" s="119"/>
      <c r="K1874" s="119"/>
      <c r="L1874" s="119"/>
      <c r="M1874" s="120"/>
    </row>
    <row r="1875" spans="1:13" x14ac:dyDescent="0.2">
      <c r="A1875" t="s">
        <v>47</v>
      </c>
      <c r="B1875" t="s">
        <v>70</v>
      </c>
      <c r="C1875" t="s">
        <v>222</v>
      </c>
      <c r="D1875" s="110">
        <v>21479</v>
      </c>
      <c r="E1875" s="111">
        <v>21479</v>
      </c>
      <c r="F1875" s="111">
        <v>21479</v>
      </c>
      <c r="G1875" s="111">
        <v>21479</v>
      </c>
      <c r="H1875" s="112"/>
      <c r="I1875" s="110">
        <v>20414.5</v>
      </c>
      <c r="J1875" s="111">
        <v>20832.5</v>
      </c>
      <c r="K1875" s="111">
        <v>20832.5</v>
      </c>
      <c r="L1875" s="111">
        <v>20832.5</v>
      </c>
      <c r="M1875" s="112"/>
    </row>
    <row r="1876" spans="1:13" x14ac:dyDescent="0.2">
      <c r="A1876" s="113" t="s">
        <v>47</v>
      </c>
      <c r="B1876" s="113" t="s">
        <v>70</v>
      </c>
      <c r="C1876" s="113" t="s">
        <v>223</v>
      </c>
      <c r="D1876" s="114">
        <v>23420</v>
      </c>
      <c r="E1876" s="115">
        <v>23012</v>
      </c>
      <c r="F1876" s="115">
        <v>23012</v>
      </c>
      <c r="G1876" s="115"/>
      <c r="H1876" s="116"/>
      <c r="I1876" s="114">
        <v>21130</v>
      </c>
      <c r="J1876" s="115">
        <v>21130</v>
      </c>
      <c r="K1876" s="115">
        <v>21130</v>
      </c>
      <c r="L1876" s="115"/>
      <c r="M1876" s="116"/>
    </row>
    <row r="1877" spans="1:13" x14ac:dyDescent="0.2">
      <c r="A1877" t="s">
        <v>47</v>
      </c>
      <c r="B1877" t="s">
        <v>70</v>
      </c>
      <c r="C1877" t="s">
        <v>224</v>
      </c>
      <c r="D1877" s="110">
        <v>16390.5</v>
      </c>
      <c r="E1877" s="111">
        <v>16390.5</v>
      </c>
      <c r="F1877" s="111"/>
      <c r="G1877" s="111"/>
      <c r="H1877" s="112"/>
      <c r="I1877" s="110">
        <v>15682.5</v>
      </c>
      <c r="J1877" s="111">
        <v>15682.5</v>
      </c>
      <c r="K1877" s="111"/>
      <c r="L1877" s="111"/>
      <c r="M1877" s="112"/>
    </row>
    <row r="1878" spans="1:13" x14ac:dyDescent="0.2">
      <c r="A1878" s="117" t="s">
        <v>47</v>
      </c>
      <c r="B1878" s="117" t="s">
        <v>70</v>
      </c>
      <c r="C1878" s="117" t="s">
        <v>225</v>
      </c>
      <c r="D1878" s="118">
        <v>28180.5</v>
      </c>
      <c r="E1878" s="119"/>
      <c r="F1878" s="119"/>
      <c r="G1878" s="119"/>
      <c r="H1878" s="120"/>
      <c r="I1878" s="118">
        <v>27875</v>
      </c>
      <c r="J1878" s="119"/>
      <c r="K1878" s="119"/>
      <c r="L1878" s="119"/>
      <c r="M1878" s="120"/>
    </row>
    <row r="1879" spans="1:13" x14ac:dyDescent="0.2">
      <c r="A1879" t="s">
        <v>47</v>
      </c>
      <c r="B1879" t="s">
        <v>110</v>
      </c>
      <c r="C1879" t="s">
        <v>222</v>
      </c>
      <c r="D1879" s="110">
        <v>149453.20000000001</v>
      </c>
      <c r="E1879" s="111">
        <v>147082.6</v>
      </c>
      <c r="F1879" s="111">
        <v>146934.6</v>
      </c>
      <c r="G1879" s="111">
        <v>146934.6</v>
      </c>
      <c r="H1879" s="112"/>
      <c r="I1879" s="110">
        <v>74014.8</v>
      </c>
      <c r="J1879" s="111">
        <v>123956.05</v>
      </c>
      <c r="K1879" s="111">
        <v>127938.1</v>
      </c>
      <c r="L1879" s="111">
        <v>131368.6</v>
      </c>
      <c r="M1879" s="112"/>
    </row>
    <row r="1880" spans="1:13" x14ac:dyDescent="0.2">
      <c r="A1880" s="113" t="s">
        <v>47</v>
      </c>
      <c r="B1880" s="113" t="s">
        <v>110</v>
      </c>
      <c r="C1880" s="113" t="s">
        <v>223</v>
      </c>
      <c r="D1880" s="114">
        <v>106369.16</v>
      </c>
      <c r="E1880" s="115">
        <v>105846.36</v>
      </c>
      <c r="F1880" s="115">
        <v>105785.36</v>
      </c>
      <c r="G1880" s="115"/>
      <c r="H1880" s="116"/>
      <c r="I1880" s="114">
        <v>61656.66</v>
      </c>
      <c r="J1880" s="115">
        <v>81817.91</v>
      </c>
      <c r="K1880" s="115">
        <v>90965.86</v>
      </c>
      <c r="L1880" s="115"/>
      <c r="M1880" s="116"/>
    </row>
    <row r="1881" spans="1:13" x14ac:dyDescent="0.2">
      <c r="A1881" t="s">
        <v>47</v>
      </c>
      <c r="B1881" t="s">
        <v>110</v>
      </c>
      <c r="C1881" t="s">
        <v>224</v>
      </c>
      <c r="D1881" s="110">
        <v>59045.55</v>
      </c>
      <c r="E1881" s="111">
        <v>55431.01</v>
      </c>
      <c r="F1881" s="111"/>
      <c r="G1881" s="111"/>
      <c r="H1881" s="112"/>
      <c r="I1881" s="110">
        <v>22861.55</v>
      </c>
      <c r="J1881" s="111">
        <v>44832.01</v>
      </c>
      <c r="K1881" s="111"/>
      <c r="L1881" s="111"/>
      <c r="M1881" s="112"/>
    </row>
    <row r="1882" spans="1:13" ht="13.5" thickBot="1" x14ac:dyDescent="0.25">
      <c r="A1882" s="128" t="s">
        <v>47</v>
      </c>
      <c r="B1882" s="128" t="s">
        <v>110</v>
      </c>
      <c r="C1882" s="128" t="s">
        <v>225</v>
      </c>
      <c r="D1882" s="129">
        <v>74228.25</v>
      </c>
      <c r="E1882" s="130"/>
      <c r="F1882" s="130"/>
      <c r="G1882" s="130"/>
      <c r="H1882" s="131"/>
      <c r="I1882" s="129">
        <v>33475.25</v>
      </c>
      <c r="J1882" s="130"/>
      <c r="K1882" s="130"/>
      <c r="L1882" s="130"/>
      <c r="M1882" s="131"/>
    </row>
    <row r="1883" spans="1:13" x14ac:dyDescent="0.2">
      <c r="A1883" s="132" t="s">
        <v>48</v>
      </c>
      <c r="B1883" s="132" t="s">
        <v>104</v>
      </c>
      <c r="C1883" s="132" t="s">
        <v>222</v>
      </c>
      <c r="D1883" s="133">
        <v>2265279</v>
      </c>
      <c r="E1883" s="134">
        <v>2233690</v>
      </c>
      <c r="F1883" s="134">
        <v>2226610</v>
      </c>
      <c r="G1883" s="134">
        <v>2222022</v>
      </c>
      <c r="H1883" s="135"/>
      <c r="I1883" s="133">
        <v>98510</v>
      </c>
      <c r="J1883" s="134">
        <v>162545</v>
      </c>
      <c r="K1883" s="134">
        <v>192176</v>
      </c>
      <c r="L1883" s="134">
        <v>230619</v>
      </c>
      <c r="M1883" s="135"/>
    </row>
    <row r="1884" spans="1:13" x14ac:dyDescent="0.2">
      <c r="A1884" s="113" t="s">
        <v>48</v>
      </c>
      <c r="B1884" s="113" t="s">
        <v>104</v>
      </c>
      <c r="C1884" s="113" t="s">
        <v>223</v>
      </c>
      <c r="D1884" s="114">
        <v>1641255</v>
      </c>
      <c r="E1884" s="115">
        <v>1621380</v>
      </c>
      <c r="F1884" s="115">
        <v>1613530</v>
      </c>
      <c r="G1884" s="115"/>
      <c r="H1884" s="116"/>
      <c r="I1884" s="114">
        <v>92704</v>
      </c>
      <c r="J1884" s="115">
        <v>134981</v>
      </c>
      <c r="K1884" s="115">
        <v>173862</v>
      </c>
      <c r="L1884" s="115"/>
      <c r="M1884" s="116"/>
    </row>
    <row r="1885" spans="1:13" x14ac:dyDescent="0.2">
      <c r="A1885" t="s">
        <v>48</v>
      </c>
      <c r="B1885" t="s">
        <v>104</v>
      </c>
      <c r="C1885" t="s">
        <v>224</v>
      </c>
      <c r="D1885" s="110">
        <v>667472</v>
      </c>
      <c r="E1885" s="111">
        <v>663765</v>
      </c>
      <c r="F1885" s="111"/>
      <c r="G1885" s="111"/>
      <c r="H1885" s="112"/>
      <c r="I1885" s="110">
        <v>42143</v>
      </c>
      <c r="J1885" s="111">
        <v>75091</v>
      </c>
      <c r="K1885" s="111"/>
      <c r="L1885" s="111"/>
      <c r="M1885" s="112"/>
    </row>
    <row r="1886" spans="1:13" x14ac:dyDescent="0.2">
      <c r="A1886" s="117" t="s">
        <v>48</v>
      </c>
      <c r="B1886" s="117" t="s">
        <v>104</v>
      </c>
      <c r="C1886" s="117" t="s">
        <v>225</v>
      </c>
      <c r="D1886" s="118">
        <v>1013283</v>
      </c>
      <c r="E1886" s="119"/>
      <c r="F1886" s="119"/>
      <c r="G1886" s="119"/>
      <c r="H1886" s="120"/>
      <c r="I1886" s="118">
        <v>66227</v>
      </c>
      <c r="J1886" s="119"/>
      <c r="K1886" s="119"/>
      <c r="L1886" s="119"/>
      <c r="M1886" s="120"/>
    </row>
    <row r="1887" spans="1:13" x14ac:dyDescent="0.2">
      <c r="A1887" t="s">
        <v>48</v>
      </c>
      <c r="B1887" t="s">
        <v>140</v>
      </c>
      <c r="C1887" t="s">
        <v>222</v>
      </c>
      <c r="D1887" s="110">
        <v>898802</v>
      </c>
      <c r="E1887" s="111">
        <v>898302</v>
      </c>
      <c r="F1887" s="111">
        <v>898202</v>
      </c>
      <c r="G1887" s="111">
        <v>898052</v>
      </c>
      <c r="H1887" s="112"/>
      <c r="I1887" s="110">
        <v>1649</v>
      </c>
      <c r="J1887" s="111">
        <v>2400</v>
      </c>
      <c r="K1887" s="111">
        <v>2422</v>
      </c>
      <c r="L1887" s="111">
        <v>2473</v>
      </c>
      <c r="M1887" s="112"/>
    </row>
    <row r="1888" spans="1:13" x14ac:dyDescent="0.2">
      <c r="A1888" s="113" t="s">
        <v>48</v>
      </c>
      <c r="B1888" s="113" t="s">
        <v>140</v>
      </c>
      <c r="C1888" s="113" t="s">
        <v>223</v>
      </c>
      <c r="D1888" s="114">
        <v>266722</v>
      </c>
      <c r="E1888" s="115">
        <v>266372</v>
      </c>
      <c r="F1888" s="115">
        <v>266357</v>
      </c>
      <c r="G1888" s="115"/>
      <c r="H1888" s="116"/>
      <c r="I1888" s="114">
        <v>3540</v>
      </c>
      <c r="J1888" s="115">
        <v>3687</v>
      </c>
      <c r="K1888" s="115">
        <v>4288</v>
      </c>
      <c r="L1888" s="115"/>
      <c r="M1888" s="116"/>
    </row>
    <row r="1889" spans="1:13" x14ac:dyDescent="0.2">
      <c r="A1889" t="s">
        <v>48</v>
      </c>
      <c r="B1889" t="s">
        <v>140</v>
      </c>
      <c r="C1889" t="s">
        <v>224</v>
      </c>
      <c r="D1889" s="110">
        <v>51499</v>
      </c>
      <c r="E1889" s="111">
        <v>51086</v>
      </c>
      <c r="F1889" s="111"/>
      <c r="G1889" s="111"/>
      <c r="H1889" s="112"/>
      <c r="I1889" s="110">
        <v>718</v>
      </c>
      <c r="J1889" s="111">
        <v>865</v>
      </c>
      <c r="K1889" s="111"/>
      <c r="L1889" s="111"/>
      <c r="M1889" s="112"/>
    </row>
    <row r="1890" spans="1:13" x14ac:dyDescent="0.2">
      <c r="A1890" s="117" t="s">
        <v>48</v>
      </c>
      <c r="B1890" s="117" t="s">
        <v>140</v>
      </c>
      <c r="C1890" s="117" t="s">
        <v>225</v>
      </c>
      <c r="D1890" s="118">
        <v>343323</v>
      </c>
      <c r="E1890" s="119"/>
      <c r="F1890" s="119"/>
      <c r="G1890" s="119"/>
      <c r="H1890" s="120"/>
      <c r="I1890" s="118">
        <v>1848</v>
      </c>
      <c r="J1890" s="119"/>
      <c r="K1890" s="119"/>
      <c r="L1890" s="119"/>
      <c r="M1890" s="120"/>
    </row>
    <row r="1891" spans="1:13" x14ac:dyDescent="0.2">
      <c r="A1891" t="s">
        <v>48</v>
      </c>
      <c r="B1891" t="s">
        <v>105</v>
      </c>
      <c r="C1891" t="s">
        <v>222</v>
      </c>
      <c r="D1891" s="110">
        <v>632664</v>
      </c>
      <c r="E1891" s="111">
        <v>609580</v>
      </c>
      <c r="F1891" s="111">
        <v>609380</v>
      </c>
      <c r="G1891" s="111">
        <v>607637</v>
      </c>
      <c r="H1891" s="112"/>
      <c r="I1891" s="110">
        <v>86186</v>
      </c>
      <c r="J1891" s="111">
        <v>121298</v>
      </c>
      <c r="K1891" s="111">
        <v>139890</v>
      </c>
      <c r="L1891" s="111">
        <v>157387</v>
      </c>
      <c r="M1891" s="112"/>
    </row>
    <row r="1892" spans="1:13" x14ac:dyDescent="0.2">
      <c r="A1892" s="113" t="s">
        <v>48</v>
      </c>
      <c r="B1892" s="113" t="s">
        <v>105</v>
      </c>
      <c r="C1892" s="113" t="s">
        <v>223</v>
      </c>
      <c r="D1892" s="114">
        <v>634556</v>
      </c>
      <c r="E1892" s="115">
        <v>629357</v>
      </c>
      <c r="F1892" s="115">
        <v>617946</v>
      </c>
      <c r="G1892" s="115"/>
      <c r="H1892" s="116"/>
      <c r="I1892" s="114">
        <v>89529</v>
      </c>
      <c r="J1892" s="115">
        <v>125936</v>
      </c>
      <c r="K1892" s="115">
        <v>153037</v>
      </c>
      <c r="L1892" s="115"/>
      <c r="M1892" s="116"/>
    </row>
    <row r="1893" spans="1:13" x14ac:dyDescent="0.2">
      <c r="A1893" t="s">
        <v>48</v>
      </c>
      <c r="B1893" t="s">
        <v>105</v>
      </c>
      <c r="C1893" t="s">
        <v>224</v>
      </c>
      <c r="D1893" s="110">
        <v>267981</v>
      </c>
      <c r="E1893" s="111">
        <v>245264</v>
      </c>
      <c r="F1893" s="111"/>
      <c r="G1893" s="111"/>
      <c r="H1893" s="112"/>
      <c r="I1893" s="110">
        <v>44410</v>
      </c>
      <c r="J1893" s="111">
        <v>67852</v>
      </c>
      <c r="K1893" s="111"/>
      <c r="L1893" s="111"/>
      <c r="M1893" s="112"/>
    </row>
    <row r="1894" spans="1:13" x14ac:dyDescent="0.2">
      <c r="A1894" s="117" t="s">
        <v>48</v>
      </c>
      <c r="B1894" s="117" t="s">
        <v>105</v>
      </c>
      <c r="C1894" s="117" t="s">
        <v>225</v>
      </c>
      <c r="D1894" s="118">
        <v>501028</v>
      </c>
      <c r="E1894" s="119"/>
      <c r="F1894" s="119"/>
      <c r="G1894" s="119"/>
      <c r="H1894" s="120"/>
      <c r="I1894" s="118">
        <v>87400</v>
      </c>
      <c r="J1894" s="119"/>
      <c r="K1894" s="119"/>
      <c r="L1894" s="119"/>
      <c r="M1894" s="120"/>
    </row>
    <row r="1895" spans="1:13" x14ac:dyDescent="0.2">
      <c r="A1895" t="s">
        <v>48</v>
      </c>
      <c r="B1895" t="s">
        <v>111</v>
      </c>
      <c r="C1895" t="s">
        <v>222</v>
      </c>
      <c r="D1895" s="110">
        <v>57475</v>
      </c>
      <c r="E1895" s="111">
        <v>54706</v>
      </c>
      <c r="F1895" s="111">
        <v>50612</v>
      </c>
      <c r="G1895" s="111">
        <v>42187</v>
      </c>
      <c r="H1895" s="112"/>
      <c r="I1895" s="110">
        <v>2391</v>
      </c>
      <c r="J1895" s="111">
        <v>2907</v>
      </c>
      <c r="K1895" s="111">
        <v>3158</v>
      </c>
      <c r="L1895" s="111">
        <v>3791</v>
      </c>
      <c r="M1895" s="112"/>
    </row>
    <row r="1896" spans="1:13" x14ac:dyDescent="0.2">
      <c r="A1896" s="113" t="s">
        <v>48</v>
      </c>
      <c r="B1896" s="113" t="s">
        <v>111</v>
      </c>
      <c r="C1896" s="113" t="s">
        <v>223</v>
      </c>
      <c r="D1896" s="114">
        <v>37194</v>
      </c>
      <c r="E1896" s="115">
        <v>35417</v>
      </c>
      <c r="F1896" s="115">
        <v>31108</v>
      </c>
      <c r="G1896" s="115"/>
      <c r="H1896" s="116"/>
      <c r="I1896" s="114">
        <v>1847</v>
      </c>
      <c r="J1896" s="115">
        <v>1923</v>
      </c>
      <c r="K1896" s="115">
        <v>2495</v>
      </c>
      <c r="L1896" s="115"/>
      <c r="M1896" s="116"/>
    </row>
    <row r="1897" spans="1:13" x14ac:dyDescent="0.2">
      <c r="A1897" t="s">
        <v>48</v>
      </c>
      <c r="B1897" t="s">
        <v>111</v>
      </c>
      <c r="C1897" t="s">
        <v>224</v>
      </c>
      <c r="D1897" s="110">
        <v>19763</v>
      </c>
      <c r="E1897" s="111">
        <v>18940</v>
      </c>
      <c r="F1897" s="111"/>
      <c r="G1897" s="111"/>
      <c r="H1897" s="112"/>
      <c r="I1897" s="110">
        <v>855</v>
      </c>
      <c r="J1897" s="111">
        <v>1030</v>
      </c>
      <c r="K1897" s="111"/>
      <c r="L1897" s="111"/>
      <c r="M1897" s="112"/>
    </row>
    <row r="1898" spans="1:13" x14ac:dyDescent="0.2">
      <c r="A1898" s="117" t="s">
        <v>48</v>
      </c>
      <c r="B1898" s="117" t="s">
        <v>111</v>
      </c>
      <c r="C1898" s="117" t="s">
        <v>225</v>
      </c>
      <c r="D1898" s="118">
        <v>43402</v>
      </c>
      <c r="E1898" s="119"/>
      <c r="F1898" s="119"/>
      <c r="G1898" s="119"/>
      <c r="H1898" s="120"/>
      <c r="I1898" s="118">
        <v>921</v>
      </c>
      <c r="J1898" s="119"/>
      <c r="K1898" s="119"/>
      <c r="L1898" s="119"/>
      <c r="M1898" s="120"/>
    </row>
    <row r="1899" spans="1:13" x14ac:dyDescent="0.2">
      <c r="A1899" s="124" t="s">
        <v>48</v>
      </c>
      <c r="B1899" s="124" t="s">
        <v>109</v>
      </c>
      <c r="C1899" s="124" t="s">
        <v>222</v>
      </c>
      <c r="D1899" s="125">
        <v>930858</v>
      </c>
      <c r="E1899" s="126">
        <v>922340</v>
      </c>
      <c r="F1899" s="126">
        <v>920824</v>
      </c>
      <c r="G1899" s="126">
        <v>919194</v>
      </c>
      <c r="H1899" s="127"/>
      <c r="I1899" s="125">
        <v>234394</v>
      </c>
      <c r="J1899" s="126">
        <v>342256</v>
      </c>
      <c r="K1899" s="126">
        <v>410454</v>
      </c>
      <c r="L1899" s="126">
        <v>457892</v>
      </c>
      <c r="M1899" s="127"/>
    </row>
    <row r="1900" spans="1:13" x14ac:dyDescent="0.2">
      <c r="A1900" s="113" t="s">
        <v>48</v>
      </c>
      <c r="B1900" s="113" t="s">
        <v>109</v>
      </c>
      <c r="C1900" s="113" t="s">
        <v>223</v>
      </c>
      <c r="D1900" s="114">
        <v>836315</v>
      </c>
      <c r="E1900" s="115">
        <v>822624</v>
      </c>
      <c r="F1900" s="115">
        <v>806541</v>
      </c>
      <c r="G1900" s="115"/>
      <c r="H1900" s="116"/>
      <c r="I1900" s="114">
        <v>235664</v>
      </c>
      <c r="J1900" s="115">
        <v>326088</v>
      </c>
      <c r="K1900" s="115">
        <v>384627</v>
      </c>
      <c r="L1900" s="115"/>
      <c r="M1900" s="116"/>
    </row>
    <row r="1901" spans="1:13" x14ac:dyDescent="0.2">
      <c r="A1901" t="s">
        <v>48</v>
      </c>
      <c r="B1901" t="s">
        <v>109</v>
      </c>
      <c r="C1901" t="s">
        <v>224</v>
      </c>
      <c r="D1901" s="110">
        <v>168684</v>
      </c>
      <c r="E1901" s="111">
        <v>141697</v>
      </c>
      <c r="F1901" s="111"/>
      <c r="G1901" s="111"/>
      <c r="H1901" s="112"/>
      <c r="I1901" s="110">
        <v>40251</v>
      </c>
      <c r="J1901" s="111">
        <v>67219</v>
      </c>
      <c r="K1901" s="111"/>
      <c r="L1901" s="111"/>
      <c r="M1901" s="112"/>
    </row>
    <row r="1902" spans="1:13" x14ac:dyDescent="0.2">
      <c r="A1902" s="117" t="s">
        <v>48</v>
      </c>
      <c r="B1902" s="117" t="s">
        <v>109</v>
      </c>
      <c r="C1902" s="117" t="s">
        <v>225</v>
      </c>
      <c r="D1902" s="118">
        <v>699425</v>
      </c>
      <c r="E1902" s="119"/>
      <c r="F1902" s="119"/>
      <c r="G1902" s="119"/>
      <c r="H1902" s="120"/>
      <c r="I1902" s="118">
        <v>181424</v>
      </c>
      <c r="J1902" s="119"/>
      <c r="K1902" s="119"/>
      <c r="L1902" s="119"/>
      <c r="M1902" s="120"/>
    </row>
    <row r="1903" spans="1:13" x14ac:dyDescent="0.2">
      <c r="A1903" t="s">
        <v>48</v>
      </c>
      <c r="B1903" t="s">
        <v>106</v>
      </c>
      <c r="C1903" t="s">
        <v>222</v>
      </c>
      <c r="D1903" s="110">
        <v>2314655</v>
      </c>
      <c r="E1903" s="111">
        <v>2312528</v>
      </c>
      <c r="F1903" s="111">
        <v>2312528</v>
      </c>
      <c r="G1903" s="111">
        <v>2312528</v>
      </c>
      <c r="H1903" s="112"/>
      <c r="I1903" s="110">
        <v>2293412</v>
      </c>
      <c r="J1903" s="111">
        <v>2297091</v>
      </c>
      <c r="K1903" s="111">
        <v>2297931</v>
      </c>
      <c r="L1903" s="111">
        <v>2297932</v>
      </c>
      <c r="M1903" s="112"/>
    </row>
    <row r="1904" spans="1:13" x14ac:dyDescent="0.2">
      <c r="A1904" s="113" t="s">
        <v>48</v>
      </c>
      <c r="B1904" s="113" t="s">
        <v>106</v>
      </c>
      <c r="C1904" s="113" t="s">
        <v>223</v>
      </c>
      <c r="D1904" s="114">
        <v>2185381</v>
      </c>
      <c r="E1904" s="115">
        <v>2183564</v>
      </c>
      <c r="F1904" s="115">
        <v>2183564</v>
      </c>
      <c r="G1904" s="115"/>
      <c r="H1904" s="116"/>
      <c r="I1904" s="114">
        <v>2172603</v>
      </c>
      <c r="J1904" s="115">
        <v>2174653</v>
      </c>
      <c r="K1904" s="115">
        <v>2175373</v>
      </c>
      <c r="L1904" s="115"/>
      <c r="M1904" s="116"/>
    </row>
    <row r="1905" spans="1:13" x14ac:dyDescent="0.2">
      <c r="A1905" t="s">
        <v>48</v>
      </c>
      <c r="B1905" t="s">
        <v>106</v>
      </c>
      <c r="C1905" t="s">
        <v>224</v>
      </c>
      <c r="D1905" s="110">
        <v>1407114</v>
      </c>
      <c r="E1905" s="111">
        <v>1402780</v>
      </c>
      <c r="F1905" s="111"/>
      <c r="G1905" s="111"/>
      <c r="H1905" s="112"/>
      <c r="I1905" s="110">
        <v>1394012</v>
      </c>
      <c r="J1905" s="111">
        <v>1394993</v>
      </c>
      <c r="K1905" s="111"/>
      <c r="L1905" s="111"/>
      <c r="M1905" s="112"/>
    </row>
    <row r="1906" spans="1:13" x14ac:dyDescent="0.2">
      <c r="A1906" s="117" t="s">
        <v>48</v>
      </c>
      <c r="B1906" s="117" t="s">
        <v>106</v>
      </c>
      <c r="C1906" s="117" t="s">
        <v>225</v>
      </c>
      <c r="D1906" s="118">
        <v>1436552</v>
      </c>
      <c r="E1906" s="119"/>
      <c r="F1906" s="119"/>
      <c r="G1906" s="119"/>
      <c r="H1906" s="120"/>
      <c r="I1906" s="118">
        <v>1417702</v>
      </c>
      <c r="J1906" s="119"/>
      <c r="K1906" s="119"/>
      <c r="L1906" s="119"/>
      <c r="M1906" s="120"/>
    </row>
    <row r="1907" spans="1:13" x14ac:dyDescent="0.2">
      <c r="A1907" t="s">
        <v>48</v>
      </c>
      <c r="B1907" t="s">
        <v>107</v>
      </c>
      <c r="C1907" t="s">
        <v>222</v>
      </c>
      <c r="D1907" s="110">
        <v>3138693</v>
      </c>
      <c r="E1907" s="111">
        <v>3137658</v>
      </c>
      <c r="F1907" s="111">
        <v>3137608</v>
      </c>
      <c r="G1907" s="111">
        <v>3137608</v>
      </c>
      <c r="H1907" s="112"/>
      <c r="I1907" s="110">
        <v>3131218</v>
      </c>
      <c r="J1907" s="111">
        <v>3131262</v>
      </c>
      <c r="K1907" s="111">
        <v>3131262</v>
      </c>
      <c r="L1907" s="111">
        <v>3131262</v>
      </c>
      <c r="M1907" s="112"/>
    </row>
    <row r="1908" spans="1:13" x14ac:dyDescent="0.2">
      <c r="A1908" s="113" t="s">
        <v>48</v>
      </c>
      <c r="B1908" s="113" t="s">
        <v>107</v>
      </c>
      <c r="C1908" s="113" t="s">
        <v>223</v>
      </c>
      <c r="D1908" s="114">
        <v>3532082</v>
      </c>
      <c r="E1908" s="115">
        <v>3530897</v>
      </c>
      <c r="F1908" s="115">
        <v>3530897</v>
      </c>
      <c r="G1908" s="115"/>
      <c r="H1908" s="116"/>
      <c r="I1908" s="114">
        <v>3527884</v>
      </c>
      <c r="J1908" s="115">
        <v>3527709</v>
      </c>
      <c r="K1908" s="115">
        <v>3527709</v>
      </c>
      <c r="L1908" s="115"/>
      <c r="M1908" s="116"/>
    </row>
    <row r="1909" spans="1:13" x14ac:dyDescent="0.2">
      <c r="A1909" t="s">
        <v>48</v>
      </c>
      <c r="B1909" t="s">
        <v>107</v>
      </c>
      <c r="C1909" t="s">
        <v>224</v>
      </c>
      <c r="D1909" s="110">
        <v>2860785</v>
      </c>
      <c r="E1909" s="111">
        <v>2860247</v>
      </c>
      <c r="F1909" s="111"/>
      <c r="G1909" s="111"/>
      <c r="H1909" s="112"/>
      <c r="I1909" s="110">
        <v>2856810</v>
      </c>
      <c r="J1909" s="111">
        <v>2856861</v>
      </c>
      <c r="K1909" s="111"/>
      <c r="L1909" s="111"/>
      <c r="M1909" s="112"/>
    </row>
    <row r="1910" spans="1:13" x14ac:dyDescent="0.2">
      <c r="A1910" s="117" t="s">
        <v>48</v>
      </c>
      <c r="B1910" s="117" t="s">
        <v>107</v>
      </c>
      <c r="C1910" s="117" t="s">
        <v>225</v>
      </c>
      <c r="D1910" s="118">
        <v>3415612</v>
      </c>
      <c r="E1910" s="119"/>
      <c r="F1910" s="119"/>
      <c r="G1910" s="119"/>
      <c r="H1910" s="120"/>
      <c r="I1910" s="118">
        <v>3410931</v>
      </c>
      <c r="J1910" s="119"/>
      <c r="K1910" s="119"/>
      <c r="L1910" s="119"/>
      <c r="M1910" s="120"/>
    </row>
    <row r="1911" spans="1:13" x14ac:dyDescent="0.2">
      <c r="A1911" t="s">
        <v>48</v>
      </c>
      <c r="B1911" t="s">
        <v>108</v>
      </c>
      <c r="C1911" t="s">
        <v>222</v>
      </c>
      <c r="D1911" s="110">
        <v>251323</v>
      </c>
      <c r="E1911" s="111">
        <v>250972</v>
      </c>
      <c r="F1911" s="111">
        <v>250972</v>
      </c>
      <c r="G1911" s="111">
        <v>250972</v>
      </c>
      <c r="H1911" s="112"/>
      <c r="I1911" s="110">
        <v>247039</v>
      </c>
      <c r="J1911" s="111">
        <v>247719</v>
      </c>
      <c r="K1911" s="111">
        <v>248064</v>
      </c>
      <c r="L1911" s="111">
        <v>248064</v>
      </c>
      <c r="M1911" s="112"/>
    </row>
    <row r="1912" spans="1:13" x14ac:dyDescent="0.2">
      <c r="A1912" s="113" t="s">
        <v>48</v>
      </c>
      <c r="B1912" s="113" t="s">
        <v>108</v>
      </c>
      <c r="C1912" s="113" t="s">
        <v>223</v>
      </c>
      <c r="D1912" s="114">
        <v>291529</v>
      </c>
      <c r="E1912" s="115">
        <v>288961</v>
      </c>
      <c r="F1912" s="115">
        <v>288961</v>
      </c>
      <c r="G1912" s="115"/>
      <c r="H1912" s="116"/>
      <c r="I1912" s="114">
        <v>287345</v>
      </c>
      <c r="J1912" s="115">
        <v>287061</v>
      </c>
      <c r="K1912" s="115">
        <v>287061</v>
      </c>
      <c r="L1912" s="115"/>
      <c r="M1912" s="116"/>
    </row>
    <row r="1913" spans="1:13" x14ac:dyDescent="0.2">
      <c r="A1913" t="s">
        <v>48</v>
      </c>
      <c r="B1913" t="s">
        <v>108</v>
      </c>
      <c r="C1913" t="s">
        <v>224</v>
      </c>
      <c r="D1913" s="110">
        <v>243056</v>
      </c>
      <c r="E1913" s="111">
        <v>242656</v>
      </c>
      <c r="F1913" s="111"/>
      <c r="G1913" s="111"/>
      <c r="H1913" s="112"/>
      <c r="I1913" s="110">
        <v>239058</v>
      </c>
      <c r="J1913" s="111">
        <v>239517</v>
      </c>
      <c r="K1913" s="111"/>
      <c r="L1913" s="111"/>
      <c r="M1913" s="112"/>
    </row>
    <row r="1914" spans="1:13" x14ac:dyDescent="0.2">
      <c r="A1914" s="117" t="s">
        <v>48</v>
      </c>
      <c r="B1914" s="117" t="s">
        <v>108</v>
      </c>
      <c r="C1914" s="117" t="s">
        <v>225</v>
      </c>
      <c r="D1914" s="118">
        <v>299985</v>
      </c>
      <c r="E1914" s="119"/>
      <c r="F1914" s="119"/>
      <c r="G1914" s="119"/>
      <c r="H1914" s="120"/>
      <c r="I1914" s="118">
        <v>291581</v>
      </c>
      <c r="J1914" s="119"/>
      <c r="K1914" s="119"/>
      <c r="L1914" s="119"/>
      <c r="M1914" s="120"/>
    </row>
    <row r="1915" spans="1:13" x14ac:dyDescent="0.2">
      <c r="A1915" t="s">
        <v>48</v>
      </c>
      <c r="B1915" t="s">
        <v>70</v>
      </c>
      <c r="C1915" t="s">
        <v>222</v>
      </c>
      <c r="D1915" s="110">
        <v>618454</v>
      </c>
      <c r="E1915" s="111">
        <v>616455</v>
      </c>
      <c r="F1915" s="111">
        <v>615752</v>
      </c>
      <c r="G1915" s="111">
        <v>614957</v>
      </c>
      <c r="H1915" s="112"/>
      <c r="I1915" s="110">
        <v>581005</v>
      </c>
      <c r="J1915" s="111">
        <v>586547</v>
      </c>
      <c r="K1915" s="111">
        <v>587137</v>
      </c>
      <c r="L1915" s="111">
        <v>587736</v>
      </c>
      <c r="M1915" s="112"/>
    </row>
    <row r="1916" spans="1:13" x14ac:dyDescent="0.2">
      <c r="A1916" s="113" t="s">
        <v>48</v>
      </c>
      <c r="B1916" s="113" t="s">
        <v>70</v>
      </c>
      <c r="C1916" s="113" t="s">
        <v>223</v>
      </c>
      <c r="D1916" s="114">
        <v>612129</v>
      </c>
      <c r="E1916" s="115">
        <v>611716</v>
      </c>
      <c r="F1916" s="115">
        <v>609718</v>
      </c>
      <c r="G1916" s="115"/>
      <c r="H1916" s="116"/>
      <c r="I1916" s="114">
        <v>574365</v>
      </c>
      <c r="J1916" s="115">
        <v>580272</v>
      </c>
      <c r="K1916" s="115">
        <v>581822</v>
      </c>
      <c r="L1916" s="115"/>
      <c r="M1916" s="116"/>
    </row>
    <row r="1917" spans="1:13" x14ac:dyDescent="0.2">
      <c r="A1917" t="s">
        <v>48</v>
      </c>
      <c r="B1917" t="s">
        <v>70</v>
      </c>
      <c r="C1917" t="s">
        <v>224</v>
      </c>
      <c r="D1917" s="110">
        <v>488330</v>
      </c>
      <c r="E1917" s="111">
        <v>484012</v>
      </c>
      <c r="F1917" s="111"/>
      <c r="G1917" s="111"/>
      <c r="H1917" s="112"/>
      <c r="I1917" s="110">
        <v>443979</v>
      </c>
      <c r="J1917" s="111">
        <v>452272</v>
      </c>
      <c r="K1917" s="111"/>
      <c r="L1917" s="111"/>
      <c r="M1917" s="112"/>
    </row>
    <row r="1918" spans="1:13" x14ac:dyDescent="0.2">
      <c r="A1918" s="117" t="s">
        <v>48</v>
      </c>
      <c r="B1918" s="117" t="s">
        <v>70</v>
      </c>
      <c r="C1918" s="117" t="s">
        <v>225</v>
      </c>
      <c r="D1918" s="118">
        <v>683410</v>
      </c>
      <c r="E1918" s="119"/>
      <c r="F1918" s="119"/>
      <c r="G1918" s="119"/>
      <c r="H1918" s="120"/>
      <c r="I1918" s="118">
        <v>659864</v>
      </c>
      <c r="J1918" s="119"/>
      <c r="K1918" s="119"/>
      <c r="L1918" s="119"/>
      <c r="M1918" s="120"/>
    </row>
    <row r="1919" spans="1:13" x14ac:dyDescent="0.2">
      <c r="A1919" t="s">
        <v>48</v>
      </c>
      <c r="B1919" t="s">
        <v>110</v>
      </c>
      <c r="C1919" t="s">
        <v>222</v>
      </c>
      <c r="D1919" s="110">
        <v>13394437</v>
      </c>
      <c r="E1919" s="111">
        <v>12411135</v>
      </c>
      <c r="F1919" s="111">
        <v>12359229</v>
      </c>
      <c r="G1919" s="111">
        <v>12338971</v>
      </c>
      <c r="H1919" s="112"/>
      <c r="I1919" s="110">
        <v>4179100</v>
      </c>
      <c r="J1919" s="111">
        <v>6874752</v>
      </c>
      <c r="K1919" s="111">
        <v>7594395</v>
      </c>
      <c r="L1919" s="111">
        <v>8263664</v>
      </c>
      <c r="M1919" s="112"/>
    </row>
    <row r="1920" spans="1:13" x14ac:dyDescent="0.2">
      <c r="A1920" s="113" t="s">
        <v>48</v>
      </c>
      <c r="B1920" s="113" t="s">
        <v>110</v>
      </c>
      <c r="C1920" s="113" t="s">
        <v>223</v>
      </c>
      <c r="D1920" s="114">
        <v>13349357</v>
      </c>
      <c r="E1920" s="115">
        <v>12534388</v>
      </c>
      <c r="F1920" s="115">
        <v>12203389</v>
      </c>
      <c r="G1920" s="115"/>
      <c r="H1920" s="116"/>
      <c r="I1920" s="114">
        <v>4022174</v>
      </c>
      <c r="J1920" s="115">
        <v>5947557</v>
      </c>
      <c r="K1920" s="115">
        <v>7429519</v>
      </c>
      <c r="L1920" s="115"/>
      <c r="M1920" s="116"/>
    </row>
    <row r="1921" spans="1:13" x14ac:dyDescent="0.2">
      <c r="A1921" t="s">
        <v>48</v>
      </c>
      <c r="B1921" t="s">
        <v>110</v>
      </c>
      <c r="C1921" t="s">
        <v>224</v>
      </c>
      <c r="D1921" s="110">
        <v>8901263</v>
      </c>
      <c r="E1921" s="111">
        <v>8170645</v>
      </c>
      <c r="F1921" s="111"/>
      <c r="G1921" s="111"/>
      <c r="H1921" s="112"/>
      <c r="I1921" s="110">
        <v>1865998</v>
      </c>
      <c r="J1921" s="111">
        <v>3607986</v>
      </c>
      <c r="K1921" s="111"/>
      <c r="L1921" s="111"/>
      <c r="M1921" s="112"/>
    </row>
    <row r="1922" spans="1:13" ht="13.5" thickBot="1" x14ac:dyDescent="0.25">
      <c r="A1922" s="128" t="s">
        <v>48</v>
      </c>
      <c r="B1922" s="128" t="s">
        <v>110</v>
      </c>
      <c r="C1922" s="128" t="s">
        <v>225</v>
      </c>
      <c r="D1922" s="129">
        <v>13835500</v>
      </c>
      <c r="E1922" s="130"/>
      <c r="F1922" s="130"/>
      <c r="G1922" s="130"/>
      <c r="H1922" s="131"/>
      <c r="I1922" s="129">
        <v>3077452</v>
      </c>
      <c r="J1922" s="130"/>
      <c r="K1922" s="130"/>
      <c r="L1922" s="130"/>
      <c r="M1922" s="131"/>
    </row>
    <row r="1923" spans="1:13" x14ac:dyDescent="0.2">
      <c r="A1923" s="132" t="s">
        <v>49</v>
      </c>
      <c r="B1923" s="132" t="s">
        <v>104</v>
      </c>
      <c r="C1923" s="132" t="s">
        <v>222</v>
      </c>
      <c r="D1923" s="133">
        <v>1008571.97</v>
      </c>
      <c r="E1923" s="134">
        <v>1003876.78</v>
      </c>
      <c r="F1923" s="134">
        <v>1003622.28</v>
      </c>
      <c r="G1923" s="134">
        <v>1003246.28</v>
      </c>
      <c r="H1923" s="135"/>
      <c r="I1923" s="133">
        <v>79724.58</v>
      </c>
      <c r="J1923" s="134">
        <v>106157.41</v>
      </c>
      <c r="K1923" s="134">
        <v>128303.05</v>
      </c>
      <c r="L1923" s="134">
        <v>150865.82</v>
      </c>
      <c r="M1923" s="135"/>
    </row>
    <row r="1924" spans="1:13" x14ac:dyDescent="0.2">
      <c r="A1924" s="113" t="s">
        <v>49</v>
      </c>
      <c r="B1924" s="113" t="s">
        <v>104</v>
      </c>
      <c r="C1924" s="113" t="s">
        <v>223</v>
      </c>
      <c r="D1924" s="114">
        <v>1167359.7</v>
      </c>
      <c r="E1924" s="115">
        <v>1163449.07</v>
      </c>
      <c r="F1924" s="115">
        <v>1162870.57</v>
      </c>
      <c r="G1924" s="115"/>
      <c r="H1924" s="116"/>
      <c r="I1924" s="114">
        <v>80501.570000000007</v>
      </c>
      <c r="J1924" s="115">
        <v>102991.71</v>
      </c>
      <c r="K1924" s="115">
        <v>122375.89</v>
      </c>
      <c r="L1924" s="115"/>
      <c r="M1924" s="116"/>
    </row>
    <row r="1925" spans="1:13" x14ac:dyDescent="0.2">
      <c r="A1925" t="s">
        <v>49</v>
      </c>
      <c r="B1925" t="s">
        <v>104</v>
      </c>
      <c r="C1925" t="s">
        <v>224</v>
      </c>
      <c r="D1925" s="110">
        <v>535917.61</v>
      </c>
      <c r="E1925" s="111">
        <v>803130.63</v>
      </c>
      <c r="F1925" s="111"/>
      <c r="G1925" s="111"/>
      <c r="H1925" s="112"/>
      <c r="I1925" s="110">
        <v>80019.56</v>
      </c>
      <c r="J1925" s="111">
        <v>100263.89</v>
      </c>
      <c r="K1925" s="111"/>
      <c r="L1925" s="111"/>
      <c r="M1925" s="112"/>
    </row>
    <row r="1926" spans="1:13" x14ac:dyDescent="0.2">
      <c r="A1926" s="117" t="s">
        <v>49</v>
      </c>
      <c r="B1926" s="117" t="s">
        <v>104</v>
      </c>
      <c r="C1926" s="117" t="s">
        <v>225</v>
      </c>
      <c r="D1926" s="118">
        <v>567003.47</v>
      </c>
      <c r="E1926" s="119"/>
      <c r="F1926" s="119"/>
      <c r="G1926" s="119"/>
      <c r="H1926" s="120"/>
      <c r="I1926" s="118">
        <v>106250.23</v>
      </c>
      <c r="J1926" s="119"/>
      <c r="K1926" s="119"/>
      <c r="L1926" s="119"/>
      <c r="M1926" s="120"/>
    </row>
    <row r="1927" spans="1:13" x14ac:dyDescent="0.2">
      <c r="A1927" t="s">
        <v>49</v>
      </c>
      <c r="B1927" t="s">
        <v>140</v>
      </c>
      <c r="C1927" t="s">
        <v>222</v>
      </c>
      <c r="D1927" s="110">
        <v>385651.58</v>
      </c>
      <c r="E1927" s="111">
        <v>385651.58</v>
      </c>
      <c r="F1927" s="111">
        <v>385651.58</v>
      </c>
      <c r="G1927" s="111">
        <v>385601.58</v>
      </c>
      <c r="H1927" s="112"/>
      <c r="I1927" s="110">
        <v>418.73</v>
      </c>
      <c r="J1927" s="111">
        <v>473.69</v>
      </c>
      <c r="K1927" s="111">
        <v>490.84</v>
      </c>
      <c r="L1927" s="111">
        <v>490.84</v>
      </c>
      <c r="M1927" s="112"/>
    </row>
    <row r="1928" spans="1:13" x14ac:dyDescent="0.2">
      <c r="A1928" s="113" t="s">
        <v>49</v>
      </c>
      <c r="B1928" s="113" t="s">
        <v>140</v>
      </c>
      <c r="C1928" s="113" t="s">
        <v>223</v>
      </c>
      <c r="D1928" s="114">
        <v>587650</v>
      </c>
      <c r="E1928" s="115">
        <v>587600</v>
      </c>
      <c r="F1928" s="115">
        <v>587550</v>
      </c>
      <c r="G1928" s="115"/>
      <c r="H1928" s="116"/>
      <c r="I1928" s="114">
        <v>330</v>
      </c>
      <c r="J1928" s="115">
        <v>670.47</v>
      </c>
      <c r="K1928" s="115">
        <v>1166.8399999999999</v>
      </c>
      <c r="L1928" s="115"/>
      <c r="M1928" s="116"/>
    </row>
    <row r="1929" spans="1:13" x14ac:dyDescent="0.2">
      <c r="A1929" t="s">
        <v>49</v>
      </c>
      <c r="B1929" t="s">
        <v>140</v>
      </c>
      <c r="C1929" t="s">
        <v>224</v>
      </c>
      <c r="D1929" s="110">
        <v>161327</v>
      </c>
      <c r="E1929" s="111">
        <v>428665.43</v>
      </c>
      <c r="F1929" s="111"/>
      <c r="G1929" s="111"/>
      <c r="H1929" s="112"/>
      <c r="I1929" s="110">
        <v>412.1</v>
      </c>
      <c r="J1929" s="111">
        <v>419.23</v>
      </c>
      <c r="K1929" s="111"/>
      <c r="L1929" s="111"/>
      <c r="M1929" s="112"/>
    </row>
    <row r="1930" spans="1:13" x14ac:dyDescent="0.2">
      <c r="A1930" s="117" t="s">
        <v>49</v>
      </c>
      <c r="B1930" s="117" t="s">
        <v>140</v>
      </c>
      <c r="C1930" s="117" t="s">
        <v>225</v>
      </c>
      <c r="D1930" s="118">
        <v>114040.61</v>
      </c>
      <c r="E1930" s="119"/>
      <c r="F1930" s="119"/>
      <c r="G1930" s="119"/>
      <c r="H1930" s="120"/>
      <c r="I1930" s="118">
        <v>567.05999999999995</v>
      </c>
      <c r="J1930" s="119"/>
      <c r="K1930" s="119"/>
      <c r="L1930" s="119"/>
      <c r="M1930" s="120"/>
    </row>
    <row r="1931" spans="1:13" x14ac:dyDescent="0.2">
      <c r="A1931" t="s">
        <v>49</v>
      </c>
      <c r="B1931" t="s">
        <v>105</v>
      </c>
      <c r="C1931" t="s">
        <v>222</v>
      </c>
      <c r="D1931" s="110">
        <v>270694.89</v>
      </c>
      <c r="E1931" s="111">
        <v>263766.05</v>
      </c>
      <c r="F1931" s="111">
        <v>262916.05</v>
      </c>
      <c r="G1931" s="111">
        <v>260329.32</v>
      </c>
      <c r="H1931" s="112"/>
      <c r="I1931" s="110">
        <v>67773.539999999994</v>
      </c>
      <c r="J1931" s="111">
        <v>98538.4</v>
      </c>
      <c r="K1931" s="111">
        <v>117301.12</v>
      </c>
      <c r="L1931" s="111">
        <v>127296.64</v>
      </c>
      <c r="M1931" s="112"/>
    </row>
    <row r="1932" spans="1:13" x14ac:dyDescent="0.2">
      <c r="A1932" s="113" t="s">
        <v>49</v>
      </c>
      <c r="B1932" s="113" t="s">
        <v>105</v>
      </c>
      <c r="C1932" s="113" t="s">
        <v>223</v>
      </c>
      <c r="D1932" s="114">
        <v>184679.6</v>
      </c>
      <c r="E1932" s="115">
        <v>179463.6</v>
      </c>
      <c r="F1932" s="115">
        <v>177972.6</v>
      </c>
      <c r="G1932" s="115"/>
      <c r="H1932" s="116"/>
      <c r="I1932" s="114">
        <v>38966</v>
      </c>
      <c r="J1932" s="115">
        <v>59065.1</v>
      </c>
      <c r="K1932" s="115">
        <v>72793.48</v>
      </c>
      <c r="L1932" s="115"/>
      <c r="M1932" s="116"/>
    </row>
    <row r="1933" spans="1:13" x14ac:dyDescent="0.2">
      <c r="A1933" t="s">
        <v>49</v>
      </c>
      <c r="B1933" t="s">
        <v>105</v>
      </c>
      <c r="C1933" t="s">
        <v>224</v>
      </c>
      <c r="D1933" s="110">
        <v>90419.27</v>
      </c>
      <c r="E1933" s="111">
        <v>89489.42</v>
      </c>
      <c r="F1933" s="111"/>
      <c r="G1933" s="111"/>
      <c r="H1933" s="112"/>
      <c r="I1933" s="110">
        <v>17848.439999999999</v>
      </c>
      <c r="J1933" s="111">
        <v>27627.48</v>
      </c>
      <c r="K1933" s="111"/>
      <c r="L1933" s="111"/>
      <c r="M1933" s="112"/>
    </row>
    <row r="1934" spans="1:13" x14ac:dyDescent="0.2">
      <c r="A1934" s="117" t="s">
        <v>49</v>
      </c>
      <c r="B1934" s="117" t="s">
        <v>105</v>
      </c>
      <c r="C1934" s="117" t="s">
        <v>225</v>
      </c>
      <c r="D1934" s="118">
        <v>134633.95000000001</v>
      </c>
      <c r="E1934" s="119"/>
      <c r="F1934" s="119"/>
      <c r="G1934" s="119"/>
      <c r="H1934" s="120"/>
      <c r="I1934" s="118">
        <v>44773.74</v>
      </c>
      <c r="J1934" s="119"/>
      <c r="K1934" s="119"/>
      <c r="L1934" s="119"/>
      <c r="M1934" s="120"/>
    </row>
    <row r="1935" spans="1:13" x14ac:dyDescent="0.2">
      <c r="A1935" t="s">
        <v>49</v>
      </c>
      <c r="B1935" t="s">
        <v>111</v>
      </c>
      <c r="C1935" t="s">
        <v>222</v>
      </c>
      <c r="D1935" s="110">
        <v>13546.05</v>
      </c>
      <c r="E1935" s="111">
        <v>12368.55</v>
      </c>
      <c r="F1935" s="111">
        <v>11932.55</v>
      </c>
      <c r="G1935" s="111">
        <v>11582.55</v>
      </c>
      <c r="H1935" s="112"/>
      <c r="I1935" s="110">
        <v>853.05</v>
      </c>
      <c r="J1935" s="111">
        <v>1391.05</v>
      </c>
      <c r="K1935" s="111">
        <v>1391.05</v>
      </c>
      <c r="L1935" s="111">
        <v>1542.05</v>
      </c>
      <c r="M1935" s="112"/>
    </row>
    <row r="1936" spans="1:13" x14ac:dyDescent="0.2">
      <c r="A1936" s="113" t="s">
        <v>49</v>
      </c>
      <c r="B1936" s="113" t="s">
        <v>111</v>
      </c>
      <c r="C1936" s="113" t="s">
        <v>223</v>
      </c>
      <c r="D1936" s="114">
        <v>9455.6</v>
      </c>
      <c r="E1936" s="115">
        <v>9155.6</v>
      </c>
      <c r="F1936" s="115">
        <v>8755.6</v>
      </c>
      <c r="G1936" s="115"/>
      <c r="H1936" s="116"/>
      <c r="I1936" s="114">
        <v>2185.3200000000002</v>
      </c>
      <c r="J1936" s="115">
        <v>2185.3200000000002</v>
      </c>
      <c r="K1936" s="115">
        <v>2640.32</v>
      </c>
      <c r="L1936" s="115"/>
      <c r="M1936" s="116"/>
    </row>
    <row r="1937" spans="1:13" x14ac:dyDescent="0.2">
      <c r="A1937" t="s">
        <v>49</v>
      </c>
      <c r="B1937" t="s">
        <v>111</v>
      </c>
      <c r="C1937" t="s">
        <v>224</v>
      </c>
      <c r="D1937" s="110">
        <v>4241.25</v>
      </c>
      <c r="E1937" s="111">
        <v>3991.25</v>
      </c>
      <c r="F1937" s="111"/>
      <c r="G1937" s="111"/>
      <c r="H1937" s="112"/>
      <c r="I1937" s="110">
        <v>187.25</v>
      </c>
      <c r="J1937" s="111">
        <v>187.25</v>
      </c>
      <c r="K1937" s="111"/>
      <c r="L1937" s="111"/>
      <c r="M1937" s="112"/>
    </row>
    <row r="1938" spans="1:13" x14ac:dyDescent="0.2">
      <c r="A1938" s="117" t="s">
        <v>49</v>
      </c>
      <c r="B1938" s="117" t="s">
        <v>111</v>
      </c>
      <c r="C1938" s="117" t="s">
        <v>225</v>
      </c>
      <c r="D1938" s="118">
        <v>10583.86</v>
      </c>
      <c r="E1938" s="119"/>
      <c r="F1938" s="119"/>
      <c r="G1938" s="119"/>
      <c r="H1938" s="120"/>
      <c r="I1938" s="118">
        <v>560.41999999999996</v>
      </c>
      <c r="J1938" s="119"/>
      <c r="K1938" s="119"/>
      <c r="L1938" s="119"/>
      <c r="M1938" s="120"/>
    </row>
    <row r="1939" spans="1:13" x14ac:dyDescent="0.2">
      <c r="A1939" s="124" t="s">
        <v>49</v>
      </c>
      <c r="B1939" s="124" t="s">
        <v>109</v>
      </c>
      <c r="C1939" s="124" t="s">
        <v>222</v>
      </c>
      <c r="D1939" s="125">
        <v>464914.3</v>
      </c>
      <c r="E1939" s="126">
        <v>465136.5</v>
      </c>
      <c r="F1939" s="126">
        <v>464675</v>
      </c>
      <c r="G1939" s="126">
        <v>463697</v>
      </c>
      <c r="H1939" s="127"/>
      <c r="I1939" s="125">
        <v>121544.23</v>
      </c>
      <c r="J1939" s="126">
        <v>207148.22</v>
      </c>
      <c r="K1939" s="126">
        <v>235863.3</v>
      </c>
      <c r="L1939" s="126">
        <v>263170.19</v>
      </c>
      <c r="M1939" s="127"/>
    </row>
    <row r="1940" spans="1:13" x14ac:dyDescent="0.2">
      <c r="A1940" s="113" t="s">
        <v>49</v>
      </c>
      <c r="B1940" s="113" t="s">
        <v>109</v>
      </c>
      <c r="C1940" s="113" t="s">
        <v>223</v>
      </c>
      <c r="D1940" s="114">
        <v>389411</v>
      </c>
      <c r="E1940" s="115">
        <v>389231</v>
      </c>
      <c r="F1940" s="115">
        <v>388938</v>
      </c>
      <c r="G1940" s="115"/>
      <c r="H1940" s="116"/>
      <c r="I1940" s="114">
        <v>95053.67</v>
      </c>
      <c r="J1940" s="115">
        <v>167761.5</v>
      </c>
      <c r="K1940" s="115">
        <v>205239.67</v>
      </c>
      <c r="L1940" s="115"/>
      <c r="M1940" s="116"/>
    </row>
    <row r="1941" spans="1:13" x14ac:dyDescent="0.2">
      <c r="A1941" t="s">
        <v>49</v>
      </c>
      <c r="B1941" t="s">
        <v>109</v>
      </c>
      <c r="C1941" t="s">
        <v>224</v>
      </c>
      <c r="D1941" s="110">
        <v>162514.14000000001</v>
      </c>
      <c r="E1941" s="111">
        <v>162721.99</v>
      </c>
      <c r="F1941" s="111"/>
      <c r="G1941" s="111"/>
      <c r="H1941" s="112"/>
      <c r="I1941" s="110">
        <v>40829.699999999997</v>
      </c>
      <c r="J1941" s="111">
        <v>71797.25</v>
      </c>
      <c r="K1941" s="111"/>
      <c r="L1941" s="111"/>
      <c r="M1941" s="112"/>
    </row>
    <row r="1942" spans="1:13" x14ac:dyDescent="0.2">
      <c r="A1942" s="117" t="s">
        <v>49</v>
      </c>
      <c r="B1942" s="117" t="s">
        <v>109</v>
      </c>
      <c r="C1942" s="117" t="s">
        <v>225</v>
      </c>
      <c r="D1942" s="118">
        <v>291306.78000000003</v>
      </c>
      <c r="E1942" s="119"/>
      <c r="F1942" s="119"/>
      <c r="G1942" s="119"/>
      <c r="H1942" s="120"/>
      <c r="I1942" s="118">
        <v>96081.89</v>
      </c>
      <c r="J1942" s="119"/>
      <c r="K1942" s="119"/>
      <c r="L1942" s="119"/>
      <c r="M1942" s="120"/>
    </row>
    <row r="1943" spans="1:13" x14ac:dyDescent="0.2">
      <c r="A1943" t="s">
        <v>49</v>
      </c>
      <c r="B1943" t="s">
        <v>106</v>
      </c>
      <c r="C1943" t="s">
        <v>222</v>
      </c>
      <c r="D1943" s="110">
        <v>686744.23</v>
      </c>
      <c r="E1943" s="111">
        <v>685634.23</v>
      </c>
      <c r="F1943" s="111">
        <v>684809.23</v>
      </c>
      <c r="G1943" s="111">
        <v>684809.23</v>
      </c>
      <c r="H1943" s="112"/>
      <c r="I1943" s="110">
        <v>658944.61</v>
      </c>
      <c r="J1943" s="111">
        <v>675069.89</v>
      </c>
      <c r="K1943" s="111">
        <v>674669.89</v>
      </c>
      <c r="L1943" s="111">
        <v>674669.89</v>
      </c>
      <c r="M1943" s="112"/>
    </row>
    <row r="1944" spans="1:13" x14ac:dyDescent="0.2">
      <c r="A1944" s="113" t="s">
        <v>49</v>
      </c>
      <c r="B1944" s="113" t="s">
        <v>106</v>
      </c>
      <c r="C1944" s="113" t="s">
        <v>223</v>
      </c>
      <c r="D1944" s="114">
        <v>721624.84</v>
      </c>
      <c r="E1944" s="115">
        <v>717496.34</v>
      </c>
      <c r="F1944" s="115">
        <v>717546.34</v>
      </c>
      <c r="G1944" s="115"/>
      <c r="H1944" s="116"/>
      <c r="I1944" s="114">
        <v>628766.64</v>
      </c>
      <c r="J1944" s="115">
        <v>646941.18999999994</v>
      </c>
      <c r="K1944" s="115">
        <v>647041.18999999994</v>
      </c>
      <c r="L1944" s="115"/>
      <c r="M1944" s="116"/>
    </row>
    <row r="1945" spans="1:13" x14ac:dyDescent="0.2">
      <c r="A1945" t="s">
        <v>49</v>
      </c>
      <c r="B1945" t="s">
        <v>106</v>
      </c>
      <c r="C1945" t="s">
        <v>224</v>
      </c>
      <c r="D1945" s="110">
        <v>333199.57</v>
      </c>
      <c r="E1945" s="111">
        <v>332594.57</v>
      </c>
      <c r="F1945" s="111"/>
      <c r="G1945" s="111"/>
      <c r="H1945" s="112"/>
      <c r="I1945" s="110">
        <v>314947.74</v>
      </c>
      <c r="J1945" s="111">
        <v>318710.24</v>
      </c>
      <c r="K1945" s="111"/>
      <c r="L1945" s="111"/>
      <c r="M1945" s="112"/>
    </row>
    <row r="1946" spans="1:13" x14ac:dyDescent="0.2">
      <c r="A1946" s="117" t="s">
        <v>49</v>
      </c>
      <c r="B1946" s="117" t="s">
        <v>106</v>
      </c>
      <c r="C1946" s="117" t="s">
        <v>225</v>
      </c>
      <c r="D1946" s="118">
        <v>390607.05</v>
      </c>
      <c r="E1946" s="119"/>
      <c r="F1946" s="119"/>
      <c r="G1946" s="119"/>
      <c r="H1946" s="120"/>
      <c r="I1946" s="118">
        <v>366716.23</v>
      </c>
      <c r="J1946" s="119"/>
      <c r="K1946" s="119"/>
      <c r="L1946" s="119"/>
      <c r="M1946" s="120"/>
    </row>
    <row r="1947" spans="1:13" x14ac:dyDescent="0.2">
      <c r="A1947" t="s">
        <v>49</v>
      </c>
      <c r="B1947" t="s">
        <v>107</v>
      </c>
      <c r="C1947" t="s">
        <v>222</v>
      </c>
      <c r="D1947" s="110">
        <v>630808.22</v>
      </c>
      <c r="E1947" s="111">
        <v>628745.72</v>
      </c>
      <c r="F1947" s="111">
        <v>628660.72</v>
      </c>
      <c r="G1947" s="111">
        <v>628609.72</v>
      </c>
      <c r="H1947" s="112"/>
      <c r="I1947" s="110">
        <v>613100.52</v>
      </c>
      <c r="J1947" s="111">
        <v>625592.34</v>
      </c>
      <c r="K1947" s="111">
        <v>625633.86</v>
      </c>
      <c r="L1947" s="111">
        <v>625646.23</v>
      </c>
      <c r="M1947" s="112"/>
    </row>
    <row r="1948" spans="1:13" x14ac:dyDescent="0.2">
      <c r="A1948" s="113" t="s">
        <v>49</v>
      </c>
      <c r="B1948" s="113" t="s">
        <v>107</v>
      </c>
      <c r="C1948" s="113" t="s">
        <v>223</v>
      </c>
      <c r="D1948" s="114">
        <v>729672.03</v>
      </c>
      <c r="E1948" s="115">
        <v>728829.03</v>
      </c>
      <c r="F1948" s="115">
        <v>728808.03</v>
      </c>
      <c r="G1948" s="115"/>
      <c r="H1948" s="116"/>
      <c r="I1948" s="114">
        <v>691597.77</v>
      </c>
      <c r="J1948" s="115">
        <v>716922.58</v>
      </c>
      <c r="K1948" s="115">
        <v>716881.58</v>
      </c>
      <c r="L1948" s="115"/>
      <c r="M1948" s="116"/>
    </row>
    <row r="1949" spans="1:13" x14ac:dyDescent="0.2">
      <c r="A1949" t="s">
        <v>49</v>
      </c>
      <c r="B1949" t="s">
        <v>107</v>
      </c>
      <c r="C1949" t="s">
        <v>224</v>
      </c>
      <c r="D1949" s="110">
        <v>376274.1</v>
      </c>
      <c r="E1949" s="111">
        <v>375648.12</v>
      </c>
      <c r="F1949" s="111"/>
      <c r="G1949" s="111"/>
      <c r="H1949" s="112"/>
      <c r="I1949" s="110">
        <v>363954.99</v>
      </c>
      <c r="J1949" s="111">
        <v>369649.99</v>
      </c>
      <c r="K1949" s="111"/>
      <c r="L1949" s="111"/>
      <c r="M1949" s="112"/>
    </row>
    <row r="1950" spans="1:13" x14ac:dyDescent="0.2">
      <c r="A1950" s="117" t="s">
        <v>49</v>
      </c>
      <c r="B1950" s="117" t="s">
        <v>107</v>
      </c>
      <c r="C1950" s="117" t="s">
        <v>225</v>
      </c>
      <c r="D1950" s="118">
        <v>527074.76</v>
      </c>
      <c r="E1950" s="119"/>
      <c r="F1950" s="119"/>
      <c r="G1950" s="119"/>
      <c r="H1950" s="120"/>
      <c r="I1950" s="118">
        <v>504521.47</v>
      </c>
      <c r="J1950" s="119"/>
      <c r="K1950" s="119"/>
      <c r="L1950" s="119"/>
      <c r="M1950" s="120"/>
    </row>
    <row r="1951" spans="1:13" x14ac:dyDescent="0.2">
      <c r="A1951" t="s">
        <v>49</v>
      </c>
      <c r="B1951" t="s">
        <v>108</v>
      </c>
      <c r="C1951" t="s">
        <v>222</v>
      </c>
      <c r="D1951" s="110">
        <v>73419.149999999994</v>
      </c>
      <c r="E1951" s="111">
        <v>72845.149999999994</v>
      </c>
      <c r="F1951" s="111">
        <v>72265.149999999994</v>
      </c>
      <c r="G1951" s="111">
        <v>72265.149999999994</v>
      </c>
      <c r="H1951" s="112"/>
      <c r="I1951" s="110">
        <v>72050.649999999994</v>
      </c>
      <c r="J1951" s="111">
        <v>72360.649999999994</v>
      </c>
      <c r="K1951" s="111">
        <v>72015.649999999994</v>
      </c>
      <c r="L1951" s="111">
        <v>72015.649999999994</v>
      </c>
      <c r="M1951" s="112"/>
    </row>
    <row r="1952" spans="1:13" x14ac:dyDescent="0.2">
      <c r="A1952" s="113" t="s">
        <v>49</v>
      </c>
      <c r="B1952" s="113" t="s">
        <v>108</v>
      </c>
      <c r="C1952" s="113" t="s">
        <v>223</v>
      </c>
      <c r="D1952" s="114">
        <v>88515.8</v>
      </c>
      <c r="E1952" s="115">
        <v>87479.8</v>
      </c>
      <c r="F1952" s="115">
        <v>87714.8</v>
      </c>
      <c r="G1952" s="115"/>
      <c r="H1952" s="116"/>
      <c r="I1952" s="114">
        <v>85719.92</v>
      </c>
      <c r="J1952" s="115">
        <v>87027.92</v>
      </c>
      <c r="K1952" s="115">
        <v>87027.92</v>
      </c>
      <c r="L1952" s="115"/>
      <c r="M1952" s="116"/>
    </row>
    <row r="1953" spans="1:13" x14ac:dyDescent="0.2">
      <c r="A1953" t="s">
        <v>49</v>
      </c>
      <c r="B1953" t="s">
        <v>108</v>
      </c>
      <c r="C1953" t="s">
        <v>224</v>
      </c>
      <c r="D1953" s="110">
        <v>74622.899999999994</v>
      </c>
      <c r="E1953" s="111">
        <v>73870.899999999994</v>
      </c>
      <c r="F1953" s="111"/>
      <c r="G1953" s="111"/>
      <c r="H1953" s="112"/>
      <c r="I1953" s="110">
        <v>72627.56</v>
      </c>
      <c r="J1953" s="111">
        <v>73503.399999999994</v>
      </c>
      <c r="K1953" s="111"/>
      <c r="L1953" s="111"/>
      <c r="M1953" s="112"/>
    </row>
    <row r="1954" spans="1:13" x14ac:dyDescent="0.2">
      <c r="A1954" s="117" t="s">
        <v>49</v>
      </c>
      <c r="B1954" s="117" t="s">
        <v>108</v>
      </c>
      <c r="C1954" s="117" t="s">
        <v>225</v>
      </c>
      <c r="D1954" s="118">
        <v>92222.37</v>
      </c>
      <c r="E1954" s="119"/>
      <c r="F1954" s="119"/>
      <c r="G1954" s="119"/>
      <c r="H1954" s="120"/>
      <c r="I1954" s="118">
        <v>83513.53</v>
      </c>
      <c r="J1954" s="119"/>
      <c r="K1954" s="119"/>
      <c r="L1954" s="119"/>
      <c r="M1954" s="120"/>
    </row>
    <row r="1955" spans="1:13" x14ac:dyDescent="0.2">
      <c r="A1955" t="s">
        <v>49</v>
      </c>
      <c r="B1955" t="s">
        <v>70</v>
      </c>
      <c r="C1955" t="s">
        <v>222</v>
      </c>
      <c r="D1955" s="110">
        <v>239024.04</v>
      </c>
      <c r="E1955" s="111">
        <v>236365.02</v>
      </c>
      <c r="F1955" s="111">
        <v>235227.51999999999</v>
      </c>
      <c r="G1955" s="111">
        <v>233751.02</v>
      </c>
      <c r="H1955" s="112"/>
      <c r="I1955" s="110">
        <v>189697.1</v>
      </c>
      <c r="J1955" s="111">
        <v>199827.91</v>
      </c>
      <c r="K1955" s="111">
        <v>202282.45</v>
      </c>
      <c r="L1955" s="111">
        <v>203790.48</v>
      </c>
      <c r="M1955" s="112"/>
    </row>
    <row r="1956" spans="1:13" x14ac:dyDescent="0.2">
      <c r="A1956" s="113" t="s">
        <v>49</v>
      </c>
      <c r="B1956" s="113" t="s">
        <v>70</v>
      </c>
      <c r="C1956" s="113" t="s">
        <v>223</v>
      </c>
      <c r="D1956" s="114">
        <v>199938.15</v>
      </c>
      <c r="E1956" s="115">
        <v>197529.15</v>
      </c>
      <c r="F1956" s="115">
        <v>196366.95</v>
      </c>
      <c r="G1956" s="115"/>
      <c r="H1956" s="116"/>
      <c r="I1956" s="114">
        <v>169562.89</v>
      </c>
      <c r="J1956" s="115">
        <v>174880.39</v>
      </c>
      <c r="K1956" s="115">
        <v>175418.29</v>
      </c>
      <c r="L1956" s="115"/>
      <c r="M1956" s="116"/>
    </row>
    <row r="1957" spans="1:13" x14ac:dyDescent="0.2">
      <c r="A1957" t="s">
        <v>49</v>
      </c>
      <c r="B1957" t="s">
        <v>70</v>
      </c>
      <c r="C1957" t="s">
        <v>224</v>
      </c>
      <c r="D1957" s="110">
        <v>178618.16</v>
      </c>
      <c r="E1957" s="111">
        <v>175853.66</v>
      </c>
      <c r="F1957" s="111"/>
      <c r="G1957" s="111"/>
      <c r="H1957" s="112"/>
      <c r="I1957" s="110">
        <v>138882.19</v>
      </c>
      <c r="J1957" s="111">
        <v>144300.14000000001</v>
      </c>
      <c r="K1957" s="111"/>
      <c r="L1957" s="111"/>
      <c r="M1957" s="112"/>
    </row>
    <row r="1958" spans="1:13" x14ac:dyDescent="0.2">
      <c r="A1958" s="117" t="s">
        <v>49</v>
      </c>
      <c r="B1958" s="117" t="s">
        <v>70</v>
      </c>
      <c r="C1958" s="117" t="s">
        <v>225</v>
      </c>
      <c r="D1958" s="118">
        <v>283090.36</v>
      </c>
      <c r="E1958" s="119"/>
      <c r="F1958" s="119"/>
      <c r="G1958" s="119"/>
      <c r="H1958" s="120"/>
      <c r="I1958" s="118">
        <v>230090.71</v>
      </c>
      <c r="J1958" s="119"/>
      <c r="K1958" s="119"/>
      <c r="L1958" s="119"/>
      <c r="M1958" s="120"/>
    </row>
    <row r="1959" spans="1:13" x14ac:dyDescent="0.2">
      <c r="A1959" t="s">
        <v>49</v>
      </c>
      <c r="B1959" t="s">
        <v>110</v>
      </c>
      <c r="C1959" t="s">
        <v>222</v>
      </c>
      <c r="D1959" s="110">
        <v>2749000.59</v>
      </c>
      <c r="E1959" s="111">
        <v>3000160.55</v>
      </c>
      <c r="F1959" s="111">
        <v>2987178.66</v>
      </c>
      <c r="G1959" s="111">
        <v>2974486.52</v>
      </c>
      <c r="H1959" s="112"/>
      <c r="I1959" s="110">
        <v>1052113.23</v>
      </c>
      <c r="J1959" s="111">
        <v>1851102.27</v>
      </c>
      <c r="K1959" s="111">
        <v>2165587.2000000002</v>
      </c>
      <c r="L1959" s="111">
        <v>2364791.38</v>
      </c>
      <c r="M1959" s="112"/>
    </row>
    <row r="1960" spans="1:13" x14ac:dyDescent="0.2">
      <c r="A1960" s="113" t="s">
        <v>49</v>
      </c>
      <c r="B1960" s="113" t="s">
        <v>110</v>
      </c>
      <c r="C1960" s="113" t="s">
        <v>223</v>
      </c>
      <c r="D1960" s="114">
        <v>2732940.66</v>
      </c>
      <c r="E1960" s="115">
        <v>2839822.66</v>
      </c>
      <c r="F1960" s="115">
        <v>3072056.69</v>
      </c>
      <c r="G1960" s="115"/>
      <c r="H1960" s="116"/>
      <c r="I1960" s="114">
        <v>1102180.81</v>
      </c>
      <c r="J1960" s="115">
        <v>1567602.39</v>
      </c>
      <c r="K1960" s="115">
        <v>1874838.88</v>
      </c>
      <c r="L1960" s="115"/>
      <c r="M1960" s="116"/>
    </row>
    <row r="1961" spans="1:13" x14ac:dyDescent="0.2">
      <c r="A1961" t="s">
        <v>49</v>
      </c>
      <c r="B1961" t="s">
        <v>110</v>
      </c>
      <c r="C1961" t="s">
        <v>224</v>
      </c>
      <c r="D1961" s="110">
        <v>1598170.41</v>
      </c>
      <c r="E1961" s="111">
        <v>1759955.35</v>
      </c>
      <c r="F1961" s="111"/>
      <c r="G1961" s="111"/>
      <c r="H1961" s="112"/>
      <c r="I1961" s="110">
        <v>461076.63</v>
      </c>
      <c r="J1961" s="111">
        <v>873583.06</v>
      </c>
      <c r="K1961" s="111"/>
      <c r="L1961" s="111"/>
      <c r="M1961" s="112"/>
    </row>
    <row r="1962" spans="1:13" ht="13.5" thickBot="1" x14ac:dyDescent="0.25">
      <c r="A1962" s="128" t="s">
        <v>49</v>
      </c>
      <c r="B1962" s="128" t="s">
        <v>110</v>
      </c>
      <c r="C1962" s="128" t="s">
        <v>225</v>
      </c>
      <c r="D1962" s="129">
        <v>2330401.29</v>
      </c>
      <c r="E1962" s="130"/>
      <c r="F1962" s="130"/>
      <c r="G1962" s="130"/>
      <c r="H1962" s="131"/>
      <c r="I1962" s="129">
        <v>799359.5</v>
      </c>
      <c r="J1962" s="130"/>
      <c r="K1962" s="130"/>
      <c r="L1962" s="130"/>
      <c r="M1962" s="131"/>
    </row>
    <row r="1963" spans="1:13" x14ac:dyDescent="0.2">
      <c r="A1963" s="132" t="s">
        <v>50</v>
      </c>
      <c r="B1963" s="132" t="s">
        <v>104</v>
      </c>
      <c r="C1963" s="132" t="s">
        <v>222</v>
      </c>
      <c r="D1963" s="133">
        <v>1988108.41</v>
      </c>
      <c r="E1963" s="134">
        <v>1976191.37</v>
      </c>
      <c r="F1963" s="134">
        <v>1974731.65</v>
      </c>
      <c r="G1963" s="134">
        <v>1967725.51</v>
      </c>
      <c r="H1963" s="135"/>
      <c r="I1963" s="133">
        <v>73078.06</v>
      </c>
      <c r="J1963" s="134">
        <v>111143.45</v>
      </c>
      <c r="K1963" s="134">
        <v>136711.29999999999</v>
      </c>
      <c r="L1963" s="134">
        <v>181340.98</v>
      </c>
      <c r="M1963" s="135"/>
    </row>
    <row r="1964" spans="1:13" x14ac:dyDescent="0.2">
      <c r="A1964" s="113" t="s">
        <v>50</v>
      </c>
      <c r="B1964" s="113" t="s">
        <v>104</v>
      </c>
      <c r="C1964" s="113" t="s">
        <v>223</v>
      </c>
      <c r="D1964" s="114">
        <v>1774629.51</v>
      </c>
      <c r="E1964" s="115">
        <v>1769328.23</v>
      </c>
      <c r="F1964" s="115">
        <v>1763750.76</v>
      </c>
      <c r="G1964" s="115"/>
      <c r="H1964" s="116"/>
      <c r="I1964" s="114">
        <v>70546.02</v>
      </c>
      <c r="J1964" s="115">
        <v>110527.4</v>
      </c>
      <c r="K1964" s="115">
        <v>144155.79999999999</v>
      </c>
      <c r="L1964" s="115"/>
      <c r="M1964" s="116"/>
    </row>
    <row r="1965" spans="1:13" x14ac:dyDescent="0.2">
      <c r="A1965" t="s">
        <v>50</v>
      </c>
      <c r="B1965" t="s">
        <v>104</v>
      </c>
      <c r="C1965" t="s">
        <v>224</v>
      </c>
      <c r="D1965" s="110">
        <v>1139441.94</v>
      </c>
      <c r="E1965" s="111">
        <v>1131580.6000000001</v>
      </c>
      <c r="F1965" s="111"/>
      <c r="G1965" s="111"/>
      <c r="H1965" s="112"/>
      <c r="I1965" s="110">
        <v>36398.18</v>
      </c>
      <c r="J1965" s="111">
        <v>56303.41</v>
      </c>
      <c r="K1965" s="111"/>
      <c r="L1965" s="111"/>
      <c r="M1965" s="112"/>
    </row>
    <row r="1966" spans="1:13" x14ac:dyDescent="0.2">
      <c r="A1966" s="117" t="s">
        <v>50</v>
      </c>
      <c r="B1966" s="117" t="s">
        <v>104</v>
      </c>
      <c r="C1966" s="117" t="s">
        <v>225</v>
      </c>
      <c r="D1966" s="118">
        <v>1023261.3</v>
      </c>
      <c r="E1966" s="119"/>
      <c r="F1966" s="119"/>
      <c r="G1966" s="119"/>
      <c r="H1966" s="120"/>
      <c r="I1966" s="118">
        <v>78983.58</v>
      </c>
      <c r="J1966" s="119"/>
      <c r="K1966" s="119"/>
      <c r="L1966" s="119"/>
      <c r="M1966" s="120"/>
    </row>
    <row r="1967" spans="1:13" x14ac:dyDescent="0.2">
      <c r="A1967" t="s">
        <v>50</v>
      </c>
      <c r="B1967" t="s">
        <v>140</v>
      </c>
      <c r="C1967" t="s">
        <v>222</v>
      </c>
      <c r="D1967" s="110">
        <v>846293.05</v>
      </c>
      <c r="E1967" s="111">
        <v>846292</v>
      </c>
      <c r="F1967" s="111">
        <v>846292</v>
      </c>
      <c r="G1967" s="111">
        <v>846292</v>
      </c>
      <c r="H1967" s="112"/>
      <c r="I1967" s="110">
        <v>0</v>
      </c>
      <c r="J1967" s="111">
        <v>0</v>
      </c>
      <c r="K1967" s="111">
        <v>0</v>
      </c>
      <c r="L1967" s="111">
        <v>0</v>
      </c>
      <c r="M1967" s="112"/>
    </row>
    <row r="1968" spans="1:13" x14ac:dyDescent="0.2">
      <c r="A1968" s="113" t="s">
        <v>50</v>
      </c>
      <c r="B1968" s="113" t="s">
        <v>140</v>
      </c>
      <c r="C1968" s="113" t="s">
        <v>223</v>
      </c>
      <c r="D1968" s="114">
        <v>581526</v>
      </c>
      <c r="E1968" s="115">
        <v>581526</v>
      </c>
      <c r="F1968" s="115">
        <v>581526</v>
      </c>
      <c r="G1968" s="115"/>
      <c r="H1968" s="116"/>
      <c r="I1968" s="114">
        <v>0</v>
      </c>
      <c r="J1968" s="115">
        <v>0</v>
      </c>
      <c r="K1968" s="115">
        <v>0</v>
      </c>
      <c r="L1968" s="115"/>
      <c r="M1968" s="116"/>
    </row>
    <row r="1969" spans="1:13" x14ac:dyDescent="0.2">
      <c r="A1969" t="s">
        <v>50</v>
      </c>
      <c r="B1969" t="s">
        <v>140</v>
      </c>
      <c r="C1969" t="s">
        <v>224</v>
      </c>
      <c r="D1969" s="110">
        <v>237680</v>
      </c>
      <c r="E1969" s="111">
        <v>237680</v>
      </c>
      <c r="F1969" s="111"/>
      <c r="G1969" s="111"/>
      <c r="H1969" s="112"/>
      <c r="I1969" s="110">
        <v>0</v>
      </c>
      <c r="J1969" s="111">
        <v>0</v>
      </c>
      <c r="K1969" s="111"/>
      <c r="L1969" s="111"/>
      <c r="M1969" s="112"/>
    </row>
    <row r="1970" spans="1:13" x14ac:dyDescent="0.2">
      <c r="A1970" s="117" t="s">
        <v>50</v>
      </c>
      <c r="B1970" s="117" t="s">
        <v>140</v>
      </c>
      <c r="C1970" s="117" t="s">
        <v>225</v>
      </c>
      <c r="D1970" s="118">
        <v>112274</v>
      </c>
      <c r="E1970" s="119"/>
      <c r="F1970" s="119"/>
      <c r="G1970" s="119"/>
      <c r="H1970" s="120"/>
      <c r="I1970" s="118">
        <v>0</v>
      </c>
      <c r="J1970" s="119"/>
      <c r="K1970" s="119"/>
      <c r="L1970" s="119"/>
      <c r="M1970" s="120"/>
    </row>
    <row r="1971" spans="1:13" x14ac:dyDescent="0.2">
      <c r="A1971" t="s">
        <v>50</v>
      </c>
      <c r="B1971" t="s">
        <v>105</v>
      </c>
      <c r="C1971" t="s">
        <v>222</v>
      </c>
      <c r="D1971" s="110">
        <v>855058.95</v>
      </c>
      <c r="E1971" s="111">
        <v>845606.6</v>
      </c>
      <c r="F1971" s="111">
        <v>841697.22</v>
      </c>
      <c r="G1971" s="111">
        <v>836951.91</v>
      </c>
      <c r="H1971" s="112"/>
      <c r="I1971" s="110">
        <v>178546.16</v>
      </c>
      <c r="J1971" s="111">
        <v>232208.04</v>
      </c>
      <c r="K1971" s="111">
        <v>258375.46</v>
      </c>
      <c r="L1971" s="111">
        <v>285123.27</v>
      </c>
      <c r="M1971" s="112"/>
    </row>
    <row r="1972" spans="1:13" x14ac:dyDescent="0.2">
      <c r="A1972" s="113" t="s">
        <v>50</v>
      </c>
      <c r="B1972" s="113" t="s">
        <v>105</v>
      </c>
      <c r="C1972" s="113" t="s">
        <v>223</v>
      </c>
      <c r="D1972" s="114">
        <v>769217</v>
      </c>
      <c r="E1972" s="115">
        <v>765096.15</v>
      </c>
      <c r="F1972" s="115">
        <v>759946.94</v>
      </c>
      <c r="G1972" s="115"/>
      <c r="H1972" s="116"/>
      <c r="I1972" s="114">
        <v>162581.06</v>
      </c>
      <c r="J1972" s="115">
        <v>197329.76</v>
      </c>
      <c r="K1972" s="115">
        <v>226326.65</v>
      </c>
      <c r="L1972" s="115"/>
      <c r="M1972" s="116"/>
    </row>
    <row r="1973" spans="1:13" x14ac:dyDescent="0.2">
      <c r="A1973" t="s">
        <v>50</v>
      </c>
      <c r="B1973" t="s">
        <v>105</v>
      </c>
      <c r="C1973" t="s">
        <v>224</v>
      </c>
      <c r="D1973" s="110">
        <v>326382.68</v>
      </c>
      <c r="E1973" s="111">
        <v>323074.53000000003</v>
      </c>
      <c r="F1973" s="111"/>
      <c r="G1973" s="111"/>
      <c r="H1973" s="112"/>
      <c r="I1973" s="110">
        <v>67197.05</v>
      </c>
      <c r="J1973" s="111">
        <v>87085.67</v>
      </c>
      <c r="K1973" s="111"/>
      <c r="L1973" s="111"/>
      <c r="M1973" s="112"/>
    </row>
    <row r="1974" spans="1:13" x14ac:dyDescent="0.2">
      <c r="A1974" s="117" t="s">
        <v>50</v>
      </c>
      <c r="B1974" s="117" t="s">
        <v>105</v>
      </c>
      <c r="C1974" s="117" t="s">
        <v>225</v>
      </c>
      <c r="D1974" s="118">
        <v>651157.91</v>
      </c>
      <c r="E1974" s="119"/>
      <c r="F1974" s="119"/>
      <c r="G1974" s="119"/>
      <c r="H1974" s="120"/>
      <c r="I1974" s="118">
        <v>132998.54</v>
      </c>
      <c r="J1974" s="119"/>
      <c r="K1974" s="119"/>
      <c r="L1974" s="119"/>
      <c r="M1974" s="120"/>
    </row>
    <row r="1975" spans="1:13" x14ac:dyDescent="0.2">
      <c r="A1975" t="s">
        <v>50</v>
      </c>
      <c r="B1975" t="s">
        <v>111</v>
      </c>
      <c r="C1975" t="s">
        <v>222</v>
      </c>
      <c r="D1975" s="110">
        <v>44735</v>
      </c>
      <c r="E1975" s="111">
        <v>44565.5</v>
      </c>
      <c r="F1975" s="111">
        <v>44465.5</v>
      </c>
      <c r="G1975" s="111">
        <v>44315.5</v>
      </c>
      <c r="H1975" s="112"/>
      <c r="I1975" s="110">
        <v>2566.5</v>
      </c>
      <c r="J1975" s="111">
        <v>3050.5</v>
      </c>
      <c r="K1975" s="111">
        <v>3250.5</v>
      </c>
      <c r="L1975" s="111">
        <v>3500.5</v>
      </c>
      <c r="M1975" s="112"/>
    </row>
    <row r="1976" spans="1:13" x14ac:dyDescent="0.2">
      <c r="A1976" s="113" t="s">
        <v>50</v>
      </c>
      <c r="B1976" s="113" t="s">
        <v>111</v>
      </c>
      <c r="C1976" s="113" t="s">
        <v>223</v>
      </c>
      <c r="D1976" s="114">
        <v>39359.550000000003</v>
      </c>
      <c r="E1976" s="115">
        <v>39209.550000000003</v>
      </c>
      <c r="F1976" s="115">
        <v>38909.550000000003</v>
      </c>
      <c r="G1976" s="115"/>
      <c r="H1976" s="116"/>
      <c r="I1976" s="114">
        <v>1532</v>
      </c>
      <c r="J1976" s="115">
        <v>1633.5</v>
      </c>
      <c r="K1976" s="115">
        <v>1883.5</v>
      </c>
      <c r="L1976" s="115"/>
      <c r="M1976" s="116"/>
    </row>
    <row r="1977" spans="1:13" x14ac:dyDescent="0.2">
      <c r="A1977" t="s">
        <v>50</v>
      </c>
      <c r="B1977" t="s">
        <v>111</v>
      </c>
      <c r="C1977" t="s">
        <v>224</v>
      </c>
      <c r="D1977" s="110">
        <v>16806</v>
      </c>
      <c r="E1977" s="111">
        <v>16956</v>
      </c>
      <c r="F1977" s="111"/>
      <c r="G1977" s="111"/>
      <c r="H1977" s="112"/>
      <c r="I1977" s="110">
        <v>356</v>
      </c>
      <c r="J1977" s="111">
        <v>356</v>
      </c>
      <c r="K1977" s="111"/>
      <c r="L1977" s="111"/>
      <c r="M1977" s="112"/>
    </row>
    <row r="1978" spans="1:13" x14ac:dyDescent="0.2">
      <c r="A1978" s="117" t="s">
        <v>50</v>
      </c>
      <c r="B1978" s="117" t="s">
        <v>111</v>
      </c>
      <c r="C1978" s="117" t="s">
        <v>225</v>
      </c>
      <c r="D1978" s="118">
        <v>30065</v>
      </c>
      <c r="E1978" s="119"/>
      <c r="F1978" s="119"/>
      <c r="G1978" s="119"/>
      <c r="H1978" s="120"/>
      <c r="I1978" s="118">
        <v>964.65</v>
      </c>
      <c r="J1978" s="119"/>
      <c r="K1978" s="119"/>
      <c r="L1978" s="119"/>
      <c r="M1978" s="120"/>
    </row>
    <row r="1979" spans="1:13" x14ac:dyDescent="0.2">
      <c r="A1979" s="124" t="s">
        <v>50</v>
      </c>
      <c r="B1979" s="124" t="s">
        <v>109</v>
      </c>
      <c r="C1979" s="124" t="s">
        <v>222</v>
      </c>
      <c r="D1979" s="125">
        <v>1484345</v>
      </c>
      <c r="E1979" s="126">
        <v>1466407</v>
      </c>
      <c r="F1979" s="126">
        <v>1453087.54</v>
      </c>
      <c r="G1979" s="126">
        <v>1442718.58</v>
      </c>
      <c r="H1979" s="127"/>
      <c r="I1979" s="125">
        <v>357051.22</v>
      </c>
      <c r="J1979" s="126">
        <v>542937.56999999995</v>
      </c>
      <c r="K1979" s="126">
        <v>631012.12</v>
      </c>
      <c r="L1979" s="126">
        <v>736452.76</v>
      </c>
      <c r="M1979" s="127"/>
    </row>
    <row r="1980" spans="1:13" x14ac:dyDescent="0.2">
      <c r="A1980" s="113" t="s">
        <v>50</v>
      </c>
      <c r="B1980" s="113" t="s">
        <v>109</v>
      </c>
      <c r="C1980" s="113" t="s">
        <v>223</v>
      </c>
      <c r="D1980" s="114">
        <v>1350717.18</v>
      </c>
      <c r="E1980" s="115">
        <v>1343052.84</v>
      </c>
      <c r="F1980" s="115">
        <v>1325597.76</v>
      </c>
      <c r="G1980" s="115"/>
      <c r="H1980" s="116"/>
      <c r="I1980" s="114">
        <v>306679.2</v>
      </c>
      <c r="J1980" s="115">
        <v>428412.46</v>
      </c>
      <c r="K1980" s="115">
        <v>530977.69999999995</v>
      </c>
      <c r="L1980" s="115"/>
      <c r="M1980" s="116"/>
    </row>
    <row r="1981" spans="1:13" x14ac:dyDescent="0.2">
      <c r="A1981" t="s">
        <v>50</v>
      </c>
      <c r="B1981" t="s">
        <v>109</v>
      </c>
      <c r="C1981" t="s">
        <v>224</v>
      </c>
      <c r="D1981" s="110">
        <v>548832.89</v>
      </c>
      <c r="E1981" s="111">
        <v>541027.18000000005</v>
      </c>
      <c r="F1981" s="111"/>
      <c r="G1981" s="111"/>
      <c r="H1981" s="112"/>
      <c r="I1981" s="110">
        <v>116304.04</v>
      </c>
      <c r="J1981" s="111">
        <v>187811.8</v>
      </c>
      <c r="K1981" s="111"/>
      <c r="L1981" s="111"/>
      <c r="M1981" s="112"/>
    </row>
    <row r="1982" spans="1:13" x14ac:dyDescent="0.2">
      <c r="A1982" s="117" t="s">
        <v>50</v>
      </c>
      <c r="B1982" s="117" t="s">
        <v>109</v>
      </c>
      <c r="C1982" s="117" t="s">
        <v>225</v>
      </c>
      <c r="D1982" s="118">
        <v>1205946.68</v>
      </c>
      <c r="E1982" s="119"/>
      <c r="F1982" s="119"/>
      <c r="G1982" s="119"/>
      <c r="H1982" s="120"/>
      <c r="I1982" s="118">
        <v>283555.71000000002</v>
      </c>
      <c r="J1982" s="119"/>
      <c r="K1982" s="119"/>
      <c r="L1982" s="119"/>
      <c r="M1982" s="120"/>
    </row>
    <row r="1983" spans="1:13" x14ac:dyDescent="0.2">
      <c r="A1983" t="s">
        <v>50</v>
      </c>
      <c r="B1983" t="s">
        <v>106</v>
      </c>
      <c r="C1983" t="s">
        <v>222</v>
      </c>
      <c r="D1983" s="110">
        <v>2759217.05</v>
      </c>
      <c r="E1983" s="111">
        <v>2743791.05</v>
      </c>
      <c r="F1983" s="111">
        <v>2738859.55</v>
      </c>
      <c r="G1983" s="111">
        <v>2730629.55</v>
      </c>
      <c r="H1983" s="112"/>
      <c r="I1983" s="110">
        <v>2719017.72</v>
      </c>
      <c r="J1983" s="111">
        <v>2714787.46</v>
      </c>
      <c r="K1983" s="111">
        <v>2709797.14</v>
      </c>
      <c r="L1983" s="111">
        <v>2704101.94</v>
      </c>
      <c r="M1983" s="112"/>
    </row>
    <row r="1984" spans="1:13" x14ac:dyDescent="0.2">
      <c r="A1984" s="113" t="s">
        <v>50</v>
      </c>
      <c r="B1984" s="113" t="s">
        <v>106</v>
      </c>
      <c r="C1984" s="113" t="s">
        <v>223</v>
      </c>
      <c r="D1984" s="114">
        <v>2528604.89</v>
      </c>
      <c r="E1984" s="115">
        <v>2520753.94</v>
      </c>
      <c r="F1984" s="115">
        <v>2510742.94</v>
      </c>
      <c r="G1984" s="115"/>
      <c r="H1984" s="116"/>
      <c r="I1984" s="114">
        <v>2490482.9700000002</v>
      </c>
      <c r="J1984" s="115">
        <v>2491012.0299999998</v>
      </c>
      <c r="K1984" s="115">
        <v>2487386.46</v>
      </c>
      <c r="L1984" s="115"/>
      <c r="M1984" s="116"/>
    </row>
    <row r="1985" spans="1:13" x14ac:dyDescent="0.2">
      <c r="A1985" t="s">
        <v>50</v>
      </c>
      <c r="B1985" t="s">
        <v>106</v>
      </c>
      <c r="C1985" t="s">
        <v>224</v>
      </c>
      <c r="D1985" s="110">
        <v>1537965.1</v>
      </c>
      <c r="E1985" s="111">
        <v>1533113.1</v>
      </c>
      <c r="F1985" s="111"/>
      <c r="G1985" s="111"/>
      <c r="H1985" s="112"/>
      <c r="I1985" s="110">
        <v>1504427</v>
      </c>
      <c r="J1985" s="111">
        <v>1515739.67</v>
      </c>
      <c r="K1985" s="111"/>
      <c r="L1985" s="111"/>
      <c r="M1985" s="112"/>
    </row>
    <row r="1986" spans="1:13" x14ac:dyDescent="0.2">
      <c r="A1986" s="117" t="s">
        <v>50</v>
      </c>
      <c r="B1986" s="117" t="s">
        <v>106</v>
      </c>
      <c r="C1986" s="117" t="s">
        <v>225</v>
      </c>
      <c r="D1986" s="118">
        <v>1970301.5</v>
      </c>
      <c r="E1986" s="119"/>
      <c r="F1986" s="119"/>
      <c r="G1986" s="119"/>
      <c r="H1986" s="120"/>
      <c r="I1986" s="118">
        <v>1937240.76</v>
      </c>
      <c r="J1986" s="119"/>
      <c r="K1986" s="119"/>
      <c r="L1986" s="119"/>
      <c r="M1986" s="120"/>
    </row>
    <row r="1987" spans="1:13" x14ac:dyDescent="0.2">
      <c r="A1987" t="s">
        <v>50</v>
      </c>
      <c r="B1987" t="s">
        <v>107</v>
      </c>
      <c r="C1987" t="s">
        <v>222</v>
      </c>
      <c r="D1987" s="110">
        <v>2315281.94</v>
      </c>
      <c r="E1987" s="111">
        <v>2312979.94</v>
      </c>
      <c r="F1987" s="111">
        <v>2311481.7400000002</v>
      </c>
      <c r="G1987" s="111">
        <v>2310230.7400000002</v>
      </c>
      <c r="H1987" s="112"/>
      <c r="I1987" s="110">
        <v>2306385.4500000002</v>
      </c>
      <c r="J1987" s="111">
        <v>2307350.62</v>
      </c>
      <c r="K1987" s="111">
        <v>2308531.9</v>
      </c>
      <c r="L1987" s="111">
        <v>2308533.2200000002</v>
      </c>
      <c r="M1987" s="112"/>
    </row>
    <row r="1988" spans="1:13" x14ac:dyDescent="0.2">
      <c r="A1988" s="113" t="s">
        <v>50</v>
      </c>
      <c r="B1988" s="113" t="s">
        <v>107</v>
      </c>
      <c r="C1988" s="113" t="s">
        <v>223</v>
      </c>
      <c r="D1988" s="114">
        <v>2469446.92</v>
      </c>
      <c r="E1988" s="115">
        <v>2460698.42</v>
      </c>
      <c r="F1988" s="115">
        <v>2459710.2200000002</v>
      </c>
      <c r="G1988" s="115"/>
      <c r="H1988" s="116"/>
      <c r="I1988" s="114">
        <v>2461795.9</v>
      </c>
      <c r="J1988" s="115">
        <v>2458254.1</v>
      </c>
      <c r="K1988" s="115">
        <v>2458024.87</v>
      </c>
      <c r="L1988" s="115"/>
      <c r="M1988" s="116"/>
    </row>
    <row r="1989" spans="1:13" x14ac:dyDescent="0.2">
      <c r="A1989" t="s">
        <v>50</v>
      </c>
      <c r="B1989" t="s">
        <v>107</v>
      </c>
      <c r="C1989" t="s">
        <v>224</v>
      </c>
      <c r="D1989" s="110">
        <v>1561686.11</v>
      </c>
      <c r="E1989" s="111">
        <v>1559419.81</v>
      </c>
      <c r="F1989" s="111"/>
      <c r="G1989" s="111"/>
      <c r="H1989" s="112"/>
      <c r="I1989" s="110">
        <v>1556785.48</v>
      </c>
      <c r="J1989" s="111">
        <v>1557577.86</v>
      </c>
      <c r="K1989" s="111"/>
      <c r="L1989" s="111"/>
      <c r="M1989" s="112"/>
    </row>
    <row r="1990" spans="1:13" x14ac:dyDescent="0.2">
      <c r="A1990" s="117" t="s">
        <v>50</v>
      </c>
      <c r="B1990" s="117" t="s">
        <v>107</v>
      </c>
      <c r="C1990" s="117" t="s">
        <v>225</v>
      </c>
      <c r="D1990" s="118">
        <v>1923931.77</v>
      </c>
      <c r="E1990" s="119"/>
      <c r="F1990" s="119"/>
      <c r="G1990" s="119"/>
      <c r="H1990" s="120"/>
      <c r="I1990" s="118">
        <v>1912485.39</v>
      </c>
      <c r="J1990" s="119"/>
      <c r="K1990" s="119"/>
      <c r="L1990" s="119"/>
      <c r="M1990" s="120"/>
    </row>
    <row r="1991" spans="1:13" x14ac:dyDescent="0.2">
      <c r="A1991" t="s">
        <v>50</v>
      </c>
      <c r="B1991" t="s">
        <v>108</v>
      </c>
      <c r="C1991" t="s">
        <v>222</v>
      </c>
      <c r="D1991" s="110">
        <v>577225.88</v>
      </c>
      <c r="E1991" s="111">
        <v>577367.88</v>
      </c>
      <c r="F1991" s="111">
        <v>575983.88</v>
      </c>
      <c r="G1991" s="111">
        <v>575350.88</v>
      </c>
      <c r="H1991" s="112"/>
      <c r="I1991" s="110">
        <v>573410.5</v>
      </c>
      <c r="J1991" s="111">
        <v>574476.97</v>
      </c>
      <c r="K1991" s="111">
        <v>573096.25</v>
      </c>
      <c r="L1991" s="111">
        <v>572518.56000000006</v>
      </c>
      <c r="M1991" s="112"/>
    </row>
    <row r="1992" spans="1:13" x14ac:dyDescent="0.2">
      <c r="A1992" s="113" t="s">
        <v>50</v>
      </c>
      <c r="B1992" s="113" t="s">
        <v>108</v>
      </c>
      <c r="C1992" s="113" t="s">
        <v>223</v>
      </c>
      <c r="D1992" s="114">
        <v>586445.54</v>
      </c>
      <c r="E1992" s="115">
        <v>583768.54</v>
      </c>
      <c r="F1992" s="115">
        <v>582034.54</v>
      </c>
      <c r="G1992" s="115"/>
      <c r="H1992" s="116"/>
      <c r="I1992" s="114">
        <v>581584.80000000005</v>
      </c>
      <c r="J1992" s="115">
        <v>580200.80000000005</v>
      </c>
      <c r="K1992" s="115">
        <v>578519.82999999996</v>
      </c>
      <c r="L1992" s="115"/>
      <c r="M1992" s="116"/>
    </row>
    <row r="1993" spans="1:13" x14ac:dyDescent="0.2">
      <c r="A1993" t="s">
        <v>50</v>
      </c>
      <c r="B1993" t="s">
        <v>108</v>
      </c>
      <c r="C1993" t="s">
        <v>224</v>
      </c>
      <c r="D1993" s="110">
        <v>532164.41</v>
      </c>
      <c r="E1993" s="111">
        <v>529472.41</v>
      </c>
      <c r="F1993" s="111"/>
      <c r="G1993" s="111"/>
      <c r="H1993" s="112"/>
      <c r="I1993" s="110">
        <v>528025.04</v>
      </c>
      <c r="J1993" s="111">
        <v>526158.16</v>
      </c>
      <c r="K1993" s="111"/>
      <c r="L1993" s="111"/>
      <c r="M1993" s="112"/>
    </row>
    <row r="1994" spans="1:13" x14ac:dyDescent="0.2">
      <c r="A1994" s="117" t="s">
        <v>50</v>
      </c>
      <c r="B1994" s="117" t="s">
        <v>108</v>
      </c>
      <c r="C1994" s="117" t="s">
        <v>225</v>
      </c>
      <c r="D1994" s="118">
        <v>619530.65</v>
      </c>
      <c r="E1994" s="119"/>
      <c r="F1994" s="119"/>
      <c r="G1994" s="119"/>
      <c r="H1994" s="120"/>
      <c r="I1994" s="118">
        <v>616837.37</v>
      </c>
      <c r="J1994" s="119"/>
      <c r="K1994" s="119"/>
      <c r="L1994" s="119"/>
      <c r="M1994" s="120"/>
    </row>
    <row r="1995" spans="1:13" x14ac:dyDescent="0.2">
      <c r="A1995" t="s">
        <v>50</v>
      </c>
      <c r="B1995" t="s">
        <v>70</v>
      </c>
      <c r="C1995" t="s">
        <v>222</v>
      </c>
      <c r="D1995" s="110">
        <v>742231.2</v>
      </c>
      <c r="E1995" s="111">
        <v>728447.1</v>
      </c>
      <c r="F1995" s="111">
        <v>720482.1</v>
      </c>
      <c r="G1995" s="111">
        <v>720073.1</v>
      </c>
      <c r="H1995" s="112"/>
      <c r="I1995" s="110">
        <v>701144.34</v>
      </c>
      <c r="J1995" s="111">
        <v>704299.03</v>
      </c>
      <c r="K1995" s="111">
        <v>705057.3</v>
      </c>
      <c r="L1995" s="111">
        <v>705975.3</v>
      </c>
      <c r="M1995" s="112"/>
    </row>
    <row r="1996" spans="1:13" x14ac:dyDescent="0.2">
      <c r="A1996" s="113" t="s">
        <v>50</v>
      </c>
      <c r="B1996" s="113" t="s">
        <v>70</v>
      </c>
      <c r="C1996" s="113" t="s">
        <v>223</v>
      </c>
      <c r="D1996" s="114">
        <v>731229.4</v>
      </c>
      <c r="E1996" s="115">
        <v>721433.25</v>
      </c>
      <c r="F1996" s="115">
        <v>720757</v>
      </c>
      <c r="G1996" s="115"/>
      <c r="H1996" s="116"/>
      <c r="I1996" s="114">
        <v>701931.27</v>
      </c>
      <c r="J1996" s="115">
        <v>703595.52000000002</v>
      </c>
      <c r="K1996" s="115">
        <v>705407.47</v>
      </c>
      <c r="L1996" s="115"/>
      <c r="M1996" s="116"/>
    </row>
    <row r="1997" spans="1:13" x14ac:dyDescent="0.2">
      <c r="A1997" t="s">
        <v>50</v>
      </c>
      <c r="B1997" t="s">
        <v>70</v>
      </c>
      <c r="C1997" t="s">
        <v>224</v>
      </c>
      <c r="D1997" s="110">
        <v>581270.75</v>
      </c>
      <c r="E1997" s="111">
        <v>577474.65</v>
      </c>
      <c r="F1997" s="111"/>
      <c r="G1997" s="111"/>
      <c r="H1997" s="112"/>
      <c r="I1997" s="110">
        <v>562496.47</v>
      </c>
      <c r="J1997" s="111">
        <v>564421.92000000004</v>
      </c>
      <c r="K1997" s="111"/>
      <c r="L1997" s="111"/>
      <c r="M1997" s="112"/>
    </row>
    <row r="1998" spans="1:13" x14ac:dyDescent="0.2">
      <c r="A1998" s="117" t="s">
        <v>50</v>
      </c>
      <c r="B1998" s="117" t="s">
        <v>70</v>
      </c>
      <c r="C1998" s="117" t="s">
        <v>225</v>
      </c>
      <c r="D1998" s="118">
        <v>761540.15</v>
      </c>
      <c r="E1998" s="119"/>
      <c r="F1998" s="119"/>
      <c r="G1998" s="119"/>
      <c r="H1998" s="120"/>
      <c r="I1998" s="118">
        <v>740049.6</v>
      </c>
      <c r="J1998" s="119"/>
      <c r="K1998" s="119"/>
      <c r="L1998" s="119"/>
      <c r="M1998" s="120"/>
    </row>
    <row r="1999" spans="1:13" x14ac:dyDescent="0.2">
      <c r="A1999" t="s">
        <v>50</v>
      </c>
      <c r="B1999" t="s">
        <v>110</v>
      </c>
      <c r="C1999" t="s">
        <v>222</v>
      </c>
      <c r="D1999" s="110">
        <v>5851291.8099999996</v>
      </c>
      <c r="E1999" s="111">
        <v>5435967.6600000001</v>
      </c>
      <c r="F1999" s="111">
        <v>5416311.3099999996</v>
      </c>
      <c r="G1999" s="111">
        <v>5399144.5099999998</v>
      </c>
      <c r="H1999" s="112"/>
      <c r="I1999" s="110">
        <v>2861210.34</v>
      </c>
      <c r="J1999" s="111">
        <v>4477483.21</v>
      </c>
      <c r="K1999" s="111">
        <v>4710234.99</v>
      </c>
      <c r="L1999" s="111">
        <v>4854748.6100000003</v>
      </c>
      <c r="M1999" s="112"/>
    </row>
    <row r="2000" spans="1:13" x14ac:dyDescent="0.2">
      <c r="A2000" s="113" t="s">
        <v>50</v>
      </c>
      <c r="B2000" s="113" t="s">
        <v>110</v>
      </c>
      <c r="C2000" s="113" t="s">
        <v>223</v>
      </c>
      <c r="D2000" s="114">
        <v>6071841.7599999998</v>
      </c>
      <c r="E2000" s="115">
        <v>5719565.7000000002</v>
      </c>
      <c r="F2000" s="115">
        <v>5649122.0499999998</v>
      </c>
      <c r="G2000" s="115"/>
      <c r="H2000" s="116"/>
      <c r="I2000" s="114">
        <v>2957014.34</v>
      </c>
      <c r="J2000" s="115">
        <v>4353732.55</v>
      </c>
      <c r="K2000" s="115">
        <v>4827603.54</v>
      </c>
      <c r="L2000" s="115"/>
      <c r="M2000" s="116"/>
    </row>
    <row r="2001" spans="1:13" x14ac:dyDescent="0.2">
      <c r="A2001" t="s">
        <v>50</v>
      </c>
      <c r="B2001" t="s">
        <v>110</v>
      </c>
      <c r="C2001" t="s">
        <v>224</v>
      </c>
      <c r="D2001" s="110">
        <v>2504327.25</v>
      </c>
      <c r="E2001" s="111">
        <v>2243562.5499999998</v>
      </c>
      <c r="F2001" s="111"/>
      <c r="G2001" s="111"/>
      <c r="H2001" s="112"/>
      <c r="I2001" s="110">
        <v>883928.33</v>
      </c>
      <c r="J2001" s="111">
        <v>1745054.24</v>
      </c>
      <c r="K2001" s="111"/>
      <c r="L2001" s="111"/>
      <c r="M2001" s="112"/>
    </row>
    <row r="2002" spans="1:13" ht="13.5" thickBot="1" x14ac:dyDescent="0.25">
      <c r="A2002" s="128" t="s">
        <v>50</v>
      </c>
      <c r="B2002" s="128" t="s">
        <v>110</v>
      </c>
      <c r="C2002" s="128" t="s">
        <v>225</v>
      </c>
      <c r="D2002" s="129">
        <v>4542286.01</v>
      </c>
      <c r="E2002" s="130"/>
      <c r="F2002" s="130"/>
      <c r="G2002" s="130"/>
      <c r="H2002" s="131"/>
      <c r="I2002" s="129">
        <v>1717430.86</v>
      </c>
      <c r="J2002" s="130"/>
      <c r="K2002" s="130"/>
      <c r="L2002" s="130"/>
      <c r="M2002" s="131"/>
    </row>
    <row r="2003" spans="1:13" x14ac:dyDescent="0.2">
      <c r="A2003" s="132" t="s">
        <v>51</v>
      </c>
      <c r="B2003" s="132" t="s">
        <v>104</v>
      </c>
      <c r="C2003" s="132" t="s">
        <v>222</v>
      </c>
      <c r="D2003" s="133">
        <v>1916981.93</v>
      </c>
      <c r="E2003" s="134">
        <v>1917267.43</v>
      </c>
      <c r="F2003" s="134">
        <v>1913900.67</v>
      </c>
      <c r="G2003" s="134">
        <v>1914325.24</v>
      </c>
      <c r="H2003" s="135"/>
      <c r="I2003" s="133">
        <v>42068.98</v>
      </c>
      <c r="J2003" s="134">
        <v>88364.65</v>
      </c>
      <c r="K2003" s="134">
        <v>125980.93</v>
      </c>
      <c r="L2003" s="134">
        <v>160604.39000000001</v>
      </c>
      <c r="M2003" s="135"/>
    </row>
    <row r="2004" spans="1:13" x14ac:dyDescent="0.2">
      <c r="A2004" s="113" t="s">
        <v>51</v>
      </c>
      <c r="B2004" s="113" t="s">
        <v>104</v>
      </c>
      <c r="C2004" s="113" t="s">
        <v>223</v>
      </c>
      <c r="D2004" s="114">
        <v>1568415.64</v>
      </c>
      <c r="E2004" s="115">
        <v>1574779.47</v>
      </c>
      <c r="F2004" s="115">
        <v>1574300.93</v>
      </c>
      <c r="G2004" s="115"/>
      <c r="H2004" s="116"/>
      <c r="I2004" s="114">
        <v>45380.42</v>
      </c>
      <c r="J2004" s="115">
        <v>89352.2</v>
      </c>
      <c r="K2004" s="115">
        <v>119468.67</v>
      </c>
      <c r="L2004" s="115"/>
      <c r="M2004" s="116"/>
    </row>
    <row r="2005" spans="1:13" x14ac:dyDescent="0.2">
      <c r="A2005" t="s">
        <v>51</v>
      </c>
      <c r="B2005" t="s">
        <v>104</v>
      </c>
      <c r="C2005" t="s">
        <v>224</v>
      </c>
      <c r="D2005" s="110">
        <v>468213.07</v>
      </c>
      <c r="E2005" s="111">
        <v>467794.07</v>
      </c>
      <c r="F2005" s="111"/>
      <c r="G2005" s="111"/>
      <c r="H2005" s="112"/>
      <c r="I2005" s="110">
        <v>23007.93</v>
      </c>
      <c r="J2005" s="111">
        <v>30745.89</v>
      </c>
      <c r="K2005" s="111"/>
      <c r="L2005" s="111"/>
      <c r="M2005" s="112"/>
    </row>
    <row r="2006" spans="1:13" x14ac:dyDescent="0.2">
      <c r="A2006" s="117" t="s">
        <v>51</v>
      </c>
      <c r="B2006" s="117" t="s">
        <v>104</v>
      </c>
      <c r="C2006" s="117" t="s">
        <v>225</v>
      </c>
      <c r="D2006" s="118">
        <v>1003679.32</v>
      </c>
      <c r="E2006" s="119"/>
      <c r="F2006" s="119"/>
      <c r="G2006" s="119"/>
      <c r="H2006" s="120"/>
      <c r="I2006" s="118">
        <v>38908.879999999997</v>
      </c>
      <c r="J2006" s="119"/>
      <c r="K2006" s="119"/>
      <c r="L2006" s="119"/>
      <c r="M2006" s="120"/>
    </row>
    <row r="2007" spans="1:13" x14ac:dyDescent="0.2">
      <c r="A2007" t="s">
        <v>51</v>
      </c>
      <c r="B2007" t="s">
        <v>140</v>
      </c>
      <c r="C2007" t="s">
        <v>222</v>
      </c>
      <c r="D2007" s="110">
        <v>724395</v>
      </c>
      <c r="E2007" s="111">
        <v>724395</v>
      </c>
      <c r="F2007" s="111">
        <v>724395</v>
      </c>
      <c r="G2007" s="111">
        <v>724395</v>
      </c>
      <c r="H2007" s="112"/>
      <c r="I2007" s="110">
        <v>44</v>
      </c>
      <c r="J2007" s="111">
        <v>44</v>
      </c>
      <c r="K2007" s="111">
        <v>44</v>
      </c>
      <c r="L2007" s="111">
        <v>44</v>
      </c>
      <c r="M2007" s="112"/>
    </row>
    <row r="2008" spans="1:13" x14ac:dyDescent="0.2">
      <c r="A2008" s="113" t="s">
        <v>51</v>
      </c>
      <c r="B2008" s="113" t="s">
        <v>140</v>
      </c>
      <c r="C2008" s="113" t="s">
        <v>223</v>
      </c>
      <c r="D2008" s="114">
        <v>373455</v>
      </c>
      <c r="E2008" s="115">
        <v>373455</v>
      </c>
      <c r="F2008" s="115">
        <v>373455</v>
      </c>
      <c r="G2008" s="115"/>
      <c r="H2008" s="116"/>
      <c r="I2008" s="114">
        <v>12</v>
      </c>
      <c r="J2008" s="115">
        <v>12</v>
      </c>
      <c r="K2008" s="115">
        <v>12</v>
      </c>
      <c r="L2008" s="115"/>
      <c r="M2008" s="116"/>
    </row>
    <row r="2009" spans="1:13" x14ac:dyDescent="0.2">
      <c r="A2009" t="s">
        <v>51</v>
      </c>
      <c r="B2009" t="s">
        <v>140</v>
      </c>
      <c r="C2009" t="s">
        <v>224</v>
      </c>
      <c r="D2009" s="110">
        <v>854</v>
      </c>
      <c r="E2009" s="111">
        <v>854</v>
      </c>
      <c r="F2009" s="111"/>
      <c r="G2009" s="111"/>
      <c r="H2009" s="112"/>
      <c r="I2009" s="110">
        <v>0</v>
      </c>
      <c r="J2009" s="111">
        <v>0</v>
      </c>
      <c r="K2009" s="111"/>
      <c r="L2009" s="111"/>
      <c r="M2009" s="112"/>
    </row>
    <row r="2010" spans="1:13" x14ac:dyDescent="0.2">
      <c r="A2010" s="117" t="s">
        <v>51</v>
      </c>
      <c r="B2010" s="117" t="s">
        <v>140</v>
      </c>
      <c r="C2010" s="117" t="s">
        <v>225</v>
      </c>
      <c r="D2010" s="118">
        <v>478136</v>
      </c>
      <c r="E2010" s="119"/>
      <c r="F2010" s="119"/>
      <c r="G2010" s="119"/>
      <c r="H2010" s="120"/>
      <c r="I2010" s="118">
        <v>0</v>
      </c>
      <c r="J2010" s="119"/>
      <c r="K2010" s="119"/>
      <c r="L2010" s="119"/>
      <c r="M2010" s="120"/>
    </row>
    <row r="2011" spans="1:13" x14ac:dyDescent="0.2">
      <c r="A2011" t="s">
        <v>51</v>
      </c>
      <c r="B2011" t="s">
        <v>105</v>
      </c>
      <c r="C2011" t="s">
        <v>222</v>
      </c>
      <c r="D2011" s="110">
        <v>654990.86</v>
      </c>
      <c r="E2011" s="111">
        <v>658926.14</v>
      </c>
      <c r="F2011" s="111">
        <v>658307.89</v>
      </c>
      <c r="G2011" s="111">
        <v>657152.29</v>
      </c>
      <c r="H2011" s="112"/>
      <c r="I2011" s="110">
        <v>164057.48000000001</v>
      </c>
      <c r="J2011" s="111">
        <v>239280.64000000001</v>
      </c>
      <c r="K2011" s="111">
        <v>275282.39</v>
      </c>
      <c r="L2011" s="111">
        <v>301270.89</v>
      </c>
      <c r="M2011" s="112"/>
    </row>
    <row r="2012" spans="1:13" x14ac:dyDescent="0.2">
      <c r="A2012" s="113" t="s">
        <v>51</v>
      </c>
      <c r="B2012" s="113" t="s">
        <v>105</v>
      </c>
      <c r="C2012" s="113" t="s">
        <v>223</v>
      </c>
      <c r="D2012" s="114">
        <v>615410.43000000005</v>
      </c>
      <c r="E2012" s="115">
        <v>616052.43000000005</v>
      </c>
      <c r="F2012" s="115">
        <v>615533.43000000005</v>
      </c>
      <c r="G2012" s="115"/>
      <c r="H2012" s="116"/>
      <c r="I2012" s="114">
        <v>167103.13</v>
      </c>
      <c r="J2012" s="115">
        <v>218043.81</v>
      </c>
      <c r="K2012" s="115">
        <v>242196.7</v>
      </c>
      <c r="L2012" s="115"/>
      <c r="M2012" s="116"/>
    </row>
    <row r="2013" spans="1:13" x14ac:dyDescent="0.2">
      <c r="A2013" t="s">
        <v>51</v>
      </c>
      <c r="B2013" t="s">
        <v>105</v>
      </c>
      <c r="C2013" t="s">
        <v>224</v>
      </c>
      <c r="D2013" s="110">
        <v>163624.85</v>
      </c>
      <c r="E2013" s="111">
        <v>163146.35</v>
      </c>
      <c r="F2013" s="111"/>
      <c r="G2013" s="111"/>
      <c r="H2013" s="112"/>
      <c r="I2013" s="110">
        <v>40610.35</v>
      </c>
      <c r="J2013" s="111">
        <v>54389.85</v>
      </c>
      <c r="K2013" s="111"/>
      <c r="L2013" s="111"/>
      <c r="M2013" s="112"/>
    </row>
    <row r="2014" spans="1:13" x14ac:dyDescent="0.2">
      <c r="A2014" s="117" t="s">
        <v>51</v>
      </c>
      <c r="B2014" s="117" t="s">
        <v>105</v>
      </c>
      <c r="C2014" s="117" t="s">
        <v>225</v>
      </c>
      <c r="D2014" s="118">
        <v>351586.37</v>
      </c>
      <c r="E2014" s="119"/>
      <c r="F2014" s="119"/>
      <c r="G2014" s="119"/>
      <c r="H2014" s="120"/>
      <c r="I2014" s="118">
        <v>84515.1</v>
      </c>
      <c r="J2014" s="119"/>
      <c r="K2014" s="119"/>
      <c r="L2014" s="119"/>
      <c r="M2014" s="120"/>
    </row>
    <row r="2015" spans="1:13" x14ac:dyDescent="0.2">
      <c r="A2015" t="s">
        <v>51</v>
      </c>
      <c r="B2015" t="s">
        <v>111</v>
      </c>
      <c r="C2015" t="s">
        <v>222</v>
      </c>
      <c r="D2015" s="110">
        <v>46275.71</v>
      </c>
      <c r="E2015" s="111">
        <v>44407.85</v>
      </c>
      <c r="F2015" s="111">
        <v>44157.85</v>
      </c>
      <c r="G2015" s="111">
        <v>43739.85</v>
      </c>
      <c r="H2015" s="112"/>
      <c r="I2015" s="110">
        <v>2074</v>
      </c>
      <c r="J2015" s="111">
        <v>3327</v>
      </c>
      <c r="K2015" s="111">
        <v>3732.5</v>
      </c>
      <c r="L2015" s="111">
        <v>4096.5</v>
      </c>
      <c r="M2015" s="112"/>
    </row>
    <row r="2016" spans="1:13" x14ac:dyDescent="0.2">
      <c r="A2016" s="113" t="s">
        <v>51</v>
      </c>
      <c r="B2016" s="113" t="s">
        <v>111</v>
      </c>
      <c r="C2016" s="113" t="s">
        <v>223</v>
      </c>
      <c r="D2016" s="114">
        <v>41387.5</v>
      </c>
      <c r="E2016" s="115">
        <v>40518.6</v>
      </c>
      <c r="F2016" s="115">
        <v>40518.6</v>
      </c>
      <c r="G2016" s="115"/>
      <c r="H2016" s="116"/>
      <c r="I2016" s="114">
        <v>3085.5</v>
      </c>
      <c r="J2016" s="115">
        <v>3787.1</v>
      </c>
      <c r="K2016" s="115">
        <v>3857.1</v>
      </c>
      <c r="L2016" s="115"/>
      <c r="M2016" s="116"/>
    </row>
    <row r="2017" spans="1:13" x14ac:dyDescent="0.2">
      <c r="A2017" t="s">
        <v>51</v>
      </c>
      <c r="B2017" t="s">
        <v>111</v>
      </c>
      <c r="C2017" t="s">
        <v>224</v>
      </c>
      <c r="D2017" s="110">
        <v>10563</v>
      </c>
      <c r="E2017" s="111">
        <v>10163</v>
      </c>
      <c r="F2017" s="111"/>
      <c r="G2017" s="111"/>
      <c r="H2017" s="112"/>
      <c r="I2017" s="110">
        <v>873</v>
      </c>
      <c r="J2017" s="111">
        <v>1110</v>
      </c>
      <c r="K2017" s="111"/>
      <c r="L2017" s="111"/>
      <c r="M2017" s="112"/>
    </row>
    <row r="2018" spans="1:13" x14ac:dyDescent="0.2">
      <c r="A2018" s="117" t="s">
        <v>51</v>
      </c>
      <c r="B2018" s="117" t="s">
        <v>111</v>
      </c>
      <c r="C2018" s="117" t="s">
        <v>225</v>
      </c>
      <c r="D2018" s="118">
        <v>69432.5</v>
      </c>
      <c r="E2018" s="119"/>
      <c r="F2018" s="119"/>
      <c r="G2018" s="119"/>
      <c r="H2018" s="120"/>
      <c r="I2018" s="118">
        <v>2624.5</v>
      </c>
      <c r="J2018" s="119"/>
      <c r="K2018" s="119"/>
      <c r="L2018" s="119"/>
      <c r="M2018" s="120"/>
    </row>
    <row r="2019" spans="1:13" x14ac:dyDescent="0.2">
      <c r="A2019" s="124" t="s">
        <v>51</v>
      </c>
      <c r="B2019" s="124" t="s">
        <v>109</v>
      </c>
      <c r="C2019" s="124" t="s">
        <v>222</v>
      </c>
      <c r="D2019" s="125">
        <v>409584.14</v>
      </c>
      <c r="E2019" s="126">
        <v>410220.64</v>
      </c>
      <c r="F2019" s="126">
        <v>410140.64</v>
      </c>
      <c r="G2019" s="126">
        <v>410353.64</v>
      </c>
      <c r="H2019" s="127"/>
      <c r="I2019" s="125">
        <v>109336.15</v>
      </c>
      <c r="J2019" s="126">
        <v>176962.95</v>
      </c>
      <c r="K2019" s="126">
        <v>209447.58</v>
      </c>
      <c r="L2019" s="126">
        <v>237159.34</v>
      </c>
      <c r="M2019" s="127"/>
    </row>
    <row r="2020" spans="1:13" x14ac:dyDescent="0.2">
      <c r="A2020" s="113" t="s">
        <v>51</v>
      </c>
      <c r="B2020" s="113" t="s">
        <v>109</v>
      </c>
      <c r="C2020" s="113" t="s">
        <v>223</v>
      </c>
      <c r="D2020" s="114">
        <v>398517.31</v>
      </c>
      <c r="E2020" s="115">
        <v>398542.31</v>
      </c>
      <c r="F2020" s="115">
        <v>399314.31</v>
      </c>
      <c r="G2020" s="115"/>
      <c r="H2020" s="116"/>
      <c r="I2020" s="114">
        <v>116358.8</v>
      </c>
      <c r="J2020" s="115">
        <v>158130.79999999999</v>
      </c>
      <c r="K2020" s="115">
        <v>187271.8</v>
      </c>
      <c r="L2020" s="115"/>
      <c r="M2020" s="116"/>
    </row>
    <row r="2021" spans="1:13" x14ac:dyDescent="0.2">
      <c r="A2021" t="s">
        <v>51</v>
      </c>
      <c r="B2021" t="s">
        <v>109</v>
      </c>
      <c r="C2021" t="s">
        <v>224</v>
      </c>
      <c r="D2021" s="110">
        <v>94474.57</v>
      </c>
      <c r="E2021" s="111">
        <v>93637.57</v>
      </c>
      <c r="F2021" s="111"/>
      <c r="G2021" s="111"/>
      <c r="H2021" s="112"/>
      <c r="I2021" s="110">
        <v>39744.120000000003</v>
      </c>
      <c r="J2021" s="111">
        <v>54641.37</v>
      </c>
      <c r="K2021" s="111"/>
      <c r="L2021" s="111"/>
      <c r="M2021" s="112"/>
    </row>
    <row r="2022" spans="1:13" x14ac:dyDescent="0.2">
      <c r="A2022" s="117" t="s">
        <v>51</v>
      </c>
      <c r="B2022" s="117" t="s">
        <v>109</v>
      </c>
      <c r="C2022" s="117" t="s">
        <v>225</v>
      </c>
      <c r="D2022" s="118">
        <v>319192.65000000002</v>
      </c>
      <c r="E2022" s="119"/>
      <c r="F2022" s="119"/>
      <c r="G2022" s="119"/>
      <c r="H2022" s="120"/>
      <c r="I2022" s="118">
        <v>107724.26</v>
      </c>
      <c r="J2022" s="119"/>
      <c r="K2022" s="119"/>
      <c r="L2022" s="119"/>
      <c r="M2022" s="120"/>
    </row>
    <row r="2023" spans="1:13" x14ac:dyDescent="0.2">
      <c r="A2023" t="s">
        <v>51</v>
      </c>
      <c r="B2023" t="s">
        <v>106</v>
      </c>
      <c r="C2023" t="s">
        <v>222</v>
      </c>
      <c r="D2023" s="110">
        <v>887272.51</v>
      </c>
      <c r="E2023" s="111">
        <v>888555.51</v>
      </c>
      <c r="F2023" s="111">
        <v>889095.51</v>
      </c>
      <c r="G2023" s="111">
        <v>889945.51</v>
      </c>
      <c r="H2023" s="112"/>
      <c r="I2023" s="110">
        <v>872981.02</v>
      </c>
      <c r="J2023" s="111">
        <v>882765.02</v>
      </c>
      <c r="K2023" s="111">
        <v>883060.02</v>
      </c>
      <c r="L2023" s="111">
        <v>883110.02</v>
      </c>
      <c r="M2023" s="112"/>
    </row>
    <row r="2024" spans="1:13" x14ac:dyDescent="0.2">
      <c r="A2024" s="113" t="s">
        <v>51</v>
      </c>
      <c r="B2024" s="113" t="s">
        <v>106</v>
      </c>
      <c r="C2024" s="113" t="s">
        <v>223</v>
      </c>
      <c r="D2024" s="114">
        <v>735932.51</v>
      </c>
      <c r="E2024" s="115">
        <v>737508.51</v>
      </c>
      <c r="F2024" s="115">
        <v>736369.51</v>
      </c>
      <c r="G2024" s="115"/>
      <c r="H2024" s="116"/>
      <c r="I2024" s="114">
        <v>723666.09</v>
      </c>
      <c r="J2024" s="115">
        <v>723642.59</v>
      </c>
      <c r="K2024" s="115">
        <v>723292.59</v>
      </c>
      <c r="L2024" s="115"/>
      <c r="M2024" s="116"/>
    </row>
    <row r="2025" spans="1:13" x14ac:dyDescent="0.2">
      <c r="A2025" t="s">
        <v>51</v>
      </c>
      <c r="B2025" t="s">
        <v>106</v>
      </c>
      <c r="C2025" t="s">
        <v>224</v>
      </c>
      <c r="D2025" s="110">
        <v>288287.99</v>
      </c>
      <c r="E2025" s="111">
        <v>290382.84999999998</v>
      </c>
      <c r="F2025" s="111"/>
      <c r="G2025" s="111"/>
      <c r="H2025" s="112"/>
      <c r="I2025" s="110">
        <v>282981.28999999998</v>
      </c>
      <c r="J2025" s="111">
        <v>286802.15000000002</v>
      </c>
      <c r="K2025" s="111"/>
      <c r="L2025" s="111"/>
      <c r="M2025" s="112"/>
    </row>
    <row r="2026" spans="1:13" x14ac:dyDescent="0.2">
      <c r="A2026" s="117" t="s">
        <v>51</v>
      </c>
      <c r="B2026" s="117" t="s">
        <v>106</v>
      </c>
      <c r="C2026" s="117" t="s">
        <v>225</v>
      </c>
      <c r="D2026" s="118">
        <v>364661.28</v>
      </c>
      <c r="E2026" s="119"/>
      <c r="F2026" s="119"/>
      <c r="G2026" s="119"/>
      <c r="H2026" s="120"/>
      <c r="I2026" s="118">
        <v>354763.84</v>
      </c>
      <c r="J2026" s="119"/>
      <c r="K2026" s="119"/>
      <c r="L2026" s="119"/>
      <c r="M2026" s="120"/>
    </row>
    <row r="2027" spans="1:13" x14ac:dyDescent="0.2">
      <c r="A2027" t="s">
        <v>51</v>
      </c>
      <c r="B2027" t="s">
        <v>107</v>
      </c>
      <c r="C2027" t="s">
        <v>222</v>
      </c>
      <c r="D2027" s="110">
        <v>735446.26</v>
      </c>
      <c r="E2027" s="111">
        <v>737121.26</v>
      </c>
      <c r="F2027" s="111">
        <v>736616.25</v>
      </c>
      <c r="G2027" s="111">
        <v>737216.26</v>
      </c>
      <c r="H2027" s="112"/>
      <c r="I2027" s="110">
        <v>732859.01</v>
      </c>
      <c r="J2027" s="111">
        <v>735044.01</v>
      </c>
      <c r="K2027" s="111">
        <v>780696.61</v>
      </c>
      <c r="L2027" s="111">
        <v>735344.01</v>
      </c>
      <c r="M2027" s="112"/>
    </row>
    <row r="2028" spans="1:13" x14ac:dyDescent="0.2">
      <c r="A2028" s="113" t="s">
        <v>51</v>
      </c>
      <c r="B2028" s="113" t="s">
        <v>107</v>
      </c>
      <c r="C2028" s="113" t="s">
        <v>223</v>
      </c>
      <c r="D2028" s="114">
        <v>845139.06</v>
      </c>
      <c r="E2028" s="115">
        <v>857488.06</v>
      </c>
      <c r="F2028" s="115">
        <v>857896.06</v>
      </c>
      <c r="G2028" s="115"/>
      <c r="H2028" s="116"/>
      <c r="I2028" s="114">
        <v>838331.34</v>
      </c>
      <c r="J2028" s="115">
        <v>843545.15</v>
      </c>
      <c r="K2028" s="115">
        <v>843758.15</v>
      </c>
      <c r="L2028" s="115"/>
      <c r="M2028" s="116"/>
    </row>
    <row r="2029" spans="1:13" x14ac:dyDescent="0.2">
      <c r="A2029" t="s">
        <v>51</v>
      </c>
      <c r="B2029" t="s">
        <v>107</v>
      </c>
      <c r="C2029" t="s">
        <v>224</v>
      </c>
      <c r="D2029" s="110">
        <v>382433.89</v>
      </c>
      <c r="E2029" s="111">
        <v>381952.43</v>
      </c>
      <c r="F2029" s="111"/>
      <c r="G2029" s="111"/>
      <c r="H2029" s="112"/>
      <c r="I2029" s="110">
        <v>379567.19</v>
      </c>
      <c r="J2029" s="111">
        <v>380295.11</v>
      </c>
      <c r="K2029" s="111"/>
      <c r="L2029" s="111"/>
      <c r="M2029" s="112"/>
    </row>
    <row r="2030" spans="1:13" x14ac:dyDescent="0.2">
      <c r="A2030" s="117" t="s">
        <v>51</v>
      </c>
      <c r="B2030" s="117" t="s">
        <v>107</v>
      </c>
      <c r="C2030" s="117" t="s">
        <v>225</v>
      </c>
      <c r="D2030" s="118">
        <v>544711.16</v>
      </c>
      <c r="E2030" s="119"/>
      <c r="F2030" s="119"/>
      <c r="G2030" s="119"/>
      <c r="H2030" s="120"/>
      <c r="I2030" s="118">
        <v>542115.61</v>
      </c>
      <c r="J2030" s="119"/>
      <c r="K2030" s="119"/>
      <c r="L2030" s="119"/>
      <c r="M2030" s="120"/>
    </row>
    <row r="2031" spans="1:13" x14ac:dyDescent="0.2">
      <c r="A2031" t="s">
        <v>51</v>
      </c>
      <c r="B2031" t="s">
        <v>108</v>
      </c>
      <c r="C2031" t="s">
        <v>222</v>
      </c>
      <c r="D2031" s="110">
        <v>162345.89000000001</v>
      </c>
      <c r="E2031" s="111">
        <v>162193.89000000001</v>
      </c>
      <c r="F2031" s="111">
        <v>161958.89000000001</v>
      </c>
      <c r="G2031" s="111">
        <v>162293.89000000001</v>
      </c>
      <c r="H2031" s="112"/>
      <c r="I2031" s="110">
        <v>158790.79</v>
      </c>
      <c r="J2031" s="111">
        <v>161392.79</v>
      </c>
      <c r="K2031" s="111">
        <v>161157.79</v>
      </c>
      <c r="L2031" s="111">
        <v>161492.79</v>
      </c>
      <c r="M2031" s="112"/>
    </row>
    <row r="2032" spans="1:13" x14ac:dyDescent="0.2">
      <c r="A2032" s="113" t="s">
        <v>51</v>
      </c>
      <c r="B2032" s="113" t="s">
        <v>108</v>
      </c>
      <c r="C2032" s="113" t="s">
        <v>223</v>
      </c>
      <c r="D2032" s="114">
        <v>200825.18</v>
      </c>
      <c r="E2032" s="115">
        <v>200012.18</v>
      </c>
      <c r="F2032" s="115">
        <v>200137.18</v>
      </c>
      <c r="G2032" s="115"/>
      <c r="H2032" s="116"/>
      <c r="I2032" s="114">
        <v>199209.48</v>
      </c>
      <c r="J2032" s="115">
        <v>199960.38</v>
      </c>
      <c r="K2032" s="115">
        <v>200085.38</v>
      </c>
      <c r="L2032" s="115"/>
      <c r="M2032" s="116"/>
    </row>
    <row r="2033" spans="1:13" x14ac:dyDescent="0.2">
      <c r="A2033" t="s">
        <v>51</v>
      </c>
      <c r="B2033" t="s">
        <v>108</v>
      </c>
      <c r="C2033" t="s">
        <v>224</v>
      </c>
      <c r="D2033" s="110">
        <v>169672.32000000001</v>
      </c>
      <c r="E2033" s="111">
        <v>168677.32</v>
      </c>
      <c r="F2033" s="111"/>
      <c r="G2033" s="111"/>
      <c r="H2033" s="112"/>
      <c r="I2033" s="110">
        <v>165654.82</v>
      </c>
      <c r="J2033" s="111">
        <v>167667.32</v>
      </c>
      <c r="K2033" s="111"/>
      <c r="L2033" s="111"/>
      <c r="M2033" s="112"/>
    </row>
    <row r="2034" spans="1:13" x14ac:dyDescent="0.2">
      <c r="A2034" s="117" t="s">
        <v>51</v>
      </c>
      <c r="B2034" s="117" t="s">
        <v>108</v>
      </c>
      <c r="C2034" s="117" t="s">
        <v>225</v>
      </c>
      <c r="D2034" s="118">
        <v>195127.61</v>
      </c>
      <c r="E2034" s="119"/>
      <c r="F2034" s="119"/>
      <c r="G2034" s="119"/>
      <c r="H2034" s="120"/>
      <c r="I2034" s="118">
        <v>189911.06</v>
      </c>
      <c r="J2034" s="119"/>
      <c r="K2034" s="119"/>
      <c r="L2034" s="119"/>
      <c r="M2034" s="120"/>
    </row>
    <row r="2035" spans="1:13" x14ac:dyDescent="0.2">
      <c r="A2035" t="s">
        <v>51</v>
      </c>
      <c r="B2035" t="s">
        <v>70</v>
      </c>
      <c r="C2035" t="s">
        <v>222</v>
      </c>
      <c r="D2035" s="110">
        <v>235828.22</v>
      </c>
      <c r="E2035" s="111">
        <v>232974.22</v>
      </c>
      <c r="F2035" s="111">
        <v>232729.22</v>
      </c>
      <c r="G2035" s="111">
        <v>232729.22</v>
      </c>
      <c r="H2035" s="112"/>
      <c r="I2035" s="110">
        <v>220693.14</v>
      </c>
      <c r="J2035" s="111">
        <v>223539.72</v>
      </c>
      <c r="K2035" s="111">
        <v>224430.22</v>
      </c>
      <c r="L2035" s="111">
        <v>224622.72</v>
      </c>
      <c r="M2035" s="112"/>
    </row>
    <row r="2036" spans="1:13" x14ac:dyDescent="0.2">
      <c r="A2036" s="113" t="s">
        <v>51</v>
      </c>
      <c r="B2036" s="113" t="s">
        <v>70</v>
      </c>
      <c r="C2036" s="113" t="s">
        <v>223</v>
      </c>
      <c r="D2036" s="114">
        <v>243690.15</v>
      </c>
      <c r="E2036" s="115">
        <v>244835.20000000001</v>
      </c>
      <c r="F2036" s="115">
        <v>245330.2</v>
      </c>
      <c r="G2036" s="115"/>
      <c r="H2036" s="116"/>
      <c r="I2036" s="114">
        <v>224706.85</v>
      </c>
      <c r="J2036" s="115">
        <v>228230.3</v>
      </c>
      <c r="K2036" s="115">
        <v>228305.3</v>
      </c>
      <c r="L2036" s="115"/>
      <c r="M2036" s="116"/>
    </row>
    <row r="2037" spans="1:13" x14ac:dyDescent="0.2">
      <c r="A2037" t="s">
        <v>51</v>
      </c>
      <c r="B2037" t="s">
        <v>70</v>
      </c>
      <c r="C2037" t="s">
        <v>224</v>
      </c>
      <c r="D2037" s="110">
        <v>262322.45</v>
      </c>
      <c r="E2037" s="111">
        <v>260738.85</v>
      </c>
      <c r="F2037" s="111"/>
      <c r="G2037" s="111"/>
      <c r="H2037" s="112"/>
      <c r="I2037" s="110">
        <v>237298</v>
      </c>
      <c r="J2037" s="111">
        <v>240065.2</v>
      </c>
      <c r="K2037" s="111"/>
      <c r="L2037" s="111"/>
      <c r="M2037" s="112"/>
    </row>
    <row r="2038" spans="1:13" x14ac:dyDescent="0.2">
      <c r="A2038" s="117" t="s">
        <v>51</v>
      </c>
      <c r="B2038" s="117" t="s">
        <v>70</v>
      </c>
      <c r="C2038" s="117" t="s">
        <v>225</v>
      </c>
      <c r="D2038" s="118">
        <v>286159.34999999998</v>
      </c>
      <c r="E2038" s="119"/>
      <c r="F2038" s="119"/>
      <c r="G2038" s="119"/>
      <c r="H2038" s="120"/>
      <c r="I2038" s="118">
        <v>255861.1</v>
      </c>
      <c r="J2038" s="119"/>
      <c r="K2038" s="119"/>
      <c r="L2038" s="119"/>
      <c r="M2038" s="120"/>
    </row>
    <row r="2039" spans="1:13" x14ac:dyDescent="0.2">
      <c r="A2039" t="s">
        <v>51</v>
      </c>
      <c r="B2039" t="s">
        <v>110</v>
      </c>
      <c r="C2039" t="s">
        <v>222</v>
      </c>
      <c r="D2039" s="110">
        <v>1500237.67</v>
      </c>
      <c r="E2039" s="111">
        <v>1441442.29</v>
      </c>
      <c r="F2039" s="111">
        <v>1436129.89</v>
      </c>
      <c r="G2039" s="111">
        <v>1425402.59</v>
      </c>
      <c r="H2039" s="112"/>
      <c r="I2039" s="110">
        <v>563067.6</v>
      </c>
      <c r="J2039" s="111">
        <v>1037745.02</v>
      </c>
      <c r="K2039" s="111">
        <v>1144068.8700000001</v>
      </c>
      <c r="L2039" s="111">
        <v>1181760.82</v>
      </c>
      <c r="M2039" s="112"/>
    </row>
    <row r="2040" spans="1:13" x14ac:dyDescent="0.2">
      <c r="A2040" s="113" t="s">
        <v>51</v>
      </c>
      <c r="B2040" s="113" t="s">
        <v>110</v>
      </c>
      <c r="C2040" s="113" t="s">
        <v>223</v>
      </c>
      <c r="D2040" s="114">
        <v>1212940.3500000001</v>
      </c>
      <c r="E2040" s="115">
        <v>1227933.1000000001</v>
      </c>
      <c r="F2040" s="115">
        <v>1217188.3</v>
      </c>
      <c r="G2040" s="115"/>
      <c r="H2040" s="116"/>
      <c r="I2040" s="114">
        <v>523837.75</v>
      </c>
      <c r="J2040" s="115">
        <v>726263.15</v>
      </c>
      <c r="K2040" s="115">
        <v>777603.12</v>
      </c>
      <c r="L2040" s="115"/>
      <c r="M2040" s="116"/>
    </row>
    <row r="2041" spans="1:13" x14ac:dyDescent="0.2">
      <c r="A2041" t="s">
        <v>51</v>
      </c>
      <c r="B2041" t="s">
        <v>110</v>
      </c>
      <c r="C2041" t="s">
        <v>224</v>
      </c>
      <c r="D2041" s="110">
        <v>1019299.2</v>
      </c>
      <c r="E2041" s="111">
        <v>1045596.1</v>
      </c>
      <c r="F2041" s="111"/>
      <c r="G2041" s="111"/>
      <c r="H2041" s="112"/>
      <c r="I2041" s="110">
        <v>322864.95</v>
      </c>
      <c r="J2041" s="111">
        <v>489926.25</v>
      </c>
      <c r="K2041" s="111"/>
      <c r="L2041" s="111"/>
      <c r="M2041" s="112"/>
    </row>
    <row r="2042" spans="1:13" ht="13.5" thickBot="1" x14ac:dyDescent="0.25">
      <c r="A2042" s="128" t="s">
        <v>51</v>
      </c>
      <c r="B2042" s="128" t="s">
        <v>110</v>
      </c>
      <c r="C2042" s="128" t="s">
        <v>225</v>
      </c>
      <c r="D2042" s="129">
        <v>1151015.75</v>
      </c>
      <c r="E2042" s="130"/>
      <c r="F2042" s="130"/>
      <c r="G2042" s="130"/>
      <c r="H2042" s="131"/>
      <c r="I2042" s="129">
        <v>346344.75</v>
      </c>
      <c r="J2042" s="130"/>
      <c r="K2042" s="130"/>
      <c r="L2042" s="130"/>
      <c r="M2042" s="131"/>
    </row>
    <row r="2043" spans="1:13" x14ac:dyDescent="0.2">
      <c r="A2043" s="132" t="s">
        <v>52</v>
      </c>
      <c r="B2043" s="132" t="s">
        <v>104</v>
      </c>
      <c r="C2043" s="132" t="s">
        <v>222</v>
      </c>
      <c r="D2043" s="133">
        <v>3341006</v>
      </c>
      <c r="E2043" s="134">
        <v>3316256</v>
      </c>
      <c r="F2043" s="134">
        <v>3311459</v>
      </c>
      <c r="G2043" s="134">
        <v>3304897</v>
      </c>
      <c r="H2043" s="135"/>
      <c r="I2043" s="133">
        <v>126251</v>
      </c>
      <c r="J2043" s="134">
        <v>175693</v>
      </c>
      <c r="K2043" s="134">
        <v>230792</v>
      </c>
      <c r="L2043" s="134">
        <v>291607</v>
      </c>
      <c r="M2043" s="135"/>
    </row>
    <row r="2044" spans="1:13" x14ac:dyDescent="0.2">
      <c r="A2044" s="113" t="s">
        <v>52</v>
      </c>
      <c r="B2044" s="113" t="s">
        <v>104</v>
      </c>
      <c r="C2044" s="113" t="s">
        <v>223</v>
      </c>
      <c r="D2044" s="114">
        <v>2754196</v>
      </c>
      <c r="E2044" s="115">
        <v>2744685</v>
      </c>
      <c r="F2044" s="115">
        <v>2737852</v>
      </c>
      <c r="G2044" s="115"/>
      <c r="H2044" s="116"/>
      <c r="I2044" s="114">
        <v>141325</v>
      </c>
      <c r="J2044" s="115">
        <v>186911</v>
      </c>
      <c r="K2044" s="115">
        <v>234102</v>
      </c>
      <c r="L2044" s="115"/>
      <c r="M2044" s="116"/>
    </row>
    <row r="2045" spans="1:13" x14ac:dyDescent="0.2">
      <c r="A2045" t="s">
        <v>52</v>
      </c>
      <c r="B2045" t="s">
        <v>104</v>
      </c>
      <c r="C2045" t="s">
        <v>224</v>
      </c>
      <c r="D2045" s="110">
        <v>1339784</v>
      </c>
      <c r="E2045" s="111">
        <v>1341191</v>
      </c>
      <c r="F2045" s="111"/>
      <c r="G2045" s="111"/>
      <c r="H2045" s="112"/>
      <c r="I2045" s="110">
        <v>54655</v>
      </c>
      <c r="J2045" s="111">
        <v>79477</v>
      </c>
      <c r="K2045" s="111"/>
      <c r="L2045" s="111"/>
      <c r="M2045" s="112"/>
    </row>
    <row r="2046" spans="1:13" x14ac:dyDescent="0.2">
      <c r="A2046" s="117" t="s">
        <v>52</v>
      </c>
      <c r="B2046" s="117" t="s">
        <v>104</v>
      </c>
      <c r="C2046" s="117" t="s">
        <v>225</v>
      </c>
      <c r="D2046" s="118">
        <v>2282932</v>
      </c>
      <c r="E2046" s="119"/>
      <c r="F2046" s="119"/>
      <c r="G2046" s="119"/>
      <c r="H2046" s="120"/>
      <c r="I2046" s="118">
        <v>92609</v>
      </c>
      <c r="J2046" s="119"/>
      <c r="K2046" s="119"/>
      <c r="L2046" s="119"/>
      <c r="M2046" s="120"/>
    </row>
    <row r="2047" spans="1:13" x14ac:dyDescent="0.2">
      <c r="A2047" t="s">
        <v>52</v>
      </c>
      <c r="B2047" t="s">
        <v>140</v>
      </c>
      <c r="C2047" t="s">
        <v>222</v>
      </c>
      <c r="D2047" s="110">
        <v>1378477</v>
      </c>
      <c r="E2047" s="111">
        <v>1378327</v>
      </c>
      <c r="F2047" s="111">
        <v>1378277</v>
      </c>
      <c r="G2047" s="111">
        <v>1378177</v>
      </c>
      <c r="H2047" s="112"/>
      <c r="I2047" s="110">
        <v>0</v>
      </c>
      <c r="J2047" s="111">
        <v>0</v>
      </c>
      <c r="K2047" s="111">
        <v>0</v>
      </c>
      <c r="L2047" s="111">
        <v>0</v>
      </c>
      <c r="M2047" s="112"/>
    </row>
    <row r="2048" spans="1:13" x14ac:dyDescent="0.2">
      <c r="A2048" s="113" t="s">
        <v>52</v>
      </c>
      <c r="B2048" s="113" t="s">
        <v>140</v>
      </c>
      <c r="C2048" s="113" t="s">
        <v>223</v>
      </c>
      <c r="D2048" s="114">
        <v>744089</v>
      </c>
      <c r="E2048" s="115">
        <v>744039</v>
      </c>
      <c r="F2048" s="115">
        <v>743889</v>
      </c>
      <c r="G2048" s="115"/>
      <c r="H2048" s="116"/>
      <c r="I2048" s="114">
        <v>0</v>
      </c>
      <c r="J2048" s="115">
        <v>0</v>
      </c>
      <c r="K2048" s="115">
        <v>0</v>
      </c>
      <c r="L2048" s="115"/>
      <c r="M2048" s="116"/>
    </row>
    <row r="2049" spans="1:13" x14ac:dyDescent="0.2">
      <c r="A2049" t="s">
        <v>52</v>
      </c>
      <c r="B2049" t="s">
        <v>140</v>
      </c>
      <c r="C2049" t="s">
        <v>224</v>
      </c>
      <c r="D2049" s="110">
        <v>372006</v>
      </c>
      <c r="E2049" s="111">
        <v>372006</v>
      </c>
      <c r="F2049" s="111"/>
      <c r="G2049" s="111"/>
      <c r="H2049" s="112"/>
      <c r="I2049" s="110">
        <v>0</v>
      </c>
      <c r="J2049" s="111">
        <v>0</v>
      </c>
      <c r="K2049" s="111"/>
      <c r="L2049" s="111"/>
      <c r="M2049" s="112"/>
    </row>
    <row r="2050" spans="1:13" x14ac:dyDescent="0.2">
      <c r="A2050" s="117" t="s">
        <v>52</v>
      </c>
      <c r="B2050" s="117" t="s">
        <v>140</v>
      </c>
      <c r="C2050" s="117" t="s">
        <v>225</v>
      </c>
      <c r="D2050" s="118">
        <v>847262</v>
      </c>
      <c r="E2050" s="119"/>
      <c r="F2050" s="119"/>
      <c r="G2050" s="119"/>
      <c r="H2050" s="120"/>
      <c r="I2050" s="118">
        <v>0</v>
      </c>
      <c r="J2050" s="119"/>
      <c r="K2050" s="119"/>
      <c r="L2050" s="119"/>
      <c r="M2050" s="120"/>
    </row>
    <row r="2051" spans="1:13" x14ac:dyDescent="0.2">
      <c r="A2051" t="s">
        <v>52</v>
      </c>
      <c r="B2051" t="s">
        <v>105</v>
      </c>
      <c r="C2051" t="s">
        <v>222</v>
      </c>
      <c r="D2051" s="110">
        <v>1570859</v>
      </c>
      <c r="E2051" s="111">
        <v>1495643</v>
      </c>
      <c r="F2051" s="111">
        <v>1485254</v>
      </c>
      <c r="G2051" s="111">
        <v>1479719</v>
      </c>
      <c r="H2051" s="112"/>
      <c r="I2051" s="110">
        <v>208018</v>
      </c>
      <c r="J2051" s="111">
        <v>285910</v>
      </c>
      <c r="K2051" s="111">
        <v>328600</v>
      </c>
      <c r="L2051" s="111">
        <v>362736</v>
      </c>
      <c r="M2051" s="112"/>
    </row>
    <row r="2052" spans="1:13" x14ac:dyDescent="0.2">
      <c r="A2052" s="113" t="s">
        <v>52</v>
      </c>
      <c r="B2052" s="113" t="s">
        <v>105</v>
      </c>
      <c r="C2052" s="113" t="s">
        <v>223</v>
      </c>
      <c r="D2052" s="114">
        <v>1357427</v>
      </c>
      <c r="E2052" s="115">
        <v>1294063</v>
      </c>
      <c r="F2052" s="115">
        <v>1263849</v>
      </c>
      <c r="G2052" s="115"/>
      <c r="H2052" s="116"/>
      <c r="I2052" s="114">
        <v>182405</v>
      </c>
      <c r="J2052" s="115">
        <v>257002</v>
      </c>
      <c r="K2052" s="115">
        <v>299068</v>
      </c>
      <c r="L2052" s="115"/>
      <c r="M2052" s="116"/>
    </row>
    <row r="2053" spans="1:13" x14ac:dyDescent="0.2">
      <c r="A2053" t="s">
        <v>52</v>
      </c>
      <c r="B2053" t="s">
        <v>105</v>
      </c>
      <c r="C2053" t="s">
        <v>224</v>
      </c>
      <c r="D2053" s="110">
        <v>910241</v>
      </c>
      <c r="E2053" s="111">
        <v>843290</v>
      </c>
      <c r="F2053" s="111"/>
      <c r="G2053" s="111"/>
      <c r="H2053" s="112"/>
      <c r="I2053" s="110">
        <v>99752</v>
      </c>
      <c r="J2053" s="111">
        <v>147408</v>
      </c>
      <c r="K2053" s="111"/>
      <c r="L2053" s="111"/>
      <c r="M2053" s="112"/>
    </row>
    <row r="2054" spans="1:13" x14ac:dyDescent="0.2">
      <c r="A2054" s="117" t="s">
        <v>52</v>
      </c>
      <c r="B2054" s="117" t="s">
        <v>105</v>
      </c>
      <c r="C2054" s="117" t="s">
        <v>225</v>
      </c>
      <c r="D2054" s="118">
        <v>1094946</v>
      </c>
      <c r="E2054" s="119"/>
      <c r="F2054" s="119"/>
      <c r="G2054" s="119"/>
      <c r="H2054" s="120"/>
      <c r="I2054" s="118">
        <v>169011</v>
      </c>
      <c r="J2054" s="119"/>
      <c r="K2054" s="119"/>
      <c r="L2054" s="119"/>
      <c r="M2054" s="120"/>
    </row>
    <row r="2055" spans="1:13" x14ac:dyDescent="0.2">
      <c r="A2055" t="s">
        <v>52</v>
      </c>
      <c r="B2055" t="s">
        <v>111</v>
      </c>
      <c r="C2055" t="s">
        <v>222</v>
      </c>
      <c r="D2055" s="110">
        <v>40616</v>
      </c>
      <c r="E2055" s="111">
        <v>40265</v>
      </c>
      <c r="F2055" s="111">
        <v>35841</v>
      </c>
      <c r="G2055" s="111">
        <v>35623</v>
      </c>
      <c r="H2055" s="112"/>
      <c r="I2055" s="110">
        <v>812</v>
      </c>
      <c r="J2055" s="111">
        <v>1286</v>
      </c>
      <c r="K2055" s="111">
        <v>1472</v>
      </c>
      <c r="L2055" s="111">
        <v>1552</v>
      </c>
      <c r="M2055" s="112"/>
    </row>
    <row r="2056" spans="1:13" x14ac:dyDescent="0.2">
      <c r="A2056" s="113" t="s">
        <v>52</v>
      </c>
      <c r="B2056" s="113" t="s">
        <v>111</v>
      </c>
      <c r="C2056" s="113" t="s">
        <v>223</v>
      </c>
      <c r="D2056" s="114">
        <v>37867</v>
      </c>
      <c r="E2056" s="115">
        <v>36071</v>
      </c>
      <c r="F2056" s="115">
        <v>34812</v>
      </c>
      <c r="G2056" s="115"/>
      <c r="H2056" s="116"/>
      <c r="I2056" s="114">
        <v>1032</v>
      </c>
      <c r="J2056" s="115">
        <v>1622</v>
      </c>
      <c r="K2056" s="115">
        <v>1672</v>
      </c>
      <c r="L2056" s="115"/>
      <c r="M2056" s="116"/>
    </row>
    <row r="2057" spans="1:13" x14ac:dyDescent="0.2">
      <c r="A2057" t="s">
        <v>52</v>
      </c>
      <c r="B2057" t="s">
        <v>111</v>
      </c>
      <c r="C2057" t="s">
        <v>224</v>
      </c>
      <c r="D2057" s="110">
        <v>19122</v>
      </c>
      <c r="E2057" s="111">
        <v>19072</v>
      </c>
      <c r="F2057" s="111"/>
      <c r="G2057" s="111"/>
      <c r="H2057" s="112"/>
      <c r="I2057" s="110">
        <v>752</v>
      </c>
      <c r="J2057" s="111">
        <v>902</v>
      </c>
      <c r="K2057" s="111"/>
      <c r="L2057" s="111"/>
      <c r="M2057" s="112"/>
    </row>
    <row r="2058" spans="1:13" x14ac:dyDescent="0.2">
      <c r="A2058" s="117" t="s">
        <v>52</v>
      </c>
      <c r="B2058" s="117" t="s">
        <v>111</v>
      </c>
      <c r="C2058" s="117" t="s">
        <v>225</v>
      </c>
      <c r="D2058" s="118">
        <v>56893</v>
      </c>
      <c r="E2058" s="119"/>
      <c r="F2058" s="119"/>
      <c r="G2058" s="119"/>
      <c r="H2058" s="120"/>
      <c r="I2058" s="118">
        <v>1262</v>
      </c>
      <c r="J2058" s="119"/>
      <c r="K2058" s="119"/>
      <c r="L2058" s="119"/>
      <c r="M2058" s="120"/>
    </row>
    <row r="2059" spans="1:13" x14ac:dyDescent="0.2">
      <c r="A2059" s="124" t="s">
        <v>52</v>
      </c>
      <c r="B2059" s="124" t="s">
        <v>109</v>
      </c>
      <c r="C2059" s="124" t="s">
        <v>222</v>
      </c>
      <c r="D2059" s="125">
        <v>1829417</v>
      </c>
      <c r="E2059" s="126">
        <v>1819698</v>
      </c>
      <c r="F2059" s="126">
        <v>1818133</v>
      </c>
      <c r="G2059" s="126">
        <v>1811696</v>
      </c>
      <c r="H2059" s="127"/>
      <c r="I2059" s="125">
        <v>724505</v>
      </c>
      <c r="J2059" s="126">
        <v>962230</v>
      </c>
      <c r="K2059" s="126">
        <v>1079194</v>
      </c>
      <c r="L2059" s="126">
        <v>1203455</v>
      </c>
      <c r="M2059" s="127"/>
    </row>
    <row r="2060" spans="1:13" x14ac:dyDescent="0.2">
      <c r="A2060" s="113" t="s">
        <v>52</v>
      </c>
      <c r="B2060" s="113" t="s">
        <v>109</v>
      </c>
      <c r="C2060" s="113" t="s">
        <v>223</v>
      </c>
      <c r="D2060" s="114">
        <v>1398404</v>
      </c>
      <c r="E2060" s="115">
        <v>1392170</v>
      </c>
      <c r="F2060" s="115">
        <v>1385800</v>
      </c>
      <c r="G2060" s="115"/>
      <c r="H2060" s="116"/>
      <c r="I2060" s="114">
        <v>608443</v>
      </c>
      <c r="J2060" s="115">
        <v>763988</v>
      </c>
      <c r="K2060" s="115">
        <v>875913</v>
      </c>
      <c r="L2060" s="115"/>
      <c r="M2060" s="116"/>
    </row>
    <row r="2061" spans="1:13" x14ac:dyDescent="0.2">
      <c r="A2061" t="s">
        <v>52</v>
      </c>
      <c r="B2061" t="s">
        <v>109</v>
      </c>
      <c r="C2061" t="s">
        <v>224</v>
      </c>
      <c r="D2061" s="110">
        <v>624447</v>
      </c>
      <c r="E2061" s="111">
        <v>618062</v>
      </c>
      <c r="F2061" s="111"/>
      <c r="G2061" s="111"/>
      <c r="H2061" s="112"/>
      <c r="I2061" s="110">
        <v>229414</v>
      </c>
      <c r="J2061" s="111">
        <v>330157</v>
      </c>
      <c r="K2061" s="111"/>
      <c r="L2061" s="111"/>
      <c r="M2061" s="112"/>
    </row>
    <row r="2062" spans="1:13" x14ac:dyDescent="0.2">
      <c r="A2062" s="117" t="s">
        <v>52</v>
      </c>
      <c r="B2062" s="117" t="s">
        <v>109</v>
      </c>
      <c r="C2062" s="117" t="s">
        <v>225</v>
      </c>
      <c r="D2062" s="118">
        <v>1235832</v>
      </c>
      <c r="E2062" s="119"/>
      <c r="F2062" s="119"/>
      <c r="G2062" s="119"/>
      <c r="H2062" s="120"/>
      <c r="I2062" s="118">
        <v>546916</v>
      </c>
      <c r="J2062" s="119"/>
      <c r="K2062" s="119"/>
      <c r="L2062" s="119"/>
      <c r="M2062" s="120"/>
    </row>
    <row r="2063" spans="1:13" x14ac:dyDescent="0.2">
      <c r="A2063" t="s">
        <v>52</v>
      </c>
      <c r="B2063" t="s">
        <v>106</v>
      </c>
      <c r="C2063" t="s">
        <v>222</v>
      </c>
      <c r="D2063" s="110">
        <v>1417990</v>
      </c>
      <c r="E2063" s="111">
        <v>1415569</v>
      </c>
      <c r="F2063" s="111">
        <v>1414832</v>
      </c>
      <c r="G2063" s="111">
        <v>1414732</v>
      </c>
      <c r="H2063" s="112"/>
      <c r="I2063" s="110">
        <v>1399554</v>
      </c>
      <c r="J2063" s="111">
        <v>1411004</v>
      </c>
      <c r="K2063" s="111">
        <v>1410422</v>
      </c>
      <c r="L2063" s="111">
        <v>1410458</v>
      </c>
      <c r="M2063" s="112"/>
    </row>
    <row r="2064" spans="1:13" x14ac:dyDescent="0.2">
      <c r="A2064" s="113" t="s">
        <v>52</v>
      </c>
      <c r="B2064" s="113" t="s">
        <v>106</v>
      </c>
      <c r="C2064" s="113" t="s">
        <v>223</v>
      </c>
      <c r="D2064" s="114">
        <v>1210639</v>
      </c>
      <c r="E2064" s="115">
        <v>1207028</v>
      </c>
      <c r="F2064" s="115">
        <v>1207028</v>
      </c>
      <c r="G2064" s="115"/>
      <c r="H2064" s="116"/>
      <c r="I2064" s="114">
        <v>1194310</v>
      </c>
      <c r="J2064" s="115">
        <v>1196811</v>
      </c>
      <c r="K2064" s="115">
        <v>1199005</v>
      </c>
      <c r="L2064" s="115"/>
      <c r="M2064" s="116"/>
    </row>
    <row r="2065" spans="1:13" x14ac:dyDescent="0.2">
      <c r="A2065" t="s">
        <v>52</v>
      </c>
      <c r="B2065" t="s">
        <v>106</v>
      </c>
      <c r="C2065" t="s">
        <v>224</v>
      </c>
      <c r="D2065" s="110">
        <v>705322</v>
      </c>
      <c r="E2065" s="111">
        <v>703952</v>
      </c>
      <c r="F2065" s="111"/>
      <c r="G2065" s="111"/>
      <c r="H2065" s="112"/>
      <c r="I2065" s="110">
        <v>697144</v>
      </c>
      <c r="J2065" s="111">
        <v>701162</v>
      </c>
      <c r="K2065" s="111"/>
      <c r="L2065" s="111"/>
      <c r="M2065" s="112"/>
    </row>
    <row r="2066" spans="1:13" x14ac:dyDescent="0.2">
      <c r="A2066" s="117" t="s">
        <v>52</v>
      </c>
      <c r="B2066" s="117" t="s">
        <v>106</v>
      </c>
      <c r="C2066" s="117" t="s">
        <v>225</v>
      </c>
      <c r="D2066" s="118">
        <v>774290</v>
      </c>
      <c r="E2066" s="119"/>
      <c r="F2066" s="119"/>
      <c r="G2066" s="119"/>
      <c r="H2066" s="120"/>
      <c r="I2066" s="118">
        <v>769829</v>
      </c>
      <c r="J2066" s="119"/>
      <c r="K2066" s="119"/>
      <c r="L2066" s="119"/>
      <c r="M2066" s="120"/>
    </row>
    <row r="2067" spans="1:13" x14ac:dyDescent="0.2">
      <c r="A2067" t="s">
        <v>52</v>
      </c>
      <c r="B2067" t="s">
        <v>107</v>
      </c>
      <c r="C2067" t="s">
        <v>222</v>
      </c>
      <c r="D2067" s="110">
        <v>1304721</v>
      </c>
      <c r="E2067" s="111">
        <v>1304053</v>
      </c>
      <c r="F2067" s="111">
        <v>1304053</v>
      </c>
      <c r="G2067" s="111">
        <v>1304464</v>
      </c>
      <c r="H2067" s="112"/>
      <c r="I2067" s="110">
        <v>1302696</v>
      </c>
      <c r="J2067" s="111">
        <v>1302943</v>
      </c>
      <c r="K2067" s="111">
        <v>1302961</v>
      </c>
      <c r="L2067" s="111">
        <v>1303385</v>
      </c>
      <c r="M2067" s="112"/>
    </row>
    <row r="2068" spans="1:13" x14ac:dyDescent="0.2">
      <c r="A2068" s="113" t="s">
        <v>52</v>
      </c>
      <c r="B2068" s="113" t="s">
        <v>107</v>
      </c>
      <c r="C2068" s="113" t="s">
        <v>223</v>
      </c>
      <c r="D2068" s="114">
        <v>1481368</v>
      </c>
      <c r="E2068" s="115">
        <v>708559</v>
      </c>
      <c r="F2068" s="115">
        <v>1480243</v>
      </c>
      <c r="G2068" s="115"/>
      <c r="H2068" s="116"/>
      <c r="I2068" s="114">
        <v>1478116</v>
      </c>
      <c r="J2068" s="115">
        <v>706024</v>
      </c>
      <c r="K2068" s="115">
        <v>1477279</v>
      </c>
      <c r="L2068" s="115"/>
      <c r="M2068" s="116"/>
    </row>
    <row r="2069" spans="1:13" x14ac:dyDescent="0.2">
      <c r="A2069" t="s">
        <v>52</v>
      </c>
      <c r="B2069" t="s">
        <v>107</v>
      </c>
      <c r="C2069" t="s">
        <v>224</v>
      </c>
      <c r="D2069" s="110">
        <v>340641</v>
      </c>
      <c r="E2069" s="111">
        <v>702208</v>
      </c>
      <c r="F2069" s="111"/>
      <c r="G2069" s="111"/>
      <c r="H2069" s="112"/>
      <c r="I2069" s="110">
        <v>339392</v>
      </c>
      <c r="J2069" s="111">
        <v>701617</v>
      </c>
      <c r="K2069" s="111"/>
      <c r="L2069" s="111"/>
      <c r="M2069" s="112"/>
    </row>
    <row r="2070" spans="1:13" x14ac:dyDescent="0.2">
      <c r="A2070" s="117" t="s">
        <v>52</v>
      </c>
      <c r="B2070" s="117" t="s">
        <v>107</v>
      </c>
      <c r="C2070" s="117" t="s">
        <v>225</v>
      </c>
      <c r="D2070" s="118">
        <v>968728</v>
      </c>
      <c r="E2070" s="119"/>
      <c r="F2070" s="119"/>
      <c r="G2070" s="119"/>
      <c r="H2070" s="120"/>
      <c r="I2070" s="118">
        <v>967279</v>
      </c>
      <c r="J2070" s="119"/>
      <c r="K2070" s="119"/>
      <c r="L2070" s="119"/>
      <c r="M2070" s="120"/>
    </row>
    <row r="2071" spans="1:13" x14ac:dyDescent="0.2">
      <c r="A2071" t="s">
        <v>52</v>
      </c>
      <c r="B2071" t="s">
        <v>108</v>
      </c>
      <c r="C2071" t="s">
        <v>222</v>
      </c>
      <c r="D2071" s="110">
        <v>396274</v>
      </c>
      <c r="E2071" s="111">
        <v>395474</v>
      </c>
      <c r="F2071" s="111">
        <v>394984</v>
      </c>
      <c r="G2071" s="111">
        <v>394984</v>
      </c>
      <c r="H2071" s="112"/>
      <c r="I2071" s="110">
        <v>394384</v>
      </c>
      <c r="J2071" s="111">
        <v>394404</v>
      </c>
      <c r="K2071" s="111">
        <v>394424</v>
      </c>
      <c r="L2071" s="111">
        <v>394479</v>
      </c>
      <c r="M2071" s="112"/>
    </row>
    <row r="2072" spans="1:13" x14ac:dyDescent="0.2">
      <c r="A2072" s="113" t="s">
        <v>52</v>
      </c>
      <c r="B2072" s="113" t="s">
        <v>108</v>
      </c>
      <c r="C2072" s="113" t="s">
        <v>223</v>
      </c>
      <c r="D2072" s="114">
        <v>443655</v>
      </c>
      <c r="E2072" s="115">
        <v>441195</v>
      </c>
      <c r="F2072" s="115">
        <v>441195</v>
      </c>
      <c r="G2072" s="115"/>
      <c r="H2072" s="116"/>
      <c r="I2072" s="114">
        <v>439205</v>
      </c>
      <c r="J2072" s="115">
        <v>439991</v>
      </c>
      <c r="K2072" s="115">
        <v>441044</v>
      </c>
      <c r="L2072" s="115"/>
      <c r="M2072" s="116"/>
    </row>
    <row r="2073" spans="1:13" x14ac:dyDescent="0.2">
      <c r="A2073" t="s">
        <v>52</v>
      </c>
      <c r="B2073" t="s">
        <v>108</v>
      </c>
      <c r="C2073" t="s">
        <v>224</v>
      </c>
      <c r="D2073" s="110">
        <v>411014</v>
      </c>
      <c r="E2073" s="111">
        <v>410654</v>
      </c>
      <c r="F2073" s="111"/>
      <c r="G2073" s="111"/>
      <c r="H2073" s="112"/>
      <c r="I2073" s="110">
        <v>409608</v>
      </c>
      <c r="J2073" s="111">
        <v>410053</v>
      </c>
      <c r="K2073" s="111"/>
      <c r="L2073" s="111"/>
      <c r="M2073" s="112"/>
    </row>
    <row r="2074" spans="1:13" x14ac:dyDescent="0.2">
      <c r="A2074" s="117" t="s">
        <v>52</v>
      </c>
      <c r="B2074" s="117" t="s">
        <v>108</v>
      </c>
      <c r="C2074" s="117" t="s">
        <v>225</v>
      </c>
      <c r="D2074" s="118">
        <v>443390</v>
      </c>
      <c r="E2074" s="119"/>
      <c r="F2074" s="119"/>
      <c r="G2074" s="119"/>
      <c r="H2074" s="120"/>
      <c r="I2074" s="118">
        <v>442766</v>
      </c>
      <c r="J2074" s="119"/>
      <c r="K2074" s="119"/>
      <c r="L2074" s="119"/>
      <c r="M2074" s="120"/>
    </row>
    <row r="2075" spans="1:13" x14ac:dyDescent="0.2">
      <c r="A2075" t="s">
        <v>52</v>
      </c>
      <c r="B2075" t="s">
        <v>70</v>
      </c>
      <c r="C2075" t="s">
        <v>222</v>
      </c>
      <c r="D2075" s="110">
        <v>487386</v>
      </c>
      <c r="E2075" s="111">
        <v>487386</v>
      </c>
      <c r="F2075" s="111">
        <v>487326</v>
      </c>
      <c r="G2075" s="111">
        <v>487326</v>
      </c>
      <c r="H2075" s="112"/>
      <c r="I2075" s="110">
        <v>479128</v>
      </c>
      <c r="J2075" s="111">
        <v>480719</v>
      </c>
      <c r="K2075" s="111">
        <v>480739</v>
      </c>
      <c r="L2075" s="111">
        <v>480750</v>
      </c>
      <c r="M2075" s="112"/>
    </row>
    <row r="2076" spans="1:13" x14ac:dyDescent="0.2">
      <c r="A2076" s="113" t="s">
        <v>52</v>
      </c>
      <c r="B2076" s="113" t="s">
        <v>70</v>
      </c>
      <c r="C2076" s="113" t="s">
        <v>223</v>
      </c>
      <c r="D2076" s="114">
        <v>509185</v>
      </c>
      <c r="E2076" s="115">
        <v>508102</v>
      </c>
      <c r="F2076" s="115">
        <v>508109</v>
      </c>
      <c r="G2076" s="115"/>
      <c r="H2076" s="116"/>
      <c r="I2076" s="114">
        <v>497926</v>
      </c>
      <c r="J2076" s="115">
        <v>502699</v>
      </c>
      <c r="K2076" s="115">
        <v>502924</v>
      </c>
      <c r="L2076" s="115"/>
      <c r="M2076" s="116"/>
    </row>
    <row r="2077" spans="1:13" x14ac:dyDescent="0.2">
      <c r="A2077" t="s">
        <v>52</v>
      </c>
      <c r="B2077" t="s">
        <v>70</v>
      </c>
      <c r="C2077" t="s">
        <v>224</v>
      </c>
      <c r="D2077" s="110">
        <v>420121</v>
      </c>
      <c r="E2077" s="111">
        <v>419714</v>
      </c>
      <c r="F2077" s="111"/>
      <c r="G2077" s="111"/>
      <c r="H2077" s="112"/>
      <c r="I2077" s="110">
        <v>413065</v>
      </c>
      <c r="J2077" s="111">
        <v>416920</v>
      </c>
      <c r="K2077" s="111"/>
      <c r="L2077" s="111"/>
      <c r="M2077" s="112"/>
    </row>
    <row r="2078" spans="1:13" x14ac:dyDescent="0.2">
      <c r="A2078" s="117" t="s">
        <v>52</v>
      </c>
      <c r="B2078" s="117" t="s">
        <v>70</v>
      </c>
      <c r="C2078" s="117" t="s">
        <v>225</v>
      </c>
      <c r="D2078" s="118">
        <v>503501</v>
      </c>
      <c r="E2078" s="119"/>
      <c r="F2078" s="119"/>
      <c r="G2078" s="119"/>
      <c r="H2078" s="120"/>
      <c r="I2078" s="118">
        <v>500935</v>
      </c>
      <c r="J2078" s="119"/>
      <c r="K2078" s="119"/>
      <c r="L2078" s="119"/>
      <c r="M2078" s="120"/>
    </row>
    <row r="2079" spans="1:13" x14ac:dyDescent="0.2">
      <c r="A2079" t="s">
        <v>52</v>
      </c>
      <c r="B2079" t="s">
        <v>110</v>
      </c>
      <c r="C2079" t="s">
        <v>222</v>
      </c>
      <c r="D2079" s="110">
        <v>4395059</v>
      </c>
      <c r="E2079" s="111">
        <v>3829988</v>
      </c>
      <c r="F2079" s="111">
        <v>3792755</v>
      </c>
      <c r="G2079" s="111">
        <v>3698315</v>
      </c>
      <c r="H2079" s="112"/>
      <c r="I2079" s="110">
        <v>2127821</v>
      </c>
      <c r="J2079" s="111">
        <v>2968435</v>
      </c>
      <c r="K2079" s="111">
        <v>3107508</v>
      </c>
      <c r="L2079" s="111">
        <v>3180001</v>
      </c>
      <c r="M2079" s="112"/>
    </row>
    <row r="2080" spans="1:13" x14ac:dyDescent="0.2">
      <c r="A2080" s="113" t="s">
        <v>52</v>
      </c>
      <c r="B2080" s="113" t="s">
        <v>110</v>
      </c>
      <c r="C2080" s="113" t="s">
        <v>223</v>
      </c>
      <c r="D2080" s="114">
        <v>4292258</v>
      </c>
      <c r="E2080" s="115">
        <v>4103755</v>
      </c>
      <c r="F2080" s="115">
        <v>3958296</v>
      </c>
      <c r="G2080" s="115"/>
      <c r="H2080" s="116"/>
      <c r="I2080" s="114">
        <v>2287173</v>
      </c>
      <c r="J2080" s="115">
        <v>2854013</v>
      </c>
      <c r="K2080" s="115">
        <v>3098332</v>
      </c>
      <c r="L2080" s="115"/>
      <c r="M2080" s="116"/>
    </row>
    <row r="2081" spans="1:13" x14ac:dyDescent="0.2">
      <c r="A2081" t="s">
        <v>52</v>
      </c>
      <c r="B2081" t="s">
        <v>110</v>
      </c>
      <c r="C2081" t="s">
        <v>224</v>
      </c>
      <c r="D2081" s="110">
        <v>2174276</v>
      </c>
      <c r="E2081" s="111">
        <v>1997609</v>
      </c>
      <c r="F2081" s="111"/>
      <c r="G2081" s="111"/>
      <c r="H2081" s="112"/>
      <c r="I2081" s="110">
        <v>798200</v>
      </c>
      <c r="J2081" s="111">
        <v>1296713</v>
      </c>
      <c r="K2081" s="111"/>
      <c r="L2081" s="111"/>
      <c r="M2081" s="112"/>
    </row>
    <row r="2082" spans="1:13" ht="13.5" thickBot="1" x14ac:dyDescent="0.25">
      <c r="A2082" s="128" t="s">
        <v>52</v>
      </c>
      <c r="B2082" s="128" t="s">
        <v>110</v>
      </c>
      <c r="C2082" s="128" t="s">
        <v>225</v>
      </c>
      <c r="D2082" s="129">
        <v>2812530</v>
      </c>
      <c r="E2082" s="130"/>
      <c r="F2082" s="130"/>
      <c r="G2082" s="130"/>
      <c r="H2082" s="131"/>
      <c r="I2082" s="129">
        <v>1261326</v>
      </c>
      <c r="J2082" s="130"/>
      <c r="K2082" s="130"/>
      <c r="L2082" s="130"/>
      <c r="M2082" s="131"/>
    </row>
    <row r="2083" spans="1:13" x14ac:dyDescent="0.2">
      <c r="A2083" s="132" t="s">
        <v>53</v>
      </c>
      <c r="B2083" s="132" t="s">
        <v>104</v>
      </c>
      <c r="C2083" s="132" t="s">
        <v>222</v>
      </c>
      <c r="D2083" s="133">
        <v>3669586.08</v>
      </c>
      <c r="E2083" s="134">
        <v>3663040.79</v>
      </c>
      <c r="F2083" s="134">
        <v>3659796.13</v>
      </c>
      <c r="G2083" s="134">
        <v>3652805.71</v>
      </c>
      <c r="H2083" s="135"/>
      <c r="I2083" s="133">
        <v>69128.59</v>
      </c>
      <c r="J2083" s="134">
        <v>135239.96</v>
      </c>
      <c r="K2083" s="134">
        <v>173719.88</v>
      </c>
      <c r="L2083" s="134">
        <v>212684.02</v>
      </c>
      <c r="M2083" s="135"/>
    </row>
    <row r="2084" spans="1:13" x14ac:dyDescent="0.2">
      <c r="A2084" s="113" t="s">
        <v>53</v>
      </c>
      <c r="B2084" s="113" t="s">
        <v>104</v>
      </c>
      <c r="C2084" s="113" t="s">
        <v>223</v>
      </c>
      <c r="D2084" s="114">
        <v>5132472.63</v>
      </c>
      <c r="E2084" s="115">
        <v>5130881.63</v>
      </c>
      <c r="F2084" s="115">
        <v>5129448.63</v>
      </c>
      <c r="G2084" s="115"/>
      <c r="H2084" s="116"/>
      <c r="I2084" s="114">
        <v>58403.29</v>
      </c>
      <c r="J2084" s="115">
        <v>111406.99</v>
      </c>
      <c r="K2084" s="115">
        <v>149908.20000000001</v>
      </c>
      <c r="L2084" s="115"/>
      <c r="M2084" s="116"/>
    </row>
    <row r="2085" spans="1:13" x14ac:dyDescent="0.2">
      <c r="A2085" t="s">
        <v>53</v>
      </c>
      <c r="B2085" t="s">
        <v>104</v>
      </c>
      <c r="C2085" t="s">
        <v>224</v>
      </c>
      <c r="D2085" s="110">
        <v>1197346.0900000001</v>
      </c>
      <c r="E2085" s="111">
        <v>1210737.3</v>
      </c>
      <c r="F2085" s="111"/>
      <c r="G2085" s="111"/>
      <c r="H2085" s="112"/>
      <c r="I2085" s="110">
        <v>18719.060000000001</v>
      </c>
      <c r="J2085" s="111">
        <v>38545.4</v>
      </c>
      <c r="K2085" s="111"/>
      <c r="L2085" s="111"/>
      <c r="M2085" s="112"/>
    </row>
    <row r="2086" spans="1:13" x14ac:dyDescent="0.2">
      <c r="A2086" s="117" t="s">
        <v>53</v>
      </c>
      <c r="B2086" s="117" t="s">
        <v>104</v>
      </c>
      <c r="C2086" s="117" t="s">
        <v>225</v>
      </c>
      <c r="D2086" s="118">
        <v>1717397.9</v>
      </c>
      <c r="E2086" s="119"/>
      <c r="F2086" s="119"/>
      <c r="G2086" s="119"/>
      <c r="H2086" s="120"/>
      <c r="I2086" s="118">
        <v>30588.94</v>
      </c>
      <c r="J2086" s="119"/>
      <c r="K2086" s="119"/>
      <c r="L2086" s="119"/>
      <c r="M2086" s="120"/>
    </row>
    <row r="2087" spans="1:13" x14ac:dyDescent="0.2">
      <c r="A2087" t="s">
        <v>53</v>
      </c>
      <c r="B2087" t="s">
        <v>140</v>
      </c>
      <c r="C2087" t="s">
        <v>222</v>
      </c>
      <c r="D2087" s="110">
        <v>1847053</v>
      </c>
      <c r="E2087" s="111">
        <v>1847053</v>
      </c>
      <c r="F2087" s="111">
        <v>1847053</v>
      </c>
      <c r="G2087" s="111">
        <v>1847053</v>
      </c>
      <c r="H2087" s="112"/>
      <c r="I2087" s="110">
        <v>30</v>
      </c>
      <c r="J2087" s="111">
        <v>120</v>
      </c>
      <c r="K2087" s="111">
        <v>977</v>
      </c>
      <c r="L2087" s="111">
        <v>977</v>
      </c>
      <c r="M2087" s="112"/>
    </row>
    <row r="2088" spans="1:13" x14ac:dyDescent="0.2">
      <c r="A2088" s="113" t="s">
        <v>53</v>
      </c>
      <c r="B2088" s="113" t="s">
        <v>140</v>
      </c>
      <c r="C2088" s="113" t="s">
        <v>223</v>
      </c>
      <c r="D2088" s="114">
        <v>3525885</v>
      </c>
      <c r="E2088" s="115">
        <v>3525885</v>
      </c>
      <c r="F2088" s="115">
        <v>3525885</v>
      </c>
      <c r="G2088" s="115"/>
      <c r="H2088" s="116"/>
      <c r="I2088" s="114">
        <v>0</v>
      </c>
      <c r="J2088" s="115">
        <v>0</v>
      </c>
      <c r="K2088" s="115">
        <v>0</v>
      </c>
      <c r="L2088" s="115"/>
      <c r="M2088" s="116"/>
    </row>
    <row r="2089" spans="1:13" x14ac:dyDescent="0.2">
      <c r="A2089" t="s">
        <v>53</v>
      </c>
      <c r="B2089" t="s">
        <v>140</v>
      </c>
      <c r="C2089" t="s">
        <v>224</v>
      </c>
      <c r="D2089" s="110">
        <v>370100</v>
      </c>
      <c r="E2089" s="111">
        <v>370100</v>
      </c>
      <c r="F2089" s="111"/>
      <c r="G2089" s="111"/>
      <c r="H2089" s="112"/>
      <c r="I2089" s="110">
        <v>0</v>
      </c>
      <c r="J2089" s="111">
        <v>0</v>
      </c>
      <c r="K2089" s="111"/>
      <c r="L2089" s="111"/>
      <c r="M2089" s="112"/>
    </row>
    <row r="2090" spans="1:13" x14ac:dyDescent="0.2">
      <c r="A2090" s="117" t="s">
        <v>53</v>
      </c>
      <c r="B2090" s="117" t="s">
        <v>140</v>
      </c>
      <c r="C2090" s="117" t="s">
        <v>225</v>
      </c>
      <c r="D2090" s="118">
        <v>637444</v>
      </c>
      <c r="E2090" s="119"/>
      <c r="F2090" s="119"/>
      <c r="G2090" s="119"/>
      <c r="H2090" s="120"/>
      <c r="I2090" s="118">
        <v>0</v>
      </c>
      <c r="J2090" s="119"/>
      <c r="K2090" s="119"/>
      <c r="L2090" s="119"/>
      <c r="M2090" s="120"/>
    </row>
    <row r="2091" spans="1:13" x14ac:dyDescent="0.2">
      <c r="A2091" t="s">
        <v>53</v>
      </c>
      <c r="B2091" t="s">
        <v>105</v>
      </c>
      <c r="C2091" t="s">
        <v>222</v>
      </c>
      <c r="D2091" s="110">
        <v>949679.33</v>
      </c>
      <c r="E2091" s="111">
        <v>927941.56</v>
      </c>
      <c r="F2091" s="111">
        <v>926321.56</v>
      </c>
      <c r="G2091" s="111">
        <v>922708.03</v>
      </c>
      <c r="H2091" s="112"/>
      <c r="I2091" s="110">
        <v>198984.74</v>
      </c>
      <c r="J2091" s="111">
        <v>302551.14</v>
      </c>
      <c r="K2091" s="111">
        <v>330262.61</v>
      </c>
      <c r="L2091" s="111">
        <v>351620.96</v>
      </c>
      <c r="M2091" s="112"/>
    </row>
    <row r="2092" spans="1:13" x14ac:dyDescent="0.2">
      <c r="A2092" s="113" t="s">
        <v>53</v>
      </c>
      <c r="B2092" s="113" t="s">
        <v>105</v>
      </c>
      <c r="C2092" s="113" t="s">
        <v>223</v>
      </c>
      <c r="D2092" s="114">
        <v>929456.39</v>
      </c>
      <c r="E2092" s="115">
        <v>907368.2</v>
      </c>
      <c r="F2092" s="115">
        <v>901581.64</v>
      </c>
      <c r="G2092" s="115"/>
      <c r="H2092" s="116"/>
      <c r="I2092" s="114">
        <v>232320.24</v>
      </c>
      <c r="J2092" s="115">
        <v>287583.88</v>
      </c>
      <c r="K2092" s="115">
        <v>319619.24</v>
      </c>
      <c r="L2092" s="115"/>
      <c r="M2092" s="116"/>
    </row>
    <row r="2093" spans="1:13" x14ac:dyDescent="0.2">
      <c r="A2093" t="s">
        <v>53</v>
      </c>
      <c r="B2093" t="s">
        <v>105</v>
      </c>
      <c r="C2093" t="s">
        <v>224</v>
      </c>
      <c r="D2093" s="110">
        <v>493008.07</v>
      </c>
      <c r="E2093" s="111">
        <v>488402.32</v>
      </c>
      <c r="F2093" s="111"/>
      <c r="G2093" s="111"/>
      <c r="H2093" s="112"/>
      <c r="I2093" s="110">
        <v>111576.95</v>
      </c>
      <c r="J2093" s="111">
        <v>160645.79999999999</v>
      </c>
      <c r="K2093" s="111"/>
      <c r="L2093" s="111"/>
      <c r="M2093" s="112"/>
    </row>
    <row r="2094" spans="1:13" x14ac:dyDescent="0.2">
      <c r="A2094" s="117" t="s">
        <v>53</v>
      </c>
      <c r="B2094" s="117" t="s">
        <v>105</v>
      </c>
      <c r="C2094" s="117" t="s">
        <v>225</v>
      </c>
      <c r="D2094" s="118">
        <v>768277.37</v>
      </c>
      <c r="E2094" s="119"/>
      <c r="F2094" s="119"/>
      <c r="G2094" s="119"/>
      <c r="H2094" s="120"/>
      <c r="I2094" s="118">
        <v>142789.39000000001</v>
      </c>
      <c r="J2094" s="119"/>
      <c r="K2094" s="119"/>
      <c r="L2094" s="119"/>
      <c r="M2094" s="120"/>
    </row>
    <row r="2095" spans="1:13" x14ac:dyDescent="0.2">
      <c r="A2095" t="s">
        <v>53</v>
      </c>
      <c r="B2095" t="s">
        <v>111</v>
      </c>
      <c r="C2095" t="s">
        <v>222</v>
      </c>
      <c r="D2095" s="110">
        <v>125463.87</v>
      </c>
      <c r="E2095" s="111">
        <v>123479.41</v>
      </c>
      <c r="F2095" s="111">
        <v>122971.41</v>
      </c>
      <c r="G2095" s="111">
        <v>122414.57</v>
      </c>
      <c r="H2095" s="112"/>
      <c r="I2095" s="110">
        <v>3204.98</v>
      </c>
      <c r="J2095" s="111">
        <v>6938.92</v>
      </c>
      <c r="K2095" s="111">
        <v>12396.72</v>
      </c>
      <c r="L2095" s="111">
        <v>14426.82</v>
      </c>
      <c r="M2095" s="112"/>
    </row>
    <row r="2096" spans="1:13" x14ac:dyDescent="0.2">
      <c r="A2096" s="113" t="s">
        <v>53</v>
      </c>
      <c r="B2096" s="113" t="s">
        <v>111</v>
      </c>
      <c r="C2096" s="113" t="s">
        <v>223</v>
      </c>
      <c r="D2096" s="114">
        <v>123879.83</v>
      </c>
      <c r="E2096" s="115">
        <v>122610.39</v>
      </c>
      <c r="F2096" s="115">
        <v>121251.81</v>
      </c>
      <c r="G2096" s="115"/>
      <c r="H2096" s="116"/>
      <c r="I2096" s="114">
        <v>3142</v>
      </c>
      <c r="J2096" s="115">
        <v>11268.64</v>
      </c>
      <c r="K2096" s="115">
        <v>14319.11</v>
      </c>
      <c r="L2096" s="115"/>
      <c r="M2096" s="116"/>
    </row>
    <row r="2097" spans="1:13" x14ac:dyDescent="0.2">
      <c r="A2097" t="s">
        <v>53</v>
      </c>
      <c r="B2097" t="s">
        <v>111</v>
      </c>
      <c r="C2097" t="s">
        <v>224</v>
      </c>
      <c r="D2097" s="110">
        <v>43209.62</v>
      </c>
      <c r="E2097" s="111">
        <v>43209.62</v>
      </c>
      <c r="F2097" s="111"/>
      <c r="G2097" s="111"/>
      <c r="H2097" s="112"/>
      <c r="I2097" s="110">
        <v>2124.92</v>
      </c>
      <c r="J2097" s="111">
        <v>3342.46</v>
      </c>
      <c r="K2097" s="111"/>
      <c r="L2097" s="111"/>
      <c r="M2097" s="112"/>
    </row>
    <row r="2098" spans="1:13" x14ac:dyDescent="0.2">
      <c r="A2098" s="117" t="s">
        <v>53</v>
      </c>
      <c r="B2098" s="117" t="s">
        <v>111</v>
      </c>
      <c r="C2098" s="117" t="s">
        <v>225</v>
      </c>
      <c r="D2098" s="118">
        <v>70461</v>
      </c>
      <c r="E2098" s="119"/>
      <c r="F2098" s="119"/>
      <c r="G2098" s="119"/>
      <c r="H2098" s="120"/>
      <c r="I2098" s="118">
        <v>2693.49</v>
      </c>
      <c r="J2098" s="119"/>
      <c r="K2098" s="119"/>
      <c r="L2098" s="119"/>
      <c r="M2098" s="120"/>
    </row>
    <row r="2099" spans="1:13" x14ac:dyDescent="0.2">
      <c r="A2099" s="124" t="s">
        <v>53</v>
      </c>
      <c r="B2099" s="124" t="s">
        <v>109</v>
      </c>
      <c r="C2099" s="124" t="s">
        <v>222</v>
      </c>
      <c r="D2099" s="125">
        <v>839127.13</v>
      </c>
      <c r="E2099" s="126">
        <v>835800.64</v>
      </c>
      <c r="F2099" s="126">
        <v>833386.64</v>
      </c>
      <c r="G2099" s="126">
        <v>831999.14</v>
      </c>
      <c r="H2099" s="127"/>
      <c r="I2099" s="125">
        <v>220278.5</v>
      </c>
      <c r="J2099" s="126">
        <v>343864.53</v>
      </c>
      <c r="K2099" s="126">
        <v>379455.59</v>
      </c>
      <c r="L2099" s="126">
        <v>400478.53</v>
      </c>
      <c r="M2099" s="127"/>
    </row>
    <row r="2100" spans="1:13" x14ac:dyDescent="0.2">
      <c r="A2100" s="113" t="s">
        <v>53</v>
      </c>
      <c r="B2100" s="113" t="s">
        <v>109</v>
      </c>
      <c r="C2100" s="113" t="s">
        <v>223</v>
      </c>
      <c r="D2100" s="114">
        <v>822500.61</v>
      </c>
      <c r="E2100" s="115">
        <v>809968.61</v>
      </c>
      <c r="F2100" s="115">
        <v>809215.11</v>
      </c>
      <c r="G2100" s="115"/>
      <c r="H2100" s="116"/>
      <c r="I2100" s="114">
        <v>245478.94</v>
      </c>
      <c r="J2100" s="115">
        <v>312904.28999999998</v>
      </c>
      <c r="K2100" s="115">
        <v>349159.3</v>
      </c>
      <c r="L2100" s="115"/>
      <c r="M2100" s="116"/>
    </row>
    <row r="2101" spans="1:13" x14ac:dyDescent="0.2">
      <c r="A2101" t="s">
        <v>53</v>
      </c>
      <c r="B2101" t="s">
        <v>109</v>
      </c>
      <c r="C2101" t="s">
        <v>224</v>
      </c>
      <c r="D2101" s="110">
        <v>299914.65999999997</v>
      </c>
      <c r="E2101" s="111">
        <v>301999.15999999997</v>
      </c>
      <c r="F2101" s="111"/>
      <c r="G2101" s="111"/>
      <c r="H2101" s="112"/>
      <c r="I2101" s="110">
        <v>72441.77</v>
      </c>
      <c r="J2101" s="111">
        <v>118634.91</v>
      </c>
      <c r="K2101" s="111"/>
      <c r="L2101" s="111"/>
      <c r="M2101" s="112"/>
    </row>
    <row r="2102" spans="1:13" x14ac:dyDescent="0.2">
      <c r="A2102" s="117" t="s">
        <v>53</v>
      </c>
      <c r="B2102" s="117" t="s">
        <v>109</v>
      </c>
      <c r="C2102" s="117" t="s">
        <v>225</v>
      </c>
      <c r="D2102" s="118">
        <v>790561.76</v>
      </c>
      <c r="E2102" s="119"/>
      <c r="F2102" s="119"/>
      <c r="G2102" s="119"/>
      <c r="H2102" s="120"/>
      <c r="I2102" s="118">
        <v>164213.16</v>
      </c>
      <c r="J2102" s="119"/>
      <c r="K2102" s="119"/>
      <c r="L2102" s="119"/>
      <c r="M2102" s="120"/>
    </row>
    <row r="2103" spans="1:13" x14ac:dyDescent="0.2">
      <c r="A2103" t="s">
        <v>53</v>
      </c>
      <c r="B2103" t="s">
        <v>106</v>
      </c>
      <c r="C2103" t="s">
        <v>222</v>
      </c>
      <c r="D2103" s="110">
        <v>921038.56</v>
      </c>
      <c r="E2103" s="111">
        <v>921038.56</v>
      </c>
      <c r="F2103" s="111">
        <v>921038.56</v>
      </c>
      <c r="G2103" s="111">
        <v>921038.56</v>
      </c>
      <c r="H2103" s="112"/>
      <c r="I2103" s="110">
        <v>914249.51</v>
      </c>
      <c r="J2103" s="111">
        <v>915553.1</v>
      </c>
      <c r="K2103" s="111">
        <v>915553.1</v>
      </c>
      <c r="L2103" s="111">
        <v>915553.1</v>
      </c>
      <c r="M2103" s="112"/>
    </row>
    <row r="2104" spans="1:13" x14ac:dyDescent="0.2">
      <c r="A2104" s="113" t="s">
        <v>53</v>
      </c>
      <c r="B2104" s="113" t="s">
        <v>106</v>
      </c>
      <c r="C2104" s="113" t="s">
        <v>223</v>
      </c>
      <c r="D2104" s="114">
        <v>867361.35</v>
      </c>
      <c r="E2104" s="115">
        <v>867361.35</v>
      </c>
      <c r="F2104" s="115">
        <v>867361.35</v>
      </c>
      <c r="G2104" s="115"/>
      <c r="H2104" s="116"/>
      <c r="I2104" s="114">
        <v>856793.22</v>
      </c>
      <c r="J2104" s="115">
        <v>858223.22</v>
      </c>
      <c r="K2104" s="115">
        <v>858223.22</v>
      </c>
      <c r="L2104" s="115"/>
      <c r="M2104" s="116"/>
    </row>
    <row r="2105" spans="1:13" x14ac:dyDescent="0.2">
      <c r="A2105" t="s">
        <v>53</v>
      </c>
      <c r="B2105" t="s">
        <v>106</v>
      </c>
      <c r="C2105" t="s">
        <v>224</v>
      </c>
      <c r="D2105" s="110">
        <v>394517.35</v>
      </c>
      <c r="E2105" s="111">
        <v>394517.35</v>
      </c>
      <c r="F2105" s="111"/>
      <c r="G2105" s="111"/>
      <c r="H2105" s="112"/>
      <c r="I2105" s="110">
        <v>380235.35</v>
      </c>
      <c r="J2105" s="111">
        <v>381275.35</v>
      </c>
      <c r="K2105" s="111"/>
      <c r="L2105" s="111"/>
      <c r="M2105" s="112"/>
    </row>
    <row r="2106" spans="1:13" x14ac:dyDescent="0.2">
      <c r="A2106" s="117" t="s">
        <v>53</v>
      </c>
      <c r="B2106" s="117" t="s">
        <v>106</v>
      </c>
      <c r="C2106" s="117" t="s">
        <v>225</v>
      </c>
      <c r="D2106" s="118">
        <v>519050.85</v>
      </c>
      <c r="E2106" s="119"/>
      <c r="F2106" s="119"/>
      <c r="G2106" s="119"/>
      <c r="H2106" s="120"/>
      <c r="I2106" s="118">
        <v>514719.95</v>
      </c>
      <c r="J2106" s="119"/>
      <c r="K2106" s="119"/>
      <c r="L2106" s="119"/>
      <c r="M2106" s="120"/>
    </row>
    <row r="2107" spans="1:13" x14ac:dyDescent="0.2">
      <c r="A2107" t="s">
        <v>53</v>
      </c>
      <c r="B2107" t="s">
        <v>107</v>
      </c>
      <c r="C2107" t="s">
        <v>222</v>
      </c>
      <c r="D2107" s="110">
        <v>1531382.44</v>
      </c>
      <c r="E2107" s="111">
        <v>1531382.44</v>
      </c>
      <c r="F2107" s="111">
        <v>1531382.44</v>
      </c>
      <c r="G2107" s="111">
        <v>1531382.44</v>
      </c>
      <c r="H2107" s="112"/>
      <c r="I2107" s="110">
        <v>1529295.05</v>
      </c>
      <c r="J2107" s="111">
        <v>1529817.44</v>
      </c>
      <c r="K2107" s="111">
        <v>1529817.44</v>
      </c>
      <c r="L2107" s="111">
        <v>1529817.44</v>
      </c>
      <c r="M2107" s="112"/>
    </row>
    <row r="2108" spans="1:13" x14ac:dyDescent="0.2">
      <c r="A2108" s="113" t="s">
        <v>53</v>
      </c>
      <c r="B2108" s="113" t="s">
        <v>107</v>
      </c>
      <c r="C2108" s="113" t="s">
        <v>223</v>
      </c>
      <c r="D2108" s="114">
        <v>1173691.45</v>
      </c>
      <c r="E2108" s="115">
        <v>1173691.45</v>
      </c>
      <c r="F2108" s="115">
        <v>1173691.45</v>
      </c>
      <c r="G2108" s="115"/>
      <c r="H2108" s="116"/>
      <c r="I2108" s="114">
        <v>1172632.95</v>
      </c>
      <c r="J2108" s="115">
        <v>1172730.95</v>
      </c>
      <c r="K2108" s="115">
        <v>1173225.95</v>
      </c>
      <c r="L2108" s="115"/>
      <c r="M2108" s="116"/>
    </row>
    <row r="2109" spans="1:13" x14ac:dyDescent="0.2">
      <c r="A2109" t="s">
        <v>53</v>
      </c>
      <c r="B2109" t="s">
        <v>107</v>
      </c>
      <c r="C2109" t="s">
        <v>224</v>
      </c>
      <c r="D2109" s="110">
        <v>553697.13</v>
      </c>
      <c r="E2109" s="111">
        <v>553697.13</v>
      </c>
      <c r="F2109" s="111"/>
      <c r="G2109" s="111"/>
      <c r="H2109" s="112"/>
      <c r="I2109" s="110">
        <v>552662.13</v>
      </c>
      <c r="J2109" s="111">
        <v>552662.13</v>
      </c>
      <c r="K2109" s="111"/>
      <c r="L2109" s="111"/>
      <c r="M2109" s="112"/>
    </row>
    <row r="2110" spans="1:13" x14ac:dyDescent="0.2">
      <c r="A2110" s="117" t="s">
        <v>53</v>
      </c>
      <c r="B2110" s="117" t="s">
        <v>107</v>
      </c>
      <c r="C2110" s="117" t="s">
        <v>225</v>
      </c>
      <c r="D2110" s="118">
        <v>998127.06</v>
      </c>
      <c r="E2110" s="119"/>
      <c r="F2110" s="119"/>
      <c r="G2110" s="119"/>
      <c r="H2110" s="120"/>
      <c r="I2110" s="118">
        <v>995622.06</v>
      </c>
      <c r="J2110" s="119"/>
      <c r="K2110" s="119"/>
      <c r="L2110" s="119"/>
      <c r="M2110" s="120"/>
    </row>
    <row r="2111" spans="1:13" x14ac:dyDescent="0.2">
      <c r="A2111" t="s">
        <v>53</v>
      </c>
      <c r="B2111" t="s">
        <v>108</v>
      </c>
      <c r="C2111" t="s">
        <v>222</v>
      </c>
      <c r="D2111" s="110">
        <v>199050.31</v>
      </c>
      <c r="E2111" s="111">
        <v>199050.31</v>
      </c>
      <c r="F2111" s="111">
        <v>199050.31</v>
      </c>
      <c r="G2111" s="111">
        <v>199050.31</v>
      </c>
      <c r="H2111" s="112"/>
      <c r="I2111" s="110">
        <v>197368.31</v>
      </c>
      <c r="J2111" s="111">
        <v>197919.31</v>
      </c>
      <c r="K2111" s="111">
        <v>197919.31</v>
      </c>
      <c r="L2111" s="111">
        <v>197919.31</v>
      </c>
      <c r="M2111" s="112"/>
    </row>
    <row r="2112" spans="1:13" x14ac:dyDescent="0.2">
      <c r="A2112" s="113" t="s">
        <v>53</v>
      </c>
      <c r="B2112" s="113" t="s">
        <v>108</v>
      </c>
      <c r="C2112" s="113" t="s">
        <v>223</v>
      </c>
      <c r="D2112" s="114">
        <v>219444.55</v>
      </c>
      <c r="E2112" s="115">
        <v>219444.55</v>
      </c>
      <c r="F2112" s="115">
        <v>219444.55</v>
      </c>
      <c r="G2112" s="115"/>
      <c r="H2112" s="116"/>
      <c r="I2112" s="114">
        <v>217813.55</v>
      </c>
      <c r="J2112" s="115">
        <v>218178.55</v>
      </c>
      <c r="K2112" s="115">
        <v>218233.55</v>
      </c>
      <c r="L2112" s="115"/>
      <c r="M2112" s="116"/>
    </row>
    <row r="2113" spans="1:13" x14ac:dyDescent="0.2">
      <c r="A2113" t="s">
        <v>53</v>
      </c>
      <c r="B2113" t="s">
        <v>108</v>
      </c>
      <c r="C2113" t="s">
        <v>224</v>
      </c>
      <c r="D2113" s="110">
        <v>196780.04</v>
      </c>
      <c r="E2113" s="111">
        <v>196780.04</v>
      </c>
      <c r="F2113" s="111"/>
      <c r="G2113" s="111"/>
      <c r="H2113" s="112"/>
      <c r="I2113" s="110">
        <v>195100.04</v>
      </c>
      <c r="J2113" s="111">
        <v>195100.04</v>
      </c>
      <c r="K2113" s="111"/>
      <c r="L2113" s="111"/>
      <c r="M2113" s="112"/>
    </row>
    <row r="2114" spans="1:13" x14ac:dyDescent="0.2">
      <c r="A2114" s="117" t="s">
        <v>53</v>
      </c>
      <c r="B2114" s="117" t="s">
        <v>108</v>
      </c>
      <c r="C2114" s="117" t="s">
        <v>225</v>
      </c>
      <c r="D2114" s="118">
        <v>212318.77</v>
      </c>
      <c r="E2114" s="119"/>
      <c r="F2114" s="119"/>
      <c r="G2114" s="119"/>
      <c r="H2114" s="120"/>
      <c r="I2114" s="118">
        <v>210079.77</v>
      </c>
      <c r="J2114" s="119"/>
      <c r="K2114" s="119"/>
      <c r="L2114" s="119"/>
      <c r="M2114" s="120"/>
    </row>
    <row r="2115" spans="1:13" x14ac:dyDescent="0.2">
      <c r="A2115" t="s">
        <v>53</v>
      </c>
      <c r="B2115" t="s">
        <v>70</v>
      </c>
      <c r="C2115" t="s">
        <v>222</v>
      </c>
      <c r="D2115" s="110">
        <v>299896.37</v>
      </c>
      <c r="E2115" s="111">
        <v>299488.37</v>
      </c>
      <c r="F2115" s="111">
        <v>299488.37</v>
      </c>
      <c r="G2115" s="111">
        <v>299488.37</v>
      </c>
      <c r="H2115" s="112"/>
      <c r="I2115" s="110">
        <v>288634.87</v>
      </c>
      <c r="J2115" s="111">
        <v>291059.77</v>
      </c>
      <c r="K2115" s="111">
        <v>291327.87</v>
      </c>
      <c r="L2115" s="111">
        <v>291727.87</v>
      </c>
      <c r="M2115" s="112"/>
    </row>
    <row r="2116" spans="1:13" x14ac:dyDescent="0.2">
      <c r="A2116" s="113" t="s">
        <v>53</v>
      </c>
      <c r="B2116" s="113" t="s">
        <v>70</v>
      </c>
      <c r="C2116" s="113" t="s">
        <v>223</v>
      </c>
      <c r="D2116" s="114">
        <v>298109.5</v>
      </c>
      <c r="E2116" s="115">
        <v>296994.5</v>
      </c>
      <c r="F2116" s="115">
        <v>296576.5</v>
      </c>
      <c r="G2116" s="115"/>
      <c r="H2116" s="116"/>
      <c r="I2116" s="114">
        <v>286505.96000000002</v>
      </c>
      <c r="J2116" s="115">
        <v>287507.76</v>
      </c>
      <c r="K2116" s="115">
        <v>287581.76</v>
      </c>
      <c r="L2116" s="115"/>
      <c r="M2116" s="116"/>
    </row>
    <row r="2117" spans="1:13" x14ac:dyDescent="0.2">
      <c r="A2117" t="s">
        <v>53</v>
      </c>
      <c r="B2117" t="s">
        <v>70</v>
      </c>
      <c r="C2117" t="s">
        <v>224</v>
      </c>
      <c r="D2117" s="110">
        <v>260228.35</v>
      </c>
      <c r="E2117" s="111">
        <v>258709.35</v>
      </c>
      <c r="F2117" s="111"/>
      <c r="G2117" s="111"/>
      <c r="H2117" s="112"/>
      <c r="I2117" s="110">
        <v>248446.85</v>
      </c>
      <c r="J2117" s="111">
        <v>250088.85</v>
      </c>
      <c r="K2117" s="111"/>
      <c r="L2117" s="111"/>
      <c r="M2117" s="112"/>
    </row>
    <row r="2118" spans="1:13" x14ac:dyDescent="0.2">
      <c r="A2118" s="117" t="s">
        <v>53</v>
      </c>
      <c r="B2118" s="117" t="s">
        <v>70</v>
      </c>
      <c r="C2118" s="117" t="s">
        <v>225</v>
      </c>
      <c r="D2118" s="118">
        <v>319966.73</v>
      </c>
      <c r="E2118" s="119"/>
      <c r="F2118" s="119"/>
      <c r="G2118" s="119"/>
      <c r="H2118" s="120"/>
      <c r="I2118" s="118">
        <v>315658.73</v>
      </c>
      <c r="J2118" s="119"/>
      <c r="K2118" s="119"/>
      <c r="L2118" s="119"/>
      <c r="M2118" s="120"/>
    </row>
    <row r="2119" spans="1:13" x14ac:dyDescent="0.2">
      <c r="A2119" t="s">
        <v>53</v>
      </c>
      <c r="B2119" t="s">
        <v>110</v>
      </c>
      <c r="C2119" t="s">
        <v>222</v>
      </c>
      <c r="D2119" s="110">
        <v>3508192.11</v>
      </c>
      <c r="E2119" s="111">
        <v>3472471.5</v>
      </c>
      <c r="F2119" s="111">
        <v>3466844.51</v>
      </c>
      <c r="G2119" s="111">
        <v>3461902</v>
      </c>
      <c r="H2119" s="112"/>
      <c r="I2119" s="110">
        <v>1530267.05</v>
      </c>
      <c r="J2119" s="111">
        <v>2659750.4700000002</v>
      </c>
      <c r="K2119" s="111">
        <v>2846043.42</v>
      </c>
      <c r="L2119" s="111">
        <v>2970583.83</v>
      </c>
      <c r="M2119" s="112"/>
    </row>
    <row r="2120" spans="1:13" x14ac:dyDescent="0.2">
      <c r="A2120" s="113" t="s">
        <v>53</v>
      </c>
      <c r="B2120" s="113" t="s">
        <v>110</v>
      </c>
      <c r="C2120" s="113" t="s">
        <v>223</v>
      </c>
      <c r="D2120" s="114">
        <v>3248235.16</v>
      </c>
      <c r="E2120" s="115">
        <v>3168359.25</v>
      </c>
      <c r="F2120" s="115">
        <v>3138932.12</v>
      </c>
      <c r="G2120" s="115"/>
      <c r="H2120" s="116"/>
      <c r="I2120" s="114">
        <v>1554571.61</v>
      </c>
      <c r="J2120" s="115">
        <v>2125707.25</v>
      </c>
      <c r="K2120" s="115">
        <v>2509539.9300000002</v>
      </c>
      <c r="L2120" s="115"/>
      <c r="M2120" s="116"/>
    </row>
    <row r="2121" spans="1:13" x14ac:dyDescent="0.2">
      <c r="A2121" t="s">
        <v>53</v>
      </c>
      <c r="B2121" t="s">
        <v>110</v>
      </c>
      <c r="C2121" t="s">
        <v>224</v>
      </c>
      <c r="D2121" s="110">
        <v>1789369.47</v>
      </c>
      <c r="E2121" s="111">
        <v>1731305.35</v>
      </c>
      <c r="F2121" s="111"/>
      <c r="G2121" s="111"/>
      <c r="H2121" s="112"/>
      <c r="I2121" s="110">
        <v>502607.27</v>
      </c>
      <c r="J2121" s="111">
        <v>849386.88</v>
      </c>
      <c r="K2121" s="111"/>
      <c r="L2121" s="111"/>
      <c r="M2121" s="112"/>
    </row>
    <row r="2122" spans="1:13" ht="13.5" thickBot="1" x14ac:dyDescent="0.25">
      <c r="A2122" s="128" t="s">
        <v>53</v>
      </c>
      <c r="B2122" s="128" t="s">
        <v>110</v>
      </c>
      <c r="C2122" s="128" t="s">
        <v>225</v>
      </c>
      <c r="D2122" s="129">
        <v>2857662.91</v>
      </c>
      <c r="E2122" s="130"/>
      <c r="F2122" s="130"/>
      <c r="G2122" s="130"/>
      <c r="H2122" s="131"/>
      <c r="I2122" s="129">
        <v>1031905.87</v>
      </c>
      <c r="J2122" s="130"/>
      <c r="K2122" s="130"/>
      <c r="L2122" s="130"/>
      <c r="M2122" s="131"/>
    </row>
    <row r="2123" spans="1:13" x14ac:dyDescent="0.2">
      <c r="A2123" s="132" t="s">
        <v>54</v>
      </c>
      <c r="B2123" s="132" t="s">
        <v>104</v>
      </c>
      <c r="C2123" s="132" t="s">
        <v>222</v>
      </c>
      <c r="D2123" s="133">
        <v>412097.34</v>
      </c>
      <c r="E2123" s="134">
        <v>412097.34</v>
      </c>
      <c r="F2123" s="134">
        <v>412097.34</v>
      </c>
      <c r="G2123" s="134">
        <v>412097.34</v>
      </c>
      <c r="H2123" s="135"/>
      <c r="I2123" s="133">
        <v>1544.72</v>
      </c>
      <c r="J2123" s="134">
        <v>6208.66</v>
      </c>
      <c r="K2123" s="134">
        <v>12207.48</v>
      </c>
      <c r="L2123" s="134">
        <v>16010.34</v>
      </c>
      <c r="M2123" s="135"/>
    </row>
    <row r="2124" spans="1:13" x14ac:dyDescent="0.2">
      <c r="A2124" s="113" t="s">
        <v>54</v>
      </c>
      <c r="B2124" s="113" t="s">
        <v>104</v>
      </c>
      <c r="C2124" s="113" t="s">
        <v>223</v>
      </c>
      <c r="D2124" s="114">
        <v>418856.68</v>
      </c>
      <c r="E2124" s="115">
        <v>418856.68</v>
      </c>
      <c r="F2124" s="115">
        <v>418856.68</v>
      </c>
      <c r="G2124" s="115"/>
      <c r="H2124" s="116"/>
      <c r="I2124" s="114">
        <v>2623.12</v>
      </c>
      <c r="J2124" s="115">
        <v>4830.49</v>
      </c>
      <c r="K2124" s="115">
        <v>6106.52</v>
      </c>
      <c r="L2124" s="115"/>
      <c r="M2124" s="116"/>
    </row>
    <row r="2125" spans="1:13" x14ac:dyDescent="0.2">
      <c r="A2125" t="s">
        <v>54</v>
      </c>
      <c r="B2125" t="s">
        <v>104</v>
      </c>
      <c r="C2125" t="s">
        <v>224</v>
      </c>
      <c r="D2125" s="110">
        <v>332408.06</v>
      </c>
      <c r="E2125" s="111">
        <v>332408.06</v>
      </c>
      <c r="F2125" s="111"/>
      <c r="G2125" s="111"/>
      <c r="H2125" s="112"/>
      <c r="I2125" s="110">
        <v>1050.5999999999999</v>
      </c>
      <c r="J2125" s="111">
        <v>2488</v>
      </c>
      <c r="K2125" s="111"/>
      <c r="L2125" s="111"/>
      <c r="M2125" s="112"/>
    </row>
    <row r="2126" spans="1:13" x14ac:dyDescent="0.2">
      <c r="A2126" s="117" t="s">
        <v>54</v>
      </c>
      <c r="B2126" s="117" t="s">
        <v>104</v>
      </c>
      <c r="C2126" s="117" t="s">
        <v>225</v>
      </c>
      <c r="D2126" s="118">
        <v>245177.33</v>
      </c>
      <c r="E2126" s="119"/>
      <c r="F2126" s="119"/>
      <c r="G2126" s="119"/>
      <c r="H2126" s="120"/>
      <c r="I2126" s="118">
        <v>5705.81</v>
      </c>
      <c r="J2126" s="119"/>
      <c r="K2126" s="119"/>
      <c r="L2126" s="119"/>
      <c r="M2126" s="120"/>
    </row>
    <row r="2127" spans="1:13" x14ac:dyDescent="0.2">
      <c r="A2127" t="s">
        <v>54</v>
      </c>
      <c r="B2127" t="s">
        <v>140</v>
      </c>
      <c r="C2127" t="s">
        <v>222</v>
      </c>
      <c r="D2127" s="110">
        <v>213372</v>
      </c>
      <c r="E2127" s="111">
        <v>213372</v>
      </c>
      <c r="F2127" s="111">
        <v>213372</v>
      </c>
      <c r="G2127" s="111">
        <v>213372</v>
      </c>
      <c r="H2127" s="112"/>
      <c r="I2127" s="110">
        <v>0</v>
      </c>
      <c r="J2127" s="111">
        <v>0</v>
      </c>
      <c r="K2127" s="111">
        <v>0</v>
      </c>
      <c r="L2127" s="111">
        <v>0</v>
      </c>
      <c r="M2127" s="112"/>
    </row>
    <row r="2128" spans="1:13" x14ac:dyDescent="0.2">
      <c r="A2128" s="113" t="s">
        <v>54</v>
      </c>
      <c r="B2128" s="113" t="s">
        <v>140</v>
      </c>
      <c r="C2128" s="113" t="s">
        <v>223</v>
      </c>
      <c r="D2128" s="114">
        <v>212140</v>
      </c>
      <c r="E2128" s="115">
        <v>212140</v>
      </c>
      <c r="F2128" s="115">
        <v>212140</v>
      </c>
      <c r="G2128" s="115"/>
      <c r="H2128" s="116"/>
      <c r="I2128" s="114">
        <v>0</v>
      </c>
      <c r="J2128" s="115">
        <v>0</v>
      </c>
      <c r="K2128" s="115">
        <v>0</v>
      </c>
      <c r="L2128" s="115"/>
      <c r="M2128" s="116"/>
    </row>
    <row r="2129" spans="1:13" x14ac:dyDescent="0.2">
      <c r="A2129" t="s">
        <v>54</v>
      </c>
      <c r="B2129" t="s">
        <v>140</v>
      </c>
      <c r="C2129" t="s">
        <v>224</v>
      </c>
      <c r="D2129" s="110">
        <v>212258.36</v>
      </c>
      <c r="E2129" s="111">
        <v>212258.36</v>
      </c>
      <c r="F2129" s="111"/>
      <c r="G2129" s="111"/>
      <c r="H2129" s="112"/>
      <c r="I2129" s="110">
        <v>0</v>
      </c>
      <c r="J2129" s="111">
        <v>0</v>
      </c>
      <c r="K2129" s="111"/>
      <c r="L2129" s="111"/>
      <c r="M2129" s="112"/>
    </row>
    <row r="2130" spans="1:13" x14ac:dyDescent="0.2">
      <c r="A2130" s="117" t="s">
        <v>54</v>
      </c>
      <c r="B2130" s="117" t="s">
        <v>140</v>
      </c>
      <c r="C2130" s="117" t="s">
        <v>225</v>
      </c>
      <c r="D2130" s="118">
        <v>53248</v>
      </c>
      <c r="E2130" s="119"/>
      <c r="F2130" s="119"/>
      <c r="G2130" s="119"/>
      <c r="H2130" s="120"/>
      <c r="I2130" s="118">
        <v>0</v>
      </c>
      <c r="J2130" s="119"/>
      <c r="K2130" s="119"/>
      <c r="L2130" s="119"/>
      <c r="M2130" s="120"/>
    </row>
    <row r="2131" spans="1:13" x14ac:dyDescent="0.2">
      <c r="A2131" t="s">
        <v>54</v>
      </c>
      <c r="B2131" t="s">
        <v>105</v>
      </c>
      <c r="C2131" t="s">
        <v>222</v>
      </c>
      <c r="D2131" s="110">
        <v>96417.5</v>
      </c>
      <c r="E2131" s="111">
        <v>96417.5</v>
      </c>
      <c r="F2131" s="111">
        <v>96417.5</v>
      </c>
      <c r="G2131" s="111">
        <v>96417.5</v>
      </c>
      <c r="H2131" s="112"/>
      <c r="I2131" s="110">
        <v>6682.5</v>
      </c>
      <c r="J2131" s="111">
        <v>18998</v>
      </c>
      <c r="K2131" s="111">
        <v>26939.61</v>
      </c>
      <c r="L2131" s="111">
        <v>31075.61</v>
      </c>
      <c r="M2131" s="112"/>
    </row>
    <row r="2132" spans="1:13" x14ac:dyDescent="0.2">
      <c r="A2132" s="113" t="s">
        <v>54</v>
      </c>
      <c r="B2132" s="113" t="s">
        <v>105</v>
      </c>
      <c r="C2132" s="113" t="s">
        <v>223</v>
      </c>
      <c r="D2132" s="114">
        <v>97612</v>
      </c>
      <c r="E2132" s="115">
        <v>97612</v>
      </c>
      <c r="F2132" s="115">
        <v>97612</v>
      </c>
      <c r="G2132" s="115"/>
      <c r="H2132" s="116"/>
      <c r="I2132" s="114">
        <v>8136</v>
      </c>
      <c r="J2132" s="115">
        <v>22514.46</v>
      </c>
      <c r="K2132" s="115">
        <v>27825.66</v>
      </c>
      <c r="L2132" s="115"/>
      <c r="M2132" s="116"/>
    </row>
    <row r="2133" spans="1:13" x14ac:dyDescent="0.2">
      <c r="A2133" t="s">
        <v>54</v>
      </c>
      <c r="B2133" t="s">
        <v>105</v>
      </c>
      <c r="C2133" t="s">
        <v>224</v>
      </c>
      <c r="D2133" s="110">
        <v>34406.04</v>
      </c>
      <c r="E2133" s="111">
        <v>34406.04</v>
      </c>
      <c r="F2133" s="111"/>
      <c r="G2133" s="111"/>
      <c r="H2133" s="112"/>
      <c r="I2133" s="110">
        <v>4872</v>
      </c>
      <c r="J2133" s="111">
        <v>6605</v>
      </c>
      <c r="K2133" s="111"/>
      <c r="L2133" s="111"/>
      <c r="M2133" s="112"/>
    </row>
    <row r="2134" spans="1:13" x14ac:dyDescent="0.2">
      <c r="A2134" s="117" t="s">
        <v>54</v>
      </c>
      <c r="B2134" s="117" t="s">
        <v>105</v>
      </c>
      <c r="C2134" s="117" t="s">
        <v>225</v>
      </c>
      <c r="D2134" s="118">
        <v>99506.12</v>
      </c>
      <c r="E2134" s="119"/>
      <c r="F2134" s="119"/>
      <c r="G2134" s="119"/>
      <c r="H2134" s="120"/>
      <c r="I2134" s="118">
        <v>11859.5</v>
      </c>
      <c r="J2134" s="119"/>
      <c r="K2134" s="119"/>
      <c r="L2134" s="119"/>
      <c r="M2134" s="120"/>
    </row>
    <row r="2135" spans="1:13" x14ac:dyDescent="0.2">
      <c r="A2135" t="s">
        <v>54</v>
      </c>
      <c r="B2135" t="s">
        <v>111</v>
      </c>
      <c r="C2135" t="s">
        <v>222</v>
      </c>
      <c r="D2135" s="110">
        <v>1750</v>
      </c>
      <c r="E2135" s="111">
        <v>1750</v>
      </c>
      <c r="F2135" s="111">
        <v>1750</v>
      </c>
      <c r="G2135" s="111">
        <v>1750</v>
      </c>
      <c r="H2135" s="112"/>
      <c r="I2135" s="110">
        <v>0</v>
      </c>
      <c r="J2135" s="111">
        <v>0</v>
      </c>
      <c r="K2135" s="111">
        <v>0</v>
      </c>
      <c r="L2135" s="111">
        <v>0</v>
      </c>
      <c r="M2135" s="112"/>
    </row>
    <row r="2136" spans="1:13" x14ac:dyDescent="0.2">
      <c r="A2136" s="113" t="s">
        <v>54</v>
      </c>
      <c r="B2136" s="113" t="s">
        <v>111</v>
      </c>
      <c r="C2136" s="113" t="s">
        <v>223</v>
      </c>
      <c r="D2136" s="114">
        <v>2153.5</v>
      </c>
      <c r="E2136" s="115">
        <v>2153.5</v>
      </c>
      <c r="F2136" s="115">
        <v>2153.5</v>
      </c>
      <c r="G2136" s="115"/>
      <c r="H2136" s="116"/>
      <c r="I2136" s="114">
        <v>0</v>
      </c>
      <c r="J2136" s="115">
        <v>0</v>
      </c>
      <c r="K2136" s="115">
        <v>0</v>
      </c>
      <c r="L2136" s="115"/>
      <c r="M2136" s="116"/>
    </row>
    <row r="2137" spans="1:13" x14ac:dyDescent="0.2">
      <c r="A2137" t="s">
        <v>54</v>
      </c>
      <c r="B2137" t="s">
        <v>111</v>
      </c>
      <c r="C2137" t="s">
        <v>224</v>
      </c>
      <c r="D2137" s="110">
        <v>0</v>
      </c>
      <c r="E2137" s="111">
        <v>0</v>
      </c>
      <c r="F2137" s="111"/>
      <c r="G2137" s="111"/>
      <c r="H2137" s="112"/>
      <c r="I2137" s="110">
        <v>0</v>
      </c>
      <c r="J2137" s="111">
        <v>0</v>
      </c>
      <c r="K2137" s="111"/>
      <c r="L2137" s="111"/>
      <c r="M2137" s="112"/>
    </row>
    <row r="2138" spans="1:13" x14ac:dyDescent="0.2">
      <c r="A2138" s="117" t="s">
        <v>54</v>
      </c>
      <c r="B2138" s="117" t="s">
        <v>111</v>
      </c>
      <c r="C2138" s="117" t="s">
        <v>225</v>
      </c>
      <c r="D2138" s="118">
        <v>0</v>
      </c>
      <c r="E2138" s="119"/>
      <c r="F2138" s="119"/>
      <c r="G2138" s="119"/>
      <c r="H2138" s="120"/>
      <c r="I2138" s="118">
        <v>0</v>
      </c>
      <c r="J2138" s="119"/>
      <c r="K2138" s="119"/>
      <c r="L2138" s="119"/>
      <c r="M2138" s="120"/>
    </row>
    <row r="2139" spans="1:13" x14ac:dyDescent="0.2">
      <c r="A2139" s="124" t="s">
        <v>54</v>
      </c>
      <c r="B2139" s="124" t="s">
        <v>109</v>
      </c>
      <c r="C2139" s="124" t="s">
        <v>222</v>
      </c>
      <c r="D2139" s="125">
        <v>93762.3</v>
      </c>
      <c r="E2139" s="126">
        <v>93762.3</v>
      </c>
      <c r="F2139" s="126">
        <v>93762.3</v>
      </c>
      <c r="G2139" s="126">
        <v>93762.3</v>
      </c>
      <c r="H2139" s="127"/>
      <c r="I2139" s="125">
        <v>15557.3</v>
      </c>
      <c r="J2139" s="126">
        <v>43651.03</v>
      </c>
      <c r="K2139" s="126">
        <v>55834.03</v>
      </c>
      <c r="L2139" s="126">
        <v>59452.13</v>
      </c>
      <c r="M2139" s="127"/>
    </row>
    <row r="2140" spans="1:13" x14ac:dyDescent="0.2">
      <c r="A2140" s="113" t="s">
        <v>54</v>
      </c>
      <c r="B2140" s="113" t="s">
        <v>109</v>
      </c>
      <c r="C2140" s="113" t="s">
        <v>223</v>
      </c>
      <c r="D2140" s="114">
        <v>67947</v>
      </c>
      <c r="E2140" s="115">
        <v>67947</v>
      </c>
      <c r="F2140" s="115">
        <v>67947</v>
      </c>
      <c r="G2140" s="115"/>
      <c r="H2140" s="116"/>
      <c r="I2140" s="114">
        <v>15360</v>
      </c>
      <c r="J2140" s="115">
        <v>30841.41</v>
      </c>
      <c r="K2140" s="115">
        <v>36994.400000000001</v>
      </c>
      <c r="L2140" s="115"/>
      <c r="M2140" s="116"/>
    </row>
    <row r="2141" spans="1:13" x14ac:dyDescent="0.2">
      <c r="A2141" t="s">
        <v>54</v>
      </c>
      <c r="B2141" t="s">
        <v>109</v>
      </c>
      <c r="C2141" t="s">
        <v>224</v>
      </c>
      <c r="D2141" s="110">
        <v>26776.84</v>
      </c>
      <c r="E2141" s="111">
        <v>26776.84</v>
      </c>
      <c r="F2141" s="111"/>
      <c r="G2141" s="111"/>
      <c r="H2141" s="112"/>
      <c r="I2141" s="110">
        <v>3669</v>
      </c>
      <c r="J2141" s="111">
        <v>13165.16</v>
      </c>
      <c r="K2141" s="111"/>
      <c r="L2141" s="111"/>
      <c r="M2141" s="112"/>
    </row>
    <row r="2142" spans="1:13" x14ac:dyDescent="0.2">
      <c r="A2142" s="117" t="s">
        <v>54</v>
      </c>
      <c r="B2142" s="117" t="s">
        <v>109</v>
      </c>
      <c r="C2142" s="117" t="s">
        <v>225</v>
      </c>
      <c r="D2142" s="118">
        <v>74748</v>
      </c>
      <c r="E2142" s="119"/>
      <c r="F2142" s="119"/>
      <c r="G2142" s="119"/>
      <c r="H2142" s="120"/>
      <c r="I2142" s="118">
        <v>17793.55</v>
      </c>
      <c r="J2142" s="119"/>
      <c r="K2142" s="119"/>
      <c r="L2142" s="119"/>
      <c r="M2142" s="120"/>
    </row>
    <row r="2143" spans="1:13" x14ac:dyDescent="0.2">
      <c r="A2143" t="s">
        <v>54</v>
      </c>
      <c r="B2143" t="s">
        <v>106</v>
      </c>
      <c r="C2143" t="s">
        <v>222</v>
      </c>
      <c r="D2143" s="110">
        <v>79568</v>
      </c>
      <c r="E2143" s="111">
        <v>79568</v>
      </c>
      <c r="F2143" s="111">
        <v>79568</v>
      </c>
      <c r="G2143" s="111">
        <v>79568</v>
      </c>
      <c r="H2143" s="112"/>
      <c r="I2143" s="110">
        <v>71185.5</v>
      </c>
      <c r="J2143" s="111">
        <v>76190.5</v>
      </c>
      <c r="K2143" s="111">
        <v>76190.5</v>
      </c>
      <c r="L2143" s="111">
        <v>76190.5</v>
      </c>
      <c r="M2143" s="112"/>
    </row>
    <row r="2144" spans="1:13" x14ac:dyDescent="0.2">
      <c r="A2144" s="113" t="s">
        <v>54</v>
      </c>
      <c r="B2144" s="113" t="s">
        <v>106</v>
      </c>
      <c r="C2144" s="113" t="s">
        <v>223</v>
      </c>
      <c r="D2144" s="114">
        <v>72565</v>
      </c>
      <c r="E2144" s="115">
        <v>72565</v>
      </c>
      <c r="F2144" s="115">
        <v>72565</v>
      </c>
      <c r="G2144" s="115"/>
      <c r="H2144" s="116"/>
      <c r="I2144" s="114">
        <v>71734</v>
      </c>
      <c r="J2144" s="115">
        <v>72554</v>
      </c>
      <c r="K2144" s="115">
        <v>72554</v>
      </c>
      <c r="L2144" s="115"/>
      <c r="M2144" s="116"/>
    </row>
    <row r="2145" spans="1:13" x14ac:dyDescent="0.2">
      <c r="A2145" t="s">
        <v>54</v>
      </c>
      <c r="B2145" t="s">
        <v>106</v>
      </c>
      <c r="C2145" t="s">
        <v>224</v>
      </c>
      <c r="D2145" s="110">
        <v>34314</v>
      </c>
      <c r="E2145" s="111">
        <v>34314</v>
      </c>
      <c r="F2145" s="111"/>
      <c r="G2145" s="111"/>
      <c r="H2145" s="112"/>
      <c r="I2145" s="110">
        <v>33894</v>
      </c>
      <c r="J2145" s="111">
        <v>34314</v>
      </c>
      <c r="K2145" s="111"/>
      <c r="L2145" s="111"/>
      <c r="M2145" s="112"/>
    </row>
    <row r="2146" spans="1:13" x14ac:dyDescent="0.2">
      <c r="A2146" s="117" t="s">
        <v>54</v>
      </c>
      <c r="B2146" s="117" t="s">
        <v>106</v>
      </c>
      <c r="C2146" s="117" t="s">
        <v>225</v>
      </c>
      <c r="D2146" s="118">
        <v>37876.5</v>
      </c>
      <c r="E2146" s="119"/>
      <c r="F2146" s="119"/>
      <c r="G2146" s="119"/>
      <c r="H2146" s="120"/>
      <c r="I2146" s="118">
        <v>36890.5</v>
      </c>
      <c r="J2146" s="119"/>
      <c r="K2146" s="119"/>
      <c r="L2146" s="119"/>
      <c r="M2146" s="120"/>
    </row>
    <row r="2147" spans="1:13" x14ac:dyDescent="0.2">
      <c r="A2147" t="s">
        <v>54</v>
      </c>
      <c r="B2147" t="s">
        <v>107</v>
      </c>
      <c r="C2147" t="s">
        <v>222</v>
      </c>
      <c r="D2147" s="110">
        <v>89114.18</v>
      </c>
      <c r="E2147" s="111">
        <v>89114.18</v>
      </c>
      <c r="F2147" s="111">
        <v>89114.18</v>
      </c>
      <c r="G2147" s="111">
        <v>89114.18</v>
      </c>
      <c r="H2147" s="112"/>
      <c r="I2147" s="110">
        <v>88044.18</v>
      </c>
      <c r="J2147" s="111">
        <v>88919.18</v>
      </c>
      <c r="K2147" s="111">
        <v>88919.18</v>
      </c>
      <c r="L2147" s="111">
        <v>88919.18</v>
      </c>
      <c r="M2147" s="112"/>
    </row>
    <row r="2148" spans="1:13" x14ac:dyDescent="0.2">
      <c r="A2148" s="113" t="s">
        <v>54</v>
      </c>
      <c r="B2148" s="113" t="s">
        <v>107</v>
      </c>
      <c r="C2148" s="113" t="s">
        <v>223</v>
      </c>
      <c r="D2148" s="114">
        <v>90390.42</v>
      </c>
      <c r="E2148" s="115">
        <v>90390.42</v>
      </c>
      <c r="F2148" s="115">
        <v>90390.42</v>
      </c>
      <c r="G2148" s="115"/>
      <c r="H2148" s="116"/>
      <c r="I2148" s="114">
        <v>86460.42</v>
      </c>
      <c r="J2148" s="115">
        <v>89905.42</v>
      </c>
      <c r="K2148" s="115">
        <v>89905.42</v>
      </c>
      <c r="L2148" s="115"/>
      <c r="M2148" s="116"/>
    </row>
    <row r="2149" spans="1:13" x14ac:dyDescent="0.2">
      <c r="A2149" t="s">
        <v>54</v>
      </c>
      <c r="B2149" t="s">
        <v>107</v>
      </c>
      <c r="C2149" t="s">
        <v>224</v>
      </c>
      <c r="D2149" s="110">
        <v>44276.02</v>
      </c>
      <c r="E2149" s="111">
        <v>44276.02</v>
      </c>
      <c r="F2149" s="111"/>
      <c r="G2149" s="111"/>
      <c r="H2149" s="112"/>
      <c r="I2149" s="110">
        <v>44276.02</v>
      </c>
      <c r="J2149" s="111">
        <v>44276.02</v>
      </c>
      <c r="K2149" s="111"/>
      <c r="L2149" s="111"/>
      <c r="M2149" s="112"/>
    </row>
    <row r="2150" spans="1:13" x14ac:dyDescent="0.2">
      <c r="A2150" s="117" t="s">
        <v>54</v>
      </c>
      <c r="B2150" s="117" t="s">
        <v>107</v>
      </c>
      <c r="C2150" s="117" t="s">
        <v>225</v>
      </c>
      <c r="D2150" s="118">
        <v>56189.29</v>
      </c>
      <c r="E2150" s="119"/>
      <c r="F2150" s="119"/>
      <c r="G2150" s="119"/>
      <c r="H2150" s="120"/>
      <c r="I2150" s="118">
        <v>55819.29</v>
      </c>
      <c r="J2150" s="119"/>
      <c r="K2150" s="119"/>
      <c r="L2150" s="119"/>
      <c r="M2150" s="120"/>
    </row>
    <row r="2151" spans="1:13" x14ac:dyDescent="0.2">
      <c r="A2151" t="s">
        <v>54</v>
      </c>
      <c r="B2151" t="s">
        <v>108</v>
      </c>
      <c r="C2151" t="s">
        <v>222</v>
      </c>
      <c r="D2151" s="110">
        <v>29792.63</v>
      </c>
      <c r="E2151" s="111">
        <v>29792.63</v>
      </c>
      <c r="F2151" s="111">
        <v>29792.63</v>
      </c>
      <c r="G2151" s="111">
        <v>29792.63</v>
      </c>
      <c r="H2151" s="112"/>
      <c r="I2151" s="110">
        <v>28526.63</v>
      </c>
      <c r="J2151" s="111">
        <v>29561.63</v>
      </c>
      <c r="K2151" s="111">
        <v>29561.63</v>
      </c>
      <c r="L2151" s="111">
        <v>29561.63</v>
      </c>
      <c r="M2151" s="112"/>
    </row>
    <row r="2152" spans="1:13" x14ac:dyDescent="0.2">
      <c r="A2152" s="113" t="s">
        <v>54</v>
      </c>
      <c r="B2152" s="113" t="s">
        <v>108</v>
      </c>
      <c r="C2152" s="113" t="s">
        <v>223</v>
      </c>
      <c r="D2152" s="114">
        <v>35745</v>
      </c>
      <c r="E2152" s="115">
        <v>35745</v>
      </c>
      <c r="F2152" s="115">
        <v>35745</v>
      </c>
      <c r="G2152" s="115"/>
      <c r="H2152" s="116"/>
      <c r="I2152" s="114">
        <v>34959</v>
      </c>
      <c r="J2152" s="115">
        <v>35704</v>
      </c>
      <c r="K2152" s="115">
        <v>35704</v>
      </c>
      <c r="L2152" s="115"/>
      <c r="M2152" s="116"/>
    </row>
    <row r="2153" spans="1:13" x14ac:dyDescent="0.2">
      <c r="A2153" t="s">
        <v>54</v>
      </c>
      <c r="B2153" t="s">
        <v>108</v>
      </c>
      <c r="C2153" t="s">
        <v>224</v>
      </c>
      <c r="D2153" s="110">
        <v>39775</v>
      </c>
      <c r="E2153" s="111">
        <v>39775</v>
      </c>
      <c r="F2153" s="111"/>
      <c r="G2153" s="111"/>
      <c r="H2153" s="112"/>
      <c r="I2153" s="110">
        <v>38907</v>
      </c>
      <c r="J2153" s="111">
        <v>39199</v>
      </c>
      <c r="K2153" s="111"/>
      <c r="L2153" s="111"/>
      <c r="M2153" s="112"/>
    </row>
    <row r="2154" spans="1:13" x14ac:dyDescent="0.2">
      <c r="A2154" s="117" t="s">
        <v>54</v>
      </c>
      <c r="B2154" s="117" t="s">
        <v>108</v>
      </c>
      <c r="C2154" s="117" t="s">
        <v>225</v>
      </c>
      <c r="D2154" s="118">
        <v>34077</v>
      </c>
      <c r="E2154" s="119"/>
      <c r="F2154" s="119"/>
      <c r="G2154" s="119"/>
      <c r="H2154" s="120"/>
      <c r="I2154" s="118">
        <v>33035</v>
      </c>
      <c r="J2154" s="119"/>
      <c r="K2154" s="119"/>
      <c r="L2154" s="119"/>
      <c r="M2154" s="120"/>
    </row>
    <row r="2155" spans="1:13" x14ac:dyDescent="0.2">
      <c r="A2155" t="s">
        <v>54</v>
      </c>
      <c r="B2155" t="s">
        <v>70</v>
      </c>
      <c r="C2155" t="s">
        <v>222</v>
      </c>
      <c r="D2155" s="110">
        <v>32095.75</v>
      </c>
      <c r="E2155" s="111">
        <v>32095.75</v>
      </c>
      <c r="F2155" s="111">
        <v>32095.75</v>
      </c>
      <c r="G2155" s="111">
        <v>32095.75</v>
      </c>
      <c r="H2155" s="112"/>
      <c r="I2155" s="110">
        <v>28396.5</v>
      </c>
      <c r="J2155" s="111">
        <v>28575.75</v>
      </c>
      <c r="K2155" s="111">
        <v>28575.75</v>
      </c>
      <c r="L2155" s="111">
        <v>28575.75</v>
      </c>
      <c r="M2155" s="112"/>
    </row>
    <row r="2156" spans="1:13" x14ac:dyDescent="0.2">
      <c r="A2156" s="113" t="s">
        <v>54</v>
      </c>
      <c r="B2156" s="113" t="s">
        <v>70</v>
      </c>
      <c r="C2156" s="113" t="s">
        <v>223</v>
      </c>
      <c r="D2156" s="114">
        <v>39216</v>
      </c>
      <c r="E2156" s="115">
        <v>39216</v>
      </c>
      <c r="F2156" s="115">
        <v>39216</v>
      </c>
      <c r="G2156" s="115"/>
      <c r="H2156" s="116"/>
      <c r="I2156" s="114">
        <v>32231</v>
      </c>
      <c r="J2156" s="115">
        <v>34570</v>
      </c>
      <c r="K2156" s="115">
        <v>34970</v>
      </c>
      <c r="L2156" s="115"/>
      <c r="M2156" s="116"/>
    </row>
    <row r="2157" spans="1:13" x14ac:dyDescent="0.2">
      <c r="A2157" t="s">
        <v>54</v>
      </c>
      <c r="B2157" t="s">
        <v>70</v>
      </c>
      <c r="C2157" t="s">
        <v>224</v>
      </c>
      <c r="D2157" s="110">
        <v>40148</v>
      </c>
      <c r="E2157" s="111">
        <v>40148</v>
      </c>
      <c r="F2157" s="111"/>
      <c r="G2157" s="111"/>
      <c r="H2157" s="112"/>
      <c r="I2157" s="110">
        <v>37447</v>
      </c>
      <c r="J2157" s="111">
        <v>38562</v>
      </c>
      <c r="K2157" s="111"/>
      <c r="L2157" s="111"/>
      <c r="M2157" s="112"/>
    </row>
    <row r="2158" spans="1:13" x14ac:dyDescent="0.2">
      <c r="A2158" s="117" t="s">
        <v>54</v>
      </c>
      <c r="B2158" s="117" t="s">
        <v>70</v>
      </c>
      <c r="C2158" s="117" t="s">
        <v>225</v>
      </c>
      <c r="D2158" s="118">
        <v>29746.5</v>
      </c>
      <c r="E2158" s="119"/>
      <c r="F2158" s="119"/>
      <c r="G2158" s="119"/>
      <c r="H2158" s="120"/>
      <c r="I2158" s="118">
        <v>26078.5</v>
      </c>
      <c r="J2158" s="119"/>
      <c r="K2158" s="119"/>
      <c r="L2158" s="119"/>
      <c r="M2158" s="120"/>
    </row>
    <row r="2159" spans="1:13" x14ac:dyDescent="0.2">
      <c r="A2159" t="s">
        <v>54</v>
      </c>
      <c r="B2159" t="s">
        <v>110</v>
      </c>
      <c r="C2159" t="s">
        <v>222</v>
      </c>
      <c r="D2159" s="110">
        <v>143087.20000000001</v>
      </c>
      <c r="E2159" s="111">
        <v>143087.20000000001</v>
      </c>
      <c r="F2159" s="111">
        <v>143087.20000000001</v>
      </c>
      <c r="G2159" s="111">
        <v>143087.20000000001</v>
      </c>
      <c r="H2159" s="112"/>
      <c r="I2159" s="110">
        <v>43653.95</v>
      </c>
      <c r="J2159" s="111">
        <v>95914.65</v>
      </c>
      <c r="K2159" s="111">
        <v>105403.15</v>
      </c>
      <c r="L2159" s="111">
        <v>107424.4</v>
      </c>
      <c r="M2159" s="112"/>
    </row>
    <row r="2160" spans="1:13" x14ac:dyDescent="0.2">
      <c r="A2160" s="113" t="s">
        <v>54</v>
      </c>
      <c r="B2160" s="113" t="s">
        <v>110</v>
      </c>
      <c r="C2160" s="113" t="s">
        <v>223</v>
      </c>
      <c r="D2160" s="114">
        <v>139795.9</v>
      </c>
      <c r="E2160" s="115">
        <v>139795.9</v>
      </c>
      <c r="F2160" s="115">
        <v>139795.9</v>
      </c>
      <c r="G2160" s="115"/>
      <c r="H2160" s="116"/>
      <c r="I2160" s="114">
        <v>47808.15</v>
      </c>
      <c r="J2160" s="115">
        <v>82015.600000000006</v>
      </c>
      <c r="K2160" s="115">
        <v>85347.1</v>
      </c>
      <c r="L2160" s="115"/>
      <c r="M2160" s="116"/>
    </row>
    <row r="2161" spans="1:13" x14ac:dyDescent="0.2">
      <c r="A2161" t="s">
        <v>54</v>
      </c>
      <c r="B2161" t="s">
        <v>110</v>
      </c>
      <c r="C2161" t="s">
        <v>224</v>
      </c>
      <c r="D2161" s="110">
        <v>79644.92</v>
      </c>
      <c r="E2161" s="111">
        <v>79644.92</v>
      </c>
      <c r="F2161" s="111"/>
      <c r="G2161" s="111"/>
      <c r="H2161" s="112"/>
      <c r="I2161" s="110">
        <v>19235.96</v>
      </c>
      <c r="J2161" s="111">
        <v>38304.46</v>
      </c>
      <c r="K2161" s="111"/>
      <c r="L2161" s="111"/>
      <c r="M2161" s="112"/>
    </row>
    <row r="2162" spans="1:13" ht="13.5" thickBot="1" x14ac:dyDescent="0.25">
      <c r="A2162" s="128" t="s">
        <v>54</v>
      </c>
      <c r="B2162" s="128" t="s">
        <v>110</v>
      </c>
      <c r="C2162" s="128" t="s">
        <v>225</v>
      </c>
      <c r="D2162" s="129">
        <v>99736.05</v>
      </c>
      <c r="E2162" s="130"/>
      <c r="F2162" s="130"/>
      <c r="G2162" s="130"/>
      <c r="H2162" s="131"/>
      <c r="I2162" s="129">
        <v>21174.95</v>
      </c>
      <c r="J2162" s="130"/>
      <c r="K2162" s="130"/>
      <c r="L2162" s="130"/>
      <c r="M2162" s="131"/>
    </row>
    <row r="2163" spans="1:13" x14ac:dyDescent="0.2">
      <c r="A2163" s="132" t="s">
        <v>77</v>
      </c>
      <c r="B2163" s="132" t="s">
        <v>104</v>
      </c>
      <c r="C2163" s="132" t="s">
        <v>222</v>
      </c>
      <c r="D2163" s="133">
        <v>387936.25</v>
      </c>
      <c r="E2163" s="134">
        <v>387718.25</v>
      </c>
      <c r="F2163" s="134">
        <v>387129.25</v>
      </c>
      <c r="G2163" s="134">
        <v>385878.25</v>
      </c>
      <c r="H2163" s="135"/>
      <c r="I2163" s="133">
        <v>13764.82</v>
      </c>
      <c r="J2163" s="134">
        <v>20516.86</v>
      </c>
      <c r="K2163" s="134">
        <v>25827.66</v>
      </c>
      <c r="L2163" s="134">
        <v>31420.97</v>
      </c>
      <c r="M2163" s="135"/>
    </row>
    <row r="2164" spans="1:13" x14ac:dyDescent="0.2">
      <c r="A2164" s="113" t="s">
        <v>77</v>
      </c>
      <c r="B2164" s="113" t="s">
        <v>104</v>
      </c>
      <c r="C2164" s="113" t="s">
        <v>223</v>
      </c>
      <c r="D2164" s="114">
        <v>281657.94</v>
      </c>
      <c r="E2164" s="115">
        <v>281457.94</v>
      </c>
      <c r="F2164" s="115">
        <v>280810.94</v>
      </c>
      <c r="G2164" s="115"/>
      <c r="H2164" s="116"/>
      <c r="I2164" s="114">
        <v>8855.39</v>
      </c>
      <c r="J2164" s="115">
        <v>13420.47</v>
      </c>
      <c r="K2164" s="115">
        <v>19882.47</v>
      </c>
      <c r="L2164" s="115"/>
      <c r="M2164" s="116"/>
    </row>
    <row r="2165" spans="1:13" x14ac:dyDescent="0.2">
      <c r="A2165" t="s">
        <v>77</v>
      </c>
      <c r="B2165" t="s">
        <v>104</v>
      </c>
      <c r="C2165" t="s">
        <v>224</v>
      </c>
      <c r="D2165" s="110">
        <v>315323.5</v>
      </c>
      <c r="E2165" s="111">
        <v>314607.5</v>
      </c>
      <c r="F2165" s="111"/>
      <c r="G2165" s="111"/>
      <c r="H2165" s="112"/>
      <c r="I2165" s="110">
        <v>8606.4500000000007</v>
      </c>
      <c r="J2165" s="111">
        <v>14163.48</v>
      </c>
      <c r="K2165" s="111"/>
      <c r="L2165" s="111"/>
      <c r="M2165" s="112"/>
    </row>
    <row r="2166" spans="1:13" x14ac:dyDescent="0.2">
      <c r="A2166" s="117" t="s">
        <v>77</v>
      </c>
      <c r="B2166" s="117" t="s">
        <v>104</v>
      </c>
      <c r="C2166" s="117" t="s">
        <v>225</v>
      </c>
      <c r="D2166" s="118">
        <v>387782</v>
      </c>
      <c r="E2166" s="119"/>
      <c r="F2166" s="119"/>
      <c r="G2166" s="119"/>
      <c r="H2166" s="120"/>
      <c r="I2166" s="118">
        <v>10240.73</v>
      </c>
      <c r="J2166" s="119"/>
      <c r="K2166" s="119"/>
      <c r="L2166" s="119"/>
      <c r="M2166" s="120"/>
    </row>
    <row r="2167" spans="1:13" x14ac:dyDescent="0.2">
      <c r="A2167" t="s">
        <v>77</v>
      </c>
      <c r="B2167" t="s">
        <v>140</v>
      </c>
      <c r="C2167" t="s">
        <v>222</v>
      </c>
      <c r="D2167" s="110">
        <v>186434</v>
      </c>
      <c r="E2167" s="111">
        <v>186434</v>
      </c>
      <c r="F2167" s="111">
        <v>186434</v>
      </c>
      <c r="G2167" s="111">
        <v>186434</v>
      </c>
      <c r="H2167" s="112"/>
      <c r="I2167" s="110">
        <v>32</v>
      </c>
      <c r="J2167" s="111">
        <v>32</v>
      </c>
      <c r="K2167" s="111">
        <v>32</v>
      </c>
      <c r="L2167" s="111">
        <v>32</v>
      </c>
      <c r="M2167" s="112"/>
    </row>
    <row r="2168" spans="1:13" x14ac:dyDescent="0.2">
      <c r="A2168" s="113" t="s">
        <v>77</v>
      </c>
      <c r="B2168" s="113" t="s">
        <v>140</v>
      </c>
      <c r="C2168" s="113" t="s">
        <v>223</v>
      </c>
      <c r="D2168" s="114">
        <v>106461</v>
      </c>
      <c r="E2168" s="115">
        <v>106411</v>
      </c>
      <c r="F2168" s="115">
        <v>106411</v>
      </c>
      <c r="G2168" s="115"/>
      <c r="H2168" s="116"/>
      <c r="I2168" s="114">
        <v>7</v>
      </c>
      <c r="J2168" s="115">
        <v>7</v>
      </c>
      <c r="K2168" s="115">
        <v>7</v>
      </c>
      <c r="L2168" s="115"/>
      <c r="M2168" s="116"/>
    </row>
    <row r="2169" spans="1:13" x14ac:dyDescent="0.2">
      <c r="A2169" t="s">
        <v>77</v>
      </c>
      <c r="B2169" t="s">
        <v>140</v>
      </c>
      <c r="C2169" t="s">
        <v>224</v>
      </c>
      <c r="D2169" s="110">
        <v>159369</v>
      </c>
      <c r="E2169" s="111">
        <v>159319</v>
      </c>
      <c r="F2169" s="111"/>
      <c r="G2169" s="111"/>
      <c r="H2169" s="112"/>
      <c r="I2169" s="110">
        <v>0</v>
      </c>
      <c r="J2169" s="111">
        <v>0</v>
      </c>
      <c r="K2169" s="111"/>
      <c r="L2169" s="111"/>
      <c r="M2169" s="112"/>
    </row>
    <row r="2170" spans="1:13" x14ac:dyDescent="0.2">
      <c r="A2170" s="117" t="s">
        <v>77</v>
      </c>
      <c r="B2170" s="117" t="s">
        <v>140</v>
      </c>
      <c r="C2170" s="117" t="s">
        <v>225</v>
      </c>
      <c r="D2170" s="118">
        <v>213306</v>
      </c>
      <c r="E2170" s="119"/>
      <c r="F2170" s="119"/>
      <c r="G2170" s="119"/>
      <c r="H2170" s="120"/>
      <c r="I2170" s="118">
        <v>64</v>
      </c>
      <c r="J2170" s="119"/>
      <c r="K2170" s="119"/>
      <c r="L2170" s="119"/>
      <c r="M2170" s="120"/>
    </row>
    <row r="2171" spans="1:13" x14ac:dyDescent="0.2">
      <c r="A2171" t="s">
        <v>77</v>
      </c>
      <c r="B2171" t="s">
        <v>105</v>
      </c>
      <c r="C2171" t="s">
        <v>222</v>
      </c>
      <c r="D2171" s="110">
        <v>136344.4</v>
      </c>
      <c r="E2171" s="111">
        <v>135723.9</v>
      </c>
      <c r="F2171" s="111">
        <v>133805.9</v>
      </c>
      <c r="G2171" s="111">
        <v>133671.9</v>
      </c>
      <c r="H2171" s="112"/>
      <c r="I2171" s="110">
        <v>23399.4</v>
      </c>
      <c r="J2171" s="111">
        <v>31876.2</v>
      </c>
      <c r="K2171" s="111">
        <v>39806.33</v>
      </c>
      <c r="L2171" s="111">
        <v>42367.61</v>
      </c>
      <c r="M2171" s="112"/>
    </row>
    <row r="2172" spans="1:13" x14ac:dyDescent="0.2">
      <c r="A2172" s="113" t="s">
        <v>77</v>
      </c>
      <c r="B2172" s="113" t="s">
        <v>105</v>
      </c>
      <c r="C2172" s="113" t="s">
        <v>223</v>
      </c>
      <c r="D2172" s="114">
        <v>137739.07</v>
      </c>
      <c r="E2172" s="115">
        <v>134701.07</v>
      </c>
      <c r="F2172" s="115">
        <v>133604.07</v>
      </c>
      <c r="G2172" s="115"/>
      <c r="H2172" s="116"/>
      <c r="I2172" s="114">
        <v>24312.07</v>
      </c>
      <c r="J2172" s="115">
        <v>34934.57</v>
      </c>
      <c r="K2172" s="115">
        <v>44932.57</v>
      </c>
      <c r="L2172" s="115"/>
      <c r="M2172" s="116"/>
    </row>
    <row r="2173" spans="1:13" x14ac:dyDescent="0.2">
      <c r="A2173" t="s">
        <v>77</v>
      </c>
      <c r="B2173" t="s">
        <v>105</v>
      </c>
      <c r="C2173" t="s">
        <v>224</v>
      </c>
      <c r="D2173" s="110">
        <v>112035</v>
      </c>
      <c r="E2173" s="111">
        <v>110282</v>
      </c>
      <c r="F2173" s="111"/>
      <c r="G2173" s="111"/>
      <c r="H2173" s="112"/>
      <c r="I2173" s="110">
        <v>16644.5</v>
      </c>
      <c r="J2173" s="111">
        <v>26083</v>
      </c>
      <c r="K2173" s="111"/>
      <c r="L2173" s="111"/>
      <c r="M2173" s="112"/>
    </row>
    <row r="2174" spans="1:13" x14ac:dyDescent="0.2">
      <c r="A2174" s="117" t="s">
        <v>77</v>
      </c>
      <c r="B2174" s="117" t="s">
        <v>105</v>
      </c>
      <c r="C2174" s="117" t="s">
        <v>225</v>
      </c>
      <c r="D2174" s="118">
        <v>136406.54</v>
      </c>
      <c r="E2174" s="119"/>
      <c r="F2174" s="119"/>
      <c r="G2174" s="119"/>
      <c r="H2174" s="120"/>
      <c r="I2174" s="118">
        <v>22187.54</v>
      </c>
      <c r="J2174" s="119"/>
      <c r="K2174" s="119"/>
      <c r="L2174" s="119"/>
      <c r="M2174" s="120"/>
    </row>
    <row r="2175" spans="1:13" x14ac:dyDescent="0.2">
      <c r="A2175" t="s">
        <v>77</v>
      </c>
      <c r="B2175" t="s">
        <v>111</v>
      </c>
      <c r="C2175" t="s">
        <v>222</v>
      </c>
      <c r="D2175" s="110">
        <v>4206.5</v>
      </c>
      <c r="E2175" s="111">
        <v>3856.5</v>
      </c>
      <c r="F2175" s="111">
        <v>3656.5</v>
      </c>
      <c r="G2175" s="111">
        <v>3606.5</v>
      </c>
      <c r="H2175" s="112"/>
      <c r="I2175" s="110">
        <v>623.5</v>
      </c>
      <c r="J2175" s="111">
        <v>623.5</v>
      </c>
      <c r="K2175" s="111">
        <v>673.5</v>
      </c>
      <c r="L2175" s="111">
        <v>873.5</v>
      </c>
      <c r="M2175" s="112"/>
    </row>
    <row r="2176" spans="1:13" x14ac:dyDescent="0.2">
      <c r="A2176" s="113" t="s">
        <v>77</v>
      </c>
      <c r="B2176" s="113" t="s">
        <v>111</v>
      </c>
      <c r="C2176" s="113" t="s">
        <v>223</v>
      </c>
      <c r="D2176" s="114">
        <v>3927</v>
      </c>
      <c r="E2176" s="115">
        <v>3927</v>
      </c>
      <c r="F2176" s="115">
        <v>4077</v>
      </c>
      <c r="G2176" s="115"/>
      <c r="H2176" s="116"/>
      <c r="I2176" s="114">
        <v>150</v>
      </c>
      <c r="J2176" s="115">
        <v>215</v>
      </c>
      <c r="K2176" s="115">
        <v>265</v>
      </c>
      <c r="L2176" s="115"/>
      <c r="M2176" s="116"/>
    </row>
    <row r="2177" spans="1:13" x14ac:dyDescent="0.2">
      <c r="A2177" t="s">
        <v>77</v>
      </c>
      <c r="B2177" t="s">
        <v>111</v>
      </c>
      <c r="C2177" t="s">
        <v>224</v>
      </c>
      <c r="D2177" s="110">
        <v>1160</v>
      </c>
      <c r="E2177" s="111">
        <v>1210</v>
      </c>
      <c r="F2177" s="111"/>
      <c r="G2177" s="111"/>
      <c r="H2177" s="112"/>
      <c r="I2177" s="110">
        <v>204</v>
      </c>
      <c r="J2177" s="111">
        <v>204</v>
      </c>
      <c r="K2177" s="111"/>
      <c r="L2177" s="111"/>
      <c r="M2177" s="112"/>
    </row>
    <row r="2178" spans="1:13" x14ac:dyDescent="0.2">
      <c r="A2178" s="117" t="s">
        <v>77</v>
      </c>
      <c r="B2178" s="117" t="s">
        <v>111</v>
      </c>
      <c r="C2178" s="117" t="s">
        <v>225</v>
      </c>
      <c r="D2178" s="118">
        <v>6875</v>
      </c>
      <c r="E2178" s="119"/>
      <c r="F2178" s="119"/>
      <c r="G2178" s="119"/>
      <c r="H2178" s="120"/>
      <c r="I2178" s="118">
        <v>50</v>
      </c>
      <c r="J2178" s="119"/>
      <c r="K2178" s="119"/>
      <c r="L2178" s="119"/>
      <c r="M2178" s="120"/>
    </row>
    <row r="2179" spans="1:13" x14ac:dyDescent="0.2">
      <c r="A2179" s="124" t="s">
        <v>77</v>
      </c>
      <c r="B2179" s="124" t="s">
        <v>109</v>
      </c>
      <c r="C2179" s="124" t="s">
        <v>222</v>
      </c>
      <c r="D2179" s="125">
        <v>277841.40000000002</v>
      </c>
      <c r="E2179" s="126">
        <v>277794.65000000002</v>
      </c>
      <c r="F2179" s="126">
        <v>277395.65000000002</v>
      </c>
      <c r="G2179" s="126">
        <v>276822.05</v>
      </c>
      <c r="H2179" s="127"/>
      <c r="I2179" s="125">
        <v>95604.65</v>
      </c>
      <c r="J2179" s="126">
        <v>125365.21</v>
      </c>
      <c r="K2179" s="126">
        <v>159298.21</v>
      </c>
      <c r="L2179" s="126">
        <v>181051.71</v>
      </c>
      <c r="M2179" s="127"/>
    </row>
    <row r="2180" spans="1:13" x14ac:dyDescent="0.2">
      <c r="A2180" s="113" t="s">
        <v>77</v>
      </c>
      <c r="B2180" s="113" t="s">
        <v>109</v>
      </c>
      <c r="C2180" s="113" t="s">
        <v>223</v>
      </c>
      <c r="D2180" s="114">
        <v>255858.85</v>
      </c>
      <c r="E2180" s="115">
        <v>254868.6</v>
      </c>
      <c r="F2180" s="115">
        <v>253872.6</v>
      </c>
      <c r="G2180" s="115"/>
      <c r="H2180" s="116"/>
      <c r="I2180" s="114">
        <v>89657</v>
      </c>
      <c r="J2180" s="115">
        <v>125831.9</v>
      </c>
      <c r="K2180" s="115">
        <v>153703.82</v>
      </c>
      <c r="L2180" s="115"/>
      <c r="M2180" s="116"/>
    </row>
    <row r="2181" spans="1:13" x14ac:dyDescent="0.2">
      <c r="A2181" t="s">
        <v>77</v>
      </c>
      <c r="B2181" t="s">
        <v>109</v>
      </c>
      <c r="C2181" t="s">
        <v>224</v>
      </c>
      <c r="D2181" s="110">
        <v>152832.35</v>
      </c>
      <c r="E2181" s="111">
        <v>152584.35</v>
      </c>
      <c r="F2181" s="111"/>
      <c r="G2181" s="111"/>
      <c r="H2181" s="112"/>
      <c r="I2181" s="110">
        <v>52478.1</v>
      </c>
      <c r="J2181" s="111">
        <v>80684.23</v>
      </c>
      <c r="K2181" s="111"/>
      <c r="L2181" s="111"/>
      <c r="M2181" s="112"/>
    </row>
    <row r="2182" spans="1:13" x14ac:dyDescent="0.2">
      <c r="A2182" s="117" t="s">
        <v>77</v>
      </c>
      <c r="B2182" s="117" t="s">
        <v>109</v>
      </c>
      <c r="C2182" s="117" t="s">
        <v>225</v>
      </c>
      <c r="D2182" s="118">
        <v>331832.34999999998</v>
      </c>
      <c r="E2182" s="119"/>
      <c r="F2182" s="119"/>
      <c r="G2182" s="119"/>
      <c r="H2182" s="120"/>
      <c r="I2182" s="118">
        <v>108899.85</v>
      </c>
      <c r="J2182" s="119"/>
      <c r="K2182" s="119"/>
      <c r="L2182" s="119"/>
      <c r="M2182" s="120"/>
    </row>
    <row r="2183" spans="1:13" x14ac:dyDescent="0.2">
      <c r="A2183" t="s">
        <v>77</v>
      </c>
      <c r="B2183" t="s">
        <v>106</v>
      </c>
      <c r="C2183" t="s">
        <v>222</v>
      </c>
      <c r="D2183" s="110">
        <v>304690.59999999998</v>
      </c>
      <c r="E2183" s="111">
        <v>304270.59999999998</v>
      </c>
      <c r="F2183" s="111">
        <v>304270.59999999998</v>
      </c>
      <c r="G2183" s="111">
        <v>304270.59999999998</v>
      </c>
      <c r="H2183" s="112"/>
      <c r="I2183" s="110">
        <v>300240.59999999998</v>
      </c>
      <c r="J2183" s="111">
        <v>303730.59999999998</v>
      </c>
      <c r="K2183" s="111">
        <v>303730.59999999998</v>
      </c>
      <c r="L2183" s="111">
        <v>303730.59999999998</v>
      </c>
      <c r="M2183" s="112"/>
    </row>
    <row r="2184" spans="1:13" x14ac:dyDescent="0.2">
      <c r="A2184" s="113" t="s">
        <v>77</v>
      </c>
      <c r="B2184" s="113" t="s">
        <v>106</v>
      </c>
      <c r="C2184" s="113" t="s">
        <v>223</v>
      </c>
      <c r="D2184" s="114">
        <v>311046.5</v>
      </c>
      <c r="E2184" s="115">
        <v>310696.5</v>
      </c>
      <c r="F2184" s="115">
        <v>310696.5</v>
      </c>
      <c r="G2184" s="115"/>
      <c r="H2184" s="116"/>
      <c r="I2184" s="114">
        <v>306136.5</v>
      </c>
      <c r="J2184" s="115">
        <v>309076.5</v>
      </c>
      <c r="K2184" s="115">
        <v>309076.5</v>
      </c>
      <c r="L2184" s="115"/>
      <c r="M2184" s="116"/>
    </row>
    <row r="2185" spans="1:13" x14ac:dyDescent="0.2">
      <c r="A2185" t="s">
        <v>77</v>
      </c>
      <c r="B2185" t="s">
        <v>106</v>
      </c>
      <c r="C2185" t="s">
        <v>224</v>
      </c>
      <c r="D2185" s="110">
        <v>138898.25</v>
      </c>
      <c r="E2185" s="111">
        <v>138898.25</v>
      </c>
      <c r="F2185" s="111"/>
      <c r="G2185" s="111"/>
      <c r="H2185" s="112"/>
      <c r="I2185" s="110">
        <v>136743.25</v>
      </c>
      <c r="J2185" s="111">
        <v>138488.25</v>
      </c>
      <c r="K2185" s="111"/>
      <c r="L2185" s="111"/>
      <c r="M2185" s="112"/>
    </row>
    <row r="2186" spans="1:13" x14ac:dyDescent="0.2">
      <c r="A2186" s="117" t="s">
        <v>77</v>
      </c>
      <c r="B2186" s="117" t="s">
        <v>106</v>
      </c>
      <c r="C2186" s="117" t="s">
        <v>225</v>
      </c>
      <c r="D2186" s="118">
        <v>154955.78</v>
      </c>
      <c r="E2186" s="119"/>
      <c r="F2186" s="119"/>
      <c r="G2186" s="119"/>
      <c r="H2186" s="120"/>
      <c r="I2186" s="118">
        <v>149764.78</v>
      </c>
      <c r="J2186" s="119"/>
      <c r="K2186" s="119"/>
      <c r="L2186" s="119"/>
      <c r="M2186" s="120"/>
    </row>
    <row r="2187" spans="1:13" x14ac:dyDescent="0.2">
      <c r="A2187" t="s">
        <v>77</v>
      </c>
      <c r="B2187" t="s">
        <v>107</v>
      </c>
      <c r="C2187" t="s">
        <v>222</v>
      </c>
      <c r="D2187" s="110">
        <v>209147.02</v>
      </c>
      <c r="E2187" s="111">
        <v>209147.02</v>
      </c>
      <c r="F2187" s="111">
        <v>209147.02</v>
      </c>
      <c r="G2187" s="111">
        <v>209147.02</v>
      </c>
      <c r="H2187" s="112"/>
      <c r="I2187" s="110">
        <v>200982.02</v>
      </c>
      <c r="J2187" s="111">
        <v>209147.02</v>
      </c>
      <c r="K2187" s="111">
        <v>209147.02</v>
      </c>
      <c r="L2187" s="111">
        <v>209147.02</v>
      </c>
      <c r="M2187" s="112"/>
    </row>
    <row r="2188" spans="1:13" x14ac:dyDescent="0.2">
      <c r="A2188" s="113" t="s">
        <v>77</v>
      </c>
      <c r="B2188" s="113" t="s">
        <v>107</v>
      </c>
      <c r="C2188" s="113" t="s">
        <v>223</v>
      </c>
      <c r="D2188" s="114">
        <v>229233.75</v>
      </c>
      <c r="E2188" s="115">
        <v>229233.75</v>
      </c>
      <c r="F2188" s="115">
        <v>229233.75</v>
      </c>
      <c r="G2188" s="115"/>
      <c r="H2188" s="116"/>
      <c r="I2188" s="114">
        <v>217768.75</v>
      </c>
      <c r="J2188" s="115">
        <v>229243.75</v>
      </c>
      <c r="K2188" s="115">
        <v>229243.75</v>
      </c>
      <c r="L2188" s="115"/>
      <c r="M2188" s="116"/>
    </row>
    <row r="2189" spans="1:13" x14ac:dyDescent="0.2">
      <c r="A2189" t="s">
        <v>77</v>
      </c>
      <c r="B2189" t="s">
        <v>107</v>
      </c>
      <c r="C2189" t="s">
        <v>224</v>
      </c>
      <c r="D2189" s="110">
        <v>135199.60999999999</v>
      </c>
      <c r="E2189" s="111">
        <v>135199.60999999999</v>
      </c>
      <c r="F2189" s="111"/>
      <c r="G2189" s="111"/>
      <c r="H2189" s="112"/>
      <c r="I2189" s="110">
        <v>128734.61</v>
      </c>
      <c r="J2189" s="111">
        <v>130214.61</v>
      </c>
      <c r="K2189" s="111"/>
      <c r="L2189" s="111"/>
      <c r="M2189" s="112"/>
    </row>
    <row r="2190" spans="1:13" x14ac:dyDescent="0.2">
      <c r="A2190" s="117" t="s">
        <v>77</v>
      </c>
      <c r="B2190" s="117" t="s">
        <v>107</v>
      </c>
      <c r="C2190" s="117" t="s">
        <v>225</v>
      </c>
      <c r="D2190" s="118">
        <v>172911.05</v>
      </c>
      <c r="E2190" s="119"/>
      <c r="F2190" s="119"/>
      <c r="G2190" s="119"/>
      <c r="H2190" s="120"/>
      <c r="I2190" s="118">
        <v>167381.04999999999</v>
      </c>
      <c r="J2190" s="119"/>
      <c r="K2190" s="119"/>
      <c r="L2190" s="119"/>
      <c r="M2190" s="120"/>
    </row>
    <row r="2191" spans="1:13" x14ac:dyDescent="0.2">
      <c r="A2191" t="s">
        <v>77</v>
      </c>
      <c r="B2191" t="s">
        <v>108</v>
      </c>
      <c r="C2191" t="s">
        <v>222</v>
      </c>
      <c r="D2191" s="110">
        <v>62421</v>
      </c>
      <c r="E2191" s="111">
        <v>62421</v>
      </c>
      <c r="F2191" s="111">
        <v>62421</v>
      </c>
      <c r="G2191" s="111">
        <v>62421</v>
      </c>
      <c r="H2191" s="112"/>
      <c r="I2191" s="110">
        <v>61906</v>
      </c>
      <c r="J2191" s="111">
        <v>62076</v>
      </c>
      <c r="K2191" s="111">
        <v>62076</v>
      </c>
      <c r="L2191" s="111">
        <v>62076</v>
      </c>
      <c r="M2191" s="112"/>
    </row>
    <row r="2192" spans="1:13" x14ac:dyDescent="0.2">
      <c r="A2192" s="113" t="s">
        <v>77</v>
      </c>
      <c r="B2192" s="113" t="s">
        <v>108</v>
      </c>
      <c r="C2192" s="113" t="s">
        <v>223</v>
      </c>
      <c r="D2192" s="114">
        <v>80128.509999999995</v>
      </c>
      <c r="E2192" s="115">
        <v>80128.509999999995</v>
      </c>
      <c r="F2192" s="115">
        <v>80128.509999999995</v>
      </c>
      <c r="G2192" s="115"/>
      <c r="H2192" s="116"/>
      <c r="I2192" s="114">
        <v>79558.509999999995</v>
      </c>
      <c r="J2192" s="115">
        <v>79783.509999999995</v>
      </c>
      <c r="K2192" s="115">
        <v>79783.509999999995</v>
      </c>
      <c r="L2192" s="115"/>
      <c r="M2192" s="116"/>
    </row>
    <row r="2193" spans="1:13" x14ac:dyDescent="0.2">
      <c r="A2193" t="s">
        <v>77</v>
      </c>
      <c r="B2193" t="s">
        <v>108</v>
      </c>
      <c r="C2193" t="s">
        <v>224</v>
      </c>
      <c r="D2193" s="110">
        <v>76709</v>
      </c>
      <c r="E2193" s="111">
        <v>76129</v>
      </c>
      <c r="F2193" s="111"/>
      <c r="G2193" s="111"/>
      <c r="H2193" s="112"/>
      <c r="I2193" s="110">
        <v>75498</v>
      </c>
      <c r="J2193" s="111">
        <v>75784</v>
      </c>
      <c r="K2193" s="111"/>
      <c r="L2193" s="111"/>
      <c r="M2193" s="112"/>
    </row>
    <row r="2194" spans="1:13" x14ac:dyDescent="0.2">
      <c r="A2194" s="117" t="s">
        <v>77</v>
      </c>
      <c r="B2194" s="117" t="s">
        <v>108</v>
      </c>
      <c r="C2194" s="117" t="s">
        <v>225</v>
      </c>
      <c r="D2194" s="118">
        <v>92155</v>
      </c>
      <c r="E2194" s="119"/>
      <c r="F2194" s="119"/>
      <c r="G2194" s="119"/>
      <c r="H2194" s="120"/>
      <c r="I2194" s="118">
        <v>87520</v>
      </c>
      <c r="J2194" s="119"/>
      <c r="K2194" s="119"/>
      <c r="L2194" s="119"/>
      <c r="M2194" s="120"/>
    </row>
    <row r="2195" spans="1:13" x14ac:dyDescent="0.2">
      <c r="A2195" t="s">
        <v>77</v>
      </c>
      <c r="B2195" t="s">
        <v>70</v>
      </c>
      <c r="C2195" t="s">
        <v>222</v>
      </c>
      <c r="D2195" s="110">
        <v>146050.70000000001</v>
      </c>
      <c r="E2195" s="111">
        <v>145770.70000000001</v>
      </c>
      <c r="F2195" s="111">
        <v>145770.70000000001</v>
      </c>
      <c r="G2195" s="111">
        <v>145770.70000000001</v>
      </c>
      <c r="H2195" s="112"/>
      <c r="I2195" s="110">
        <v>141203.20000000001</v>
      </c>
      <c r="J2195" s="111">
        <v>143699.70000000001</v>
      </c>
      <c r="K2195" s="111">
        <v>143699.70000000001</v>
      </c>
      <c r="L2195" s="111">
        <v>143699.70000000001</v>
      </c>
      <c r="M2195" s="112"/>
    </row>
    <row r="2196" spans="1:13" x14ac:dyDescent="0.2">
      <c r="A2196" s="113" t="s">
        <v>77</v>
      </c>
      <c r="B2196" s="113" t="s">
        <v>70</v>
      </c>
      <c r="C2196" s="113" t="s">
        <v>223</v>
      </c>
      <c r="D2196" s="114">
        <v>147433.5</v>
      </c>
      <c r="E2196" s="115">
        <v>147173.5</v>
      </c>
      <c r="F2196" s="115">
        <v>147173.5</v>
      </c>
      <c r="G2196" s="115"/>
      <c r="H2196" s="116"/>
      <c r="I2196" s="114">
        <v>142997.5</v>
      </c>
      <c r="J2196" s="115">
        <v>144661.5</v>
      </c>
      <c r="K2196" s="115">
        <v>144671.5</v>
      </c>
      <c r="L2196" s="115"/>
      <c r="M2196" s="116"/>
    </row>
    <row r="2197" spans="1:13" x14ac:dyDescent="0.2">
      <c r="A2197" t="s">
        <v>77</v>
      </c>
      <c r="B2197" t="s">
        <v>70</v>
      </c>
      <c r="C2197" t="s">
        <v>224</v>
      </c>
      <c r="D2197" s="110">
        <v>117712.5</v>
      </c>
      <c r="E2197" s="111">
        <v>116384.5</v>
      </c>
      <c r="F2197" s="111"/>
      <c r="G2197" s="111"/>
      <c r="H2197" s="112"/>
      <c r="I2197" s="110">
        <v>112552</v>
      </c>
      <c r="J2197" s="111">
        <v>113416</v>
      </c>
      <c r="K2197" s="111"/>
      <c r="L2197" s="111"/>
      <c r="M2197" s="112"/>
    </row>
    <row r="2198" spans="1:13" x14ac:dyDescent="0.2">
      <c r="A2198" s="117" t="s">
        <v>77</v>
      </c>
      <c r="B2198" s="117" t="s">
        <v>70</v>
      </c>
      <c r="C2198" s="117" t="s">
        <v>225</v>
      </c>
      <c r="D2198" s="118">
        <v>148072.14000000001</v>
      </c>
      <c r="E2198" s="119"/>
      <c r="F2198" s="119"/>
      <c r="G2198" s="119"/>
      <c r="H2198" s="120"/>
      <c r="I2198" s="118">
        <v>140502.14000000001</v>
      </c>
      <c r="J2198" s="119"/>
      <c r="K2198" s="119"/>
      <c r="L2198" s="119"/>
      <c r="M2198" s="120"/>
    </row>
    <row r="2199" spans="1:13" x14ac:dyDescent="0.2">
      <c r="A2199" t="s">
        <v>77</v>
      </c>
      <c r="B2199" t="s">
        <v>110</v>
      </c>
      <c r="C2199" t="s">
        <v>222</v>
      </c>
      <c r="D2199" s="110">
        <v>686378.25</v>
      </c>
      <c r="E2199" s="111">
        <v>655122.19999999995</v>
      </c>
      <c r="F2199" s="111">
        <v>649788.5</v>
      </c>
      <c r="G2199" s="111">
        <v>644900.5</v>
      </c>
      <c r="H2199" s="112"/>
      <c r="I2199" s="110">
        <v>275650.19</v>
      </c>
      <c r="J2199" s="111">
        <v>499197.5</v>
      </c>
      <c r="K2199" s="111">
        <v>548350.6</v>
      </c>
      <c r="L2199" s="111">
        <v>559159.75</v>
      </c>
      <c r="M2199" s="112"/>
    </row>
    <row r="2200" spans="1:13" x14ac:dyDescent="0.2">
      <c r="A2200" s="113" t="s">
        <v>77</v>
      </c>
      <c r="B2200" s="113" t="s">
        <v>110</v>
      </c>
      <c r="C2200" s="113" t="s">
        <v>223</v>
      </c>
      <c r="D2200" s="114">
        <v>628994.65</v>
      </c>
      <c r="E2200" s="115">
        <v>612452.55000000005</v>
      </c>
      <c r="F2200" s="115">
        <v>601147.35</v>
      </c>
      <c r="G2200" s="115"/>
      <c r="H2200" s="116"/>
      <c r="I2200" s="114">
        <v>297279.45</v>
      </c>
      <c r="J2200" s="115">
        <v>409291.45</v>
      </c>
      <c r="K2200" s="115">
        <v>435477.45</v>
      </c>
      <c r="L2200" s="115"/>
      <c r="M2200" s="116"/>
    </row>
    <row r="2201" spans="1:13" x14ac:dyDescent="0.2">
      <c r="A2201" t="s">
        <v>77</v>
      </c>
      <c r="B2201" t="s">
        <v>110</v>
      </c>
      <c r="C2201" t="s">
        <v>224</v>
      </c>
      <c r="D2201" s="110">
        <v>394138.55</v>
      </c>
      <c r="E2201" s="111">
        <v>383259.25</v>
      </c>
      <c r="F2201" s="111"/>
      <c r="G2201" s="111"/>
      <c r="H2201" s="112"/>
      <c r="I2201" s="110">
        <v>133265.75</v>
      </c>
      <c r="J2201" s="111">
        <v>231672.75</v>
      </c>
      <c r="K2201" s="111"/>
      <c r="L2201" s="111"/>
      <c r="M2201" s="112"/>
    </row>
    <row r="2202" spans="1:13" ht="13.5" thickBot="1" x14ac:dyDescent="0.25">
      <c r="A2202" s="128" t="s">
        <v>77</v>
      </c>
      <c r="B2202" s="128" t="s">
        <v>110</v>
      </c>
      <c r="C2202" s="128" t="s">
        <v>225</v>
      </c>
      <c r="D2202" s="129">
        <v>517569</v>
      </c>
      <c r="E2202" s="130"/>
      <c r="F2202" s="130"/>
      <c r="G2202" s="130"/>
      <c r="H2202" s="131"/>
      <c r="I2202" s="129">
        <v>196953.5</v>
      </c>
      <c r="J2202" s="130"/>
      <c r="K2202" s="130"/>
      <c r="L2202" s="130"/>
      <c r="M2202" s="131"/>
    </row>
    <row r="2203" spans="1:13" x14ac:dyDescent="0.2">
      <c r="A2203" s="132" t="s">
        <v>78</v>
      </c>
      <c r="B2203" s="132" t="s">
        <v>104</v>
      </c>
      <c r="C2203" s="132" t="s">
        <v>222</v>
      </c>
      <c r="D2203" s="133">
        <v>586219.59</v>
      </c>
      <c r="E2203" s="134">
        <v>585944.59</v>
      </c>
      <c r="F2203" s="134">
        <v>585603.99</v>
      </c>
      <c r="G2203" s="134">
        <v>583804.82999999996</v>
      </c>
      <c r="H2203" s="135"/>
      <c r="I2203" s="133">
        <v>16983.91</v>
      </c>
      <c r="J2203" s="134">
        <v>39236.11</v>
      </c>
      <c r="K2203" s="134">
        <v>53641.63</v>
      </c>
      <c r="L2203" s="134">
        <v>68509.95</v>
      </c>
      <c r="M2203" s="135"/>
    </row>
    <row r="2204" spans="1:13" x14ac:dyDescent="0.2">
      <c r="A2204" s="113" t="s">
        <v>78</v>
      </c>
      <c r="B2204" s="113" t="s">
        <v>104</v>
      </c>
      <c r="C2204" s="113" t="s">
        <v>223</v>
      </c>
      <c r="D2204" s="114">
        <v>520285.28</v>
      </c>
      <c r="E2204" s="115">
        <v>519135.28</v>
      </c>
      <c r="F2204" s="115">
        <v>517486.82</v>
      </c>
      <c r="G2204" s="115"/>
      <c r="H2204" s="116"/>
      <c r="I2204" s="114">
        <v>17730</v>
      </c>
      <c r="J2204" s="115">
        <v>31885.62</v>
      </c>
      <c r="K2204" s="115">
        <v>46944.89</v>
      </c>
      <c r="L2204" s="115"/>
      <c r="M2204" s="116"/>
    </row>
    <row r="2205" spans="1:13" x14ac:dyDescent="0.2">
      <c r="A2205" t="s">
        <v>78</v>
      </c>
      <c r="B2205" t="s">
        <v>104</v>
      </c>
      <c r="C2205" t="s">
        <v>224</v>
      </c>
      <c r="D2205" s="110">
        <v>349602.62</v>
      </c>
      <c r="E2205" s="111">
        <v>349303.63</v>
      </c>
      <c r="F2205" s="111"/>
      <c r="G2205" s="111"/>
      <c r="H2205" s="112"/>
      <c r="I2205" s="110">
        <v>5581.36</v>
      </c>
      <c r="J2205" s="111">
        <v>19889.22</v>
      </c>
      <c r="K2205" s="111"/>
      <c r="L2205" s="111"/>
      <c r="M2205" s="112"/>
    </row>
    <row r="2206" spans="1:13" x14ac:dyDescent="0.2">
      <c r="A2206" s="117" t="s">
        <v>78</v>
      </c>
      <c r="B2206" s="117" t="s">
        <v>104</v>
      </c>
      <c r="C2206" s="117" t="s">
        <v>225</v>
      </c>
      <c r="D2206" s="118">
        <v>451300.92</v>
      </c>
      <c r="E2206" s="119"/>
      <c r="F2206" s="119"/>
      <c r="G2206" s="119"/>
      <c r="H2206" s="120"/>
      <c r="I2206" s="118">
        <v>12469.98</v>
      </c>
      <c r="J2206" s="119"/>
      <c r="K2206" s="119"/>
      <c r="L2206" s="119"/>
      <c r="M2206" s="120"/>
    </row>
    <row r="2207" spans="1:13" x14ac:dyDescent="0.2">
      <c r="A2207" t="s">
        <v>78</v>
      </c>
      <c r="B2207" t="s">
        <v>140</v>
      </c>
      <c r="C2207" t="s">
        <v>222</v>
      </c>
      <c r="D2207" s="110">
        <v>187040</v>
      </c>
      <c r="E2207" s="111">
        <v>187040</v>
      </c>
      <c r="F2207" s="111">
        <v>187040</v>
      </c>
      <c r="G2207" s="111">
        <v>187021.74</v>
      </c>
      <c r="H2207" s="112"/>
      <c r="I2207" s="110">
        <v>25</v>
      </c>
      <c r="J2207" s="111">
        <v>50</v>
      </c>
      <c r="K2207" s="111">
        <v>60.03</v>
      </c>
      <c r="L2207" s="111">
        <v>81.760000000000005</v>
      </c>
      <c r="M2207" s="112"/>
    </row>
    <row r="2208" spans="1:13" x14ac:dyDescent="0.2">
      <c r="A2208" s="113" t="s">
        <v>78</v>
      </c>
      <c r="B2208" s="113" t="s">
        <v>140</v>
      </c>
      <c r="C2208" s="113" t="s">
        <v>223</v>
      </c>
      <c r="D2208" s="114">
        <v>107111</v>
      </c>
      <c r="E2208" s="115">
        <v>107111</v>
      </c>
      <c r="F2208" s="115">
        <v>107111</v>
      </c>
      <c r="G2208" s="115"/>
      <c r="H2208" s="116"/>
      <c r="I2208" s="114">
        <v>125</v>
      </c>
      <c r="J2208" s="115">
        <v>125</v>
      </c>
      <c r="K2208" s="115">
        <v>125</v>
      </c>
      <c r="L2208" s="115"/>
      <c r="M2208" s="116"/>
    </row>
    <row r="2209" spans="1:13" x14ac:dyDescent="0.2">
      <c r="A2209" t="s">
        <v>78</v>
      </c>
      <c r="B2209" t="s">
        <v>140</v>
      </c>
      <c r="C2209" t="s">
        <v>224</v>
      </c>
      <c r="D2209" s="110">
        <v>105668</v>
      </c>
      <c r="E2209" s="111">
        <v>105643</v>
      </c>
      <c r="F2209" s="111"/>
      <c r="G2209" s="111"/>
      <c r="H2209" s="112"/>
      <c r="I2209" s="110">
        <v>25</v>
      </c>
      <c r="J2209" s="111">
        <v>25</v>
      </c>
      <c r="K2209" s="111"/>
      <c r="L2209" s="111"/>
      <c r="M2209" s="112"/>
    </row>
    <row r="2210" spans="1:13" x14ac:dyDescent="0.2">
      <c r="A2210" s="117" t="s">
        <v>78</v>
      </c>
      <c r="B2210" s="117" t="s">
        <v>140</v>
      </c>
      <c r="C2210" s="117" t="s">
        <v>225</v>
      </c>
      <c r="D2210" s="118">
        <v>107748</v>
      </c>
      <c r="E2210" s="119"/>
      <c r="F2210" s="119"/>
      <c r="G2210" s="119"/>
      <c r="H2210" s="120"/>
      <c r="I2210" s="118">
        <v>50</v>
      </c>
      <c r="J2210" s="119"/>
      <c r="K2210" s="119"/>
      <c r="L2210" s="119"/>
      <c r="M2210" s="120"/>
    </row>
    <row r="2211" spans="1:13" x14ac:dyDescent="0.2">
      <c r="A2211" t="s">
        <v>78</v>
      </c>
      <c r="B2211" t="s">
        <v>105</v>
      </c>
      <c r="C2211" t="s">
        <v>222</v>
      </c>
      <c r="D2211" s="110">
        <v>234294.24</v>
      </c>
      <c r="E2211" s="111">
        <v>232300.14</v>
      </c>
      <c r="F2211" s="111">
        <v>230906.66</v>
      </c>
      <c r="G2211" s="111">
        <v>228510.59</v>
      </c>
      <c r="H2211" s="112"/>
      <c r="I2211" s="110">
        <v>35491.129999999997</v>
      </c>
      <c r="J2211" s="111">
        <v>59539.06</v>
      </c>
      <c r="K2211" s="111">
        <v>71569.649999999994</v>
      </c>
      <c r="L2211" s="111">
        <v>82430.12</v>
      </c>
      <c r="M2211" s="112"/>
    </row>
    <row r="2212" spans="1:13" x14ac:dyDescent="0.2">
      <c r="A2212" s="113" t="s">
        <v>78</v>
      </c>
      <c r="B2212" s="113" t="s">
        <v>105</v>
      </c>
      <c r="C2212" s="113" t="s">
        <v>223</v>
      </c>
      <c r="D2212" s="114">
        <v>219712.03</v>
      </c>
      <c r="E2212" s="115">
        <v>225104.44</v>
      </c>
      <c r="F2212" s="115">
        <v>212708.94</v>
      </c>
      <c r="G2212" s="115"/>
      <c r="H2212" s="116"/>
      <c r="I2212" s="114">
        <v>29708.41</v>
      </c>
      <c r="J2212" s="115">
        <v>49052.2</v>
      </c>
      <c r="K2212" s="115">
        <v>63454.76</v>
      </c>
      <c r="L2212" s="115"/>
      <c r="M2212" s="116"/>
    </row>
    <row r="2213" spans="1:13" x14ac:dyDescent="0.2">
      <c r="A2213" t="s">
        <v>78</v>
      </c>
      <c r="B2213" t="s">
        <v>105</v>
      </c>
      <c r="C2213" t="s">
        <v>224</v>
      </c>
      <c r="D2213" s="110">
        <v>149578</v>
      </c>
      <c r="E2213" s="111">
        <v>143020.37</v>
      </c>
      <c r="F2213" s="111"/>
      <c r="G2213" s="111"/>
      <c r="H2213" s="112"/>
      <c r="I2213" s="110">
        <v>17539.96</v>
      </c>
      <c r="J2213" s="111">
        <v>30846.65</v>
      </c>
      <c r="K2213" s="111"/>
      <c r="L2213" s="111"/>
      <c r="M2213" s="112"/>
    </row>
    <row r="2214" spans="1:13" x14ac:dyDescent="0.2">
      <c r="A2214" s="117" t="s">
        <v>78</v>
      </c>
      <c r="B2214" s="117" t="s">
        <v>105</v>
      </c>
      <c r="C2214" s="117" t="s">
        <v>225</v>
      </c>
      <c r="D2214" s="118">
        <v>196750.89</v>
      </c>
      <c r="E2214" s="119"/>
      <c r="F2214" s="119"/>
      <c r="G2214" s="119"/>
      <c r="H2214" s="120"/>
      <c r="I2214" s="118">
        <v>27506.01</v>
      </c>
      <c r="J2214" s="119"/>
      <c r="K2214" s="119"/>
      <c r="L2214" s="119"/>
      <c r="M2214" s="120"/>
    </row>
    <row r="2215" spans="1:13" x14ac:dyDescent="0.2">
      <c r="A2215" t="s">
        <v>78</v>
      </c>
      <c r="B2215" t="s">
        <v>111</v>
      </c>
      <c r="C2215" t="s">
        <v>222</v>
      </c>
      <c r="D2215" s="110">
        <v>38728.46</v>
      </c>
      <c r="E2215" s="111">
        <v>38463.279999999999</v>
      </c>
      <c r="F2215" s="111">
        <v>38413.279999999999</v>
      </c>
      <c r="G2215" s="111">
        <v>37537.279999999999</v>
      </c>
      <c r="H2215" s="112"/>
      <c r="I2215" s="110">
        <v>3325.83</v>
      </c>
      <c r="J2215" s="111">
        <v>7812.15</v>
      </c>
      <c r="K2215" s="111">
        <v>9326.89</v>
      </c>
      <c r="L2215" s="111">
        <v>10235.36</v>
      </c>
      <c r="M2215" s="112"/>
    </row>
    <row r="2216" spans="1:13" x14ac:dyDescent="0.2">
      <c r="A2216" s="113" t="s">
        <v>78</v>
      </c>
      <c r="B2216" s="113" t="s">
        <v>111</v>
      </c>
      <c r="C2216" s="113" t="s">
        <v>223</v>
      </c>
      <c r="D2216" s="114">
        <v>34353.5</v>
      </c>
      <c r="E2216" s="115">
        <v>34327.279999999999</v>
      </c>
      <c r="F2216" s="115">
        <v>33696.28</v>
      </c>
      <c r="G2216" s="115"/>
      <c r="H2216" s="116"/>
      <c r="I2216" s="114">
        <v>4186.45</v>
      </c>
      <c r="J2216" s="115">
        <v>7356.67</v>
      </c>
      <c r="K2216" s="115">
        <v>9974.81</v>
      </c>
      <c r="L2216" s="115"/>
      <c r="M2216" s="116"/>
    </row>
    <row r="2217" spans="1:13" x14ac:dyDescent="0.2">
      <c r="A2217" t="s">
        <v>78</v>
      </c>
      <c r="B2217" t="s">
        <v>111</v>
      </c>
      <c r="C2217" t="s">
        <v>224</v>
      </c>
      <c r="D2217" s="110">
        <v>10622</v>
      </c>
      <c r="E2217" s="111">
        <v>10621.6</v>
      </c>
      <c r="F2217" s="111"/>
      <c r="G2217" s="111"/>
      <c r="H2217" s="112"/>
      <c r="I2217" s="110">
        <v>827.53</v>
      </c>
      <c r="J2217" s="111">
        <v>988.4</v>
      </c>
      <c r="K2217" s="111"/>
      <c r="L2217" s="111"/>
      <c r="M2217" s="112"/>
    </row>
    <row r="2218" spans="1:13" x14ac:dyDescent="0.2">
      <c r="A2218" s="117" t="s">
        <v>78</v>
      </c>
      <c r="B2218" s="117" t="s">
        <v>111</v>
      </c>
      <c r="C2218" s="117" t="s">
        <v>225</v>
      </c>
      <c r="D2218" s="118">
        <v>21904</v>
      </c>
      <c r="E2218" s="119"/>
      <c r="F2218" s="119"/>
      <c r="G2218" s="119"/>
      <c r="H2218" s="120"/>
      <c r="I2218" s="118">
        <v>1114.78</v>
      </c>
      <c r="J2218" s="119"/>
      <c r="K2218" s="119"/>
      <c r="L2218" s="119"/>
      <c r="M2218" s="120"/>
    </row>
    <row r="2219" spans="1:13" x14ac:dyDescent="0.2">
      <c r="A2219" s="124" t="s">
        <v>78</v>
      </c>
      <c r="B2219" s="124" t="s">
        <v>109</v>
      </c>
      <c r="C2219" s="124" t="s">
        <v>222</v>
      </c>
      <c r="D2219" s="125">
        <v>220971.8</v>
      </c>
      <c r="E2219" s="126">
        <v>220673.64</v>
      </c>
      <c r="F2219" s="126">
        <v>219415.1</v>
      </c>
      <c r="G2219" s="126">
        <v>218017</v>
      </c>
      <c r="H2219" s="127"/>
      <c r="I2219" s="125">
        <v>63753.06</v>
      </c>
      <c r="J2219" s="126">
        <v>98578.45</v>
      </c>
      <c r="K2219" s="126">
        <v>113510.33</v>
      </c>
      <c r="L2219" s="126">
        <v>129541.85</v>
      </c>
      <c r="M2219" s="127"/>
    </row>
    <row r="2220" spans="1:13" x14ac:dyDescent="0.2">
      <c r="A2220" s="113" t="s">
        <v>78</v>
      </c>
      <c r="B2220" s="113" t="s">
        <v>109</v>
      </c>
      <c r="C2220" s="113" t="s">
        <v>223</v>
      </c>
      <c r="D2220" s="114">
        <v>263524.25</v>
      </c>
      <c r="E2220" s="115">
        <v>261665.25</v>
      </c>
      <c r="F2220" s="115">
        <v>260781.94</v>
      </c>
      <c r="G2220" s="115"/>
      <c r="H2220" s="116"/>
      <c r="I2220" s="114">
        <v>88704.88</v>
      </c>
      <c r="J2220" s="115">
        <v>113471.91</v>
      </c>
      <c r="K2220" s="115">
        <v>135191.62</v>
      </c>
      <c r="L2220" s="115"/>
      <c r="M2220" s="116"/>
    </row>
    <row r="2221" spans="1:13" x14ac:dyDescent="0.2">
      <c r="A2221" t="s">
        <v>78</v>
      </c>
      <c r="B2221" t="s">
        <v>109</v>
      </c>
      <c r="C2221" t="s">
        <v>224</v>
      </c>
      <c r="D2221" s="110">
        <v>127166</v>
      </c>
      <c r="E2221" s="111">
        <v>128645</v>
      </c>
      <c r="F2221" s="111"/>
      <c r="G2221" s="111"/>
      <c r="H2221" s="112"/>
      <c r="I2221" s="110">
        <v>23842.240000000002</v>
      </c>
      <c r="J2221" s="111">
        <v>48782.73</v>
      </c>
      <c r="K2221" s="111"/>
      <c r="L2221" s="111"/>
      <c r="M2221" s="112"/>
    </row>
    <row r="2222" spans="1:13" x14ac:dyDescent="0.2">
      <c r="A2222" s="117" t="s">
        <v>78</v>
      </c>
      <c r="B2222" s="117" t="s">
        <v>109</v>
      </c>
      <c r="C2222" s="117" t="s">
        <v>225</v>
      </c>
      <c r="D2222" s="118">
        <v>205151</v>
      </c>
      <c r="E2222" s="119"/>
      <c r="F2222" s="119"/>
      <c r="G2222" s="119"/>
      <c r="H2222" s="120"/>
      <c r="I2222" s="118">
        <v>53246.080000000002</v>
      </c>
      <c r="J2222" s="119"/>
      <c r="K2222" s="119"/>
      <c r="L2222" s="119"/>
      <c r="M2222" s="120"/>
    </row>
    <row r="2223" spans="1:13" x14ac:dyDescent="0.2">
      <c r="A2223" t="s">
        <v>78</v>
      </c>
      <c r="B2223" t="s">
        <v>106</v>
      </c>
      <c r="C2223" t="s">
        <v>222</v>
      </c>
      <c r="D2223" s="110">
        <v>416805.77</v>
      </c>
      <c r="E2223" s="111">
        <v>414985.77</v>
      </c>
      <c r="F2223" s="111">
        <v>414985.77</v>
      </c>
      <c r="G2223" s="111">
        <v>414985.77</v>
      </c>
      <c r="H2223" s="112"/>
      <c r="I2223" s="110">
        <v>399000.74</v>
      </c>
      <c r="J2223" s="111">
        <v>413513.61</v>
      </c>
      <c r="K2223" s="111">
        <v>413513.61</v>
      </c>
      <c r="L2223" s="111">
        <v>413550.39</v>
      </c>
      <c r="M2223" s="112"/>
    </row>
    <row r="2224" spans="1:13" x14ac:dyDescent="0.2">
      <c r="A2224" s="113" t="s">
        <v>78</v>
      </c>
      <c r="B2224" s="113" t="s">
        <v>106</v>
      </c>
      <c r="C2224" s="113" t="s">
        <v>223</v>
      </c>
      <c r="D2224" s="114">
        <v>423752.92</v>
      </c>
      <c r="E2224" s="115">
        <v>422854.92</v>
      </c>
      <c r="F2224" s="115">
        <v>422854.92</v>
      </c>
      <c r="G2224" s="115"/>
      <c r="H2224" s="116"/>
      <c r="I2224" s="114">
        <v>417471.92</v>
      </c>
      <c r="J2224" s="115">
        <v>421789.92</v>
      </c>
      <c r="K2224" s="115">
        <v>421811.49</v>
      </c>
      <c r="L2224" s="115"/>
      <c r="M2224" s="116"/>
    </row>
    <row r="2225" spans="1:13" x14ac:dyDescent="0.2">
      <c r="A2225" t="s">
        <v>78</v>
      </c>
      <c r="B2225" t="s">
        <v>106</v>
      </c>
      <c r="C2225" t="s">
        <v>224</v>
      </c>
      <c r="D2225" s="110">
        <v>198138.56</v>
      </c>
      <c r="E2225" s="111">
        <v>197248.56</v>
      </c>
      <c r="F2225" s="111"/>
      <c r="G2225" s="111"/>
      <c r="H2225" s="112"/>
      <c r="I2225" s="110">
        <v>189843.56</v>
      </c>
      <c r="J2225" s="111">
        <v>195191.53</v>
      </c>
      <c r="K2225" s="111"/>
      <c r="L2225" s="111"/>
      <c r="M2225" s="112"/>
    </row>
    <row r="2226" spans="1:13" x14ac:dyDescent="0.2">
      <c r="A2226" s="117" t="s">
        <v>78</v>
      </c>
      <c r="B2226" s="117" t="s">
        <v>106</v>
      </c>
      <c r="C2226" s="117" t="s">
        <v>225</v>
      </c>
      <c r="D2226" s="118">
        <v>270917.01</v>
      </c>
      <c r="E2226" s="119"/>
      <c r="F2226" s="119"/>
      <c r="G2226" s="119"/>
      <c r="H2226" s="120"/>
      <c r="I2226" s="118">
        <v>247830.69</v>
      </c>
      <c r="J2226" s="119"/>
      <c r="K2226" s="119"/>
      <c r="L2226" s="119"/>
      <c r="M2226" s="120"/>
    </row>
    <row r="2227" spans="1:13" x14ac:dyDescent="0.2">
      <c r="A2227" t="s">
        <v>78</v>
      </c>
      <c r="B2227" t="s">
        <v>107</v>
      </c>
      <c r="C2227" t="s">
        <v>222</v>
      </c>
      <c r="D2227" s="110">
        <v>467092.11</v>
      </c>
      <c r="E2227" s="111">
        <v>465237.11</v>
      </c>
      <c r="F2227" s="111">
        <v>465237.11</v>
      </c>
      <c r="G2227" s="111">
        <v>465237.11</v>
      </c>
      <c r="H2227" s="112"/>
      <c r="I2227" s="110">
        <v>454335.6</v>
      </c>
      <c r="J2227" s="111">
        <v>462877.11</v>
      </c>
      <c r="K2227" s="111">
        <v>462877.11</v>
      </c>
      <c r="L2227" s="111">
        <v>462877.11</v>
      </c>
      <c r="M2227" s="112"/>
    </row>
    <row r="2228" spans="1:13" x14ac:dyDescent="0.2">
      <c r="A2228" s="113" t="s">
        <v>78</v>
      </c>
      <c r="B2228" s="113" t="s">
        <v>107</v>
      </c>
      <c r="C2228" s="113" t="s">
        <v>223</v>
      </c>
      <c r="D2228" s="114">
        <v>510322.05</v>
      </c>
      <c r="E2228" s="115">
        <v>509937.05</v>
      </c>
      <c r="F2228" s="115">
        <v>509937.05</v>
      </c>
      <c r="G2228" s="115"/>
      <c r="H2228" s="116"/>
      <c r="I2228" s="114">
        <v>499832.05</v>
      </c>
      <c r="J2228" s="115">
        <v>508857.05</v>
      </c>
      <c r="K2228" s="115">
        <v>509007.05</v>
      </c>
      <c r="L2228" s="115"/>
      <c r="M2228" s="116"/>
    </row>
    <row r="2229" spans="1:13" x14ac:dyDescent="0.2">
      <c r="A2229" t="s">
        <v>78</v>
      </c>
      <c r="B2229" t="s">
        <v>107</v>
      </c>
      <c r="C2229" t="s">
        <v>224</v>
      </c>
      <c r="D2229" s="110">
        <v>282456.23</v>
      </c>
      <c r="E2229" s="111">
        <v>281041.23</v>
      </c>
      <c r="F2229" s="111"/>
      <c r="G2229" s="111"/>
      <c r="H2229" s="112"/>
      <c r="I2229" s="110">
        <v>277951.23</v>
      </c>
      <c r="J2229" s="111">
        <v>281041.23</v>
      </c>
      <c r="K2229" s="111"/>
      <c r="L2229" s="111"/>
      <c r="M2229" s="112"/>
    </row>
    <row r="2230" spans="1:13" x14ac:dyDescent="0.2">
      <c r="A2230" s="117" t="s">
        <v>78</v>
      </c>
      <c r="B2230" s="117" t="s">
        <v>107</v>
      </c>
      <c r="C2230" s="117" t="s">
        <v>225</v>
      </c>
      <c r="D2230" s="118">
        <v>391168.02</v>
      </c>
      <c r="E2230" s="119"/>
      <c r="F2230" s="119"/>
      <c r="G2230" s="119"/>
      <c r="H2230" s="120"/>
      <c r="I2230" s="118">
        <v>376360.52</v>
      </c>
      <c r="J2230" s="119"/>
      <c r="K2230" s="119"/>
      <c r="L2230" s="119"/>
      <c r="M2230" s="120"/>
    </row>
    <row r="2231" spans="1:13" x14ac:dyDescent="0.2">
      <c r="A2231" t="s">
        <v>78</v>
      </c>
      <c r="B2231" t="s">
        <v>108</v>
      </c>
      <c r="C2231" t="s">
        <v>222</v>
      </c>
      <c r="D2231" s="110">
        <v>115063.37</v>
      </c>
      <c r="E2231" s="111">
        <v>114138.71</v>
      </c>
      <c r="F2231" s="111">
        <v>114223.71</v>
      </c>
      <c r="G2231" s="111">
        <v>114223.71</v>
      </c>
      <c r="H2231" s="112"/>
      <c r="I2231" s="110">
        <v>112892.71</v>
      </c>
      <c r="J2231" s="111">
        <v>114138.71</v>
      </c>
      <c r="K2231" s="111">
        <v>114138.71</v>
      </c>
      <c r="L2231" s="111">
        <v>114223.71</v>
      </c>
      <c r="M2231" s="112"/>
    </row>
    <row r="2232" spans="1:13" x14ac:dyDescent="0.2">
      <c r="A2232" s="113" t="s">
        <v>78</v>
      </c>
      <c r="B2232" s="113" t="s">
        <v>108</v>
      </c>
      <c r="C2232" s="113" t="s">
        <v>223</v>
      </c>
      <c r="D2232" s="114">
        <v>119401.69</v>
      </c>
      <c r="E2232" s="115">
        <v>119166.69</v>
      </c>
      <c r="F2232" s="115">
        <v>119166.69</v>
      </c>
      <c r="G2232" s="115"/>
      <c r="H2232" s="116"/>
      <c r="I2232" s="114">
        <v>114101.69</v>
      </c>
      <c r="J2232" s="115">
        <v>118704.69</v>
      </c>
      <c r="K2232" s="115">
        <v>118704.69</v>
      </c>
      <c r="L2232" s="115"/>
      <c r="M2232" s="116"/>
    </row>
    <row r="2233" spans="1:13" x14ac:dyDescent="0.2">
      <c r="A2233" t="s">
        <v>78</v>
      </c>
      <c r="B2233" t="s">
        <v>108</v>
      </c>
      <c r="C2233" t="s">
        <v>224</v>
      </c>
      <c r="D2233" s="110">
        <v>112073.15</v>
      </c>
      <c r="E2233" s="111">
        <v>111673.15</v>
      </c>
      <c r="F2233" s="111"/>
      <c r="G2233" s="111"/>
      <c r="H2233" s="112"/>
      <c r="I2233" s="110">
        <v>108054.15</v>
      </c>
      <c r="J2233" s="111">
        <v>110983.15</v>
      </c>
      <c r="K2233" s="111"/>
      <c r="L2233" s="111"/>
      <c r="M2233" s="112"/>
    </row>
    <row r="2234" spans="1:13" x14ac:dyDescent="0.2">
      <c r="A2234" s="117" t="s">
        <v>78</v>
      </c>
      <c r="B2234" s="117" t="s">
        <v>108</v>
      </c>
      <c r="C2234" s="117" t="s">
        <v>225</v>
      </c>
      <c r="D2234" s="118">
        <v>137573.45000000001</v>
      </c>
      <c r="E2234" s="119"/>
      <c r="F2234" s="119"/>
      <c r="G2234" s="119"/>
      <c r="H2234" s="120"/>
      <c r="I2234" s="118">
        <v>132984.45000000001</v>
      </c>
      <c r="J2234" s="119"/>
      <c r="K2234" s="119"/>
      <c r="L2234" s="119"/>
      <c r="M2234" s="120"/>
    </row>
    <row r="2235" spans="1:13" x14ac:dyDescent="0.2">
      <c r="A2235" t="s">
        <v>78</v>
      </c>
      <c r="B2235" t="s">
        <v>70</v>
      </c>
      <c r="C2235" t="s">
        <v>222</v>
      </c>
      <c r="D2235" s="110">
        <v>161763.24</v>
      </c>
      <c r="E2235" s="111">
        <v>161763.24</v>
      </c>
      <c r="F2235" s="111">
        <v>161763.24</v>
      </c>
      <c r="G2235" s="111">
        <v>161763.24</v>
      </c>
      <c r="H2235" s="112"/>
      <c r="I2235" s="110">
        <v>159332.51</v>
      </c>
      <c r="J2235" s="111">
        <v>161683.51</v>
      </c>
      <c r="K2235" s="111">
        <v>161683.51</v>
      </c>
      <c r="L2235" s="111">
        <v>161683.51</v>
      </c>
      <c r="M2235" s="112"/>
    </row>
    <row r="2236" spans="1:13" x14ac:dyDescent="0.2">
      <c r="A2236" s="113" t="s">
        <v>78</v>
      </c>
      <c r="B2236" s="113" t="s">
        <v>70</v>
      </c>
      <c r="C2236" s="113" t="s">
        <v>223</v>
      </c>
      <c r="D2236" s="114">
        <v>164774.47</v>
      </c>
      <c r="E2236" s="115">
        <v>161712.47</v>
      </c>
      <c r="F2236" s="115">
        <v>161712.47</v>
      </c>
      <c r="G2236" s="115"/>
      <c r="H2236" s="116"/>
      <c r="I2236" s="114">
        <v>157847.37</v>
      </c>
      <c r="J2236" s="115">
        <v>160699.37</v>
      </c>
      <c r="K2236" s="115">
        <v>160700.37</v>
      </c>
      <c r="L2236" s="115"/>
      <c r="M2236" s="116"/>
    </row>
    <row r="2237" spans="1:13" x14ac:dyDescent="0.2">
      <c r="A2237" t="s">
        <v>78</v>
      </c>
      <c r="B2237" t="s">
        <v>70</v>
      </c>
      <c r="C2237" t="s">
        <v>224</v>
      </c>
      <c r="D2237" s="110">
        <v>135330.72</v>
      </c>
      <c r="E2237" s="111">
        <v>134012.5</v>
      </c>
      <c r="F2237" s="111"/>
      <c r="G2237" s="111"/>
      <c r="H2237" s="112"/>
      <c r="I2237" s="110">
        <v>128189.25</v>
      </c>
      <c r="J2237" s="111">
        <v>130616.35</v>
      </c>
      <c r="K2237" s="111"/>
      <c r="L2237" s="111"/>
      <c r="M2237" s="112"/>
    </row>
    <row r="2238" spans="1:13" x14ac:dyDescent="0.2">
      <c r="A2238" s="117" t="s">
        <v>78</v>
      </c>
      <c r="B2238" s="117" t="s">
        <v>70</v>
      </c>
      <c r="C2238" s="117" t="s">
        <v>225</v>
      </c>
      <c r="D2238" s="118">
        <v>160198.48000000001</v>
      </c>
      <c r="E2238" s="119"/>
      <c r="F2238" s="119"/>
      <c r="G2238" s="119"/>
      <c r="H2238" s="120"/>
      <c r="I2238" s="118">
        <v>153852.09</v>
      </c>
      <c r="J2238" s="119"/>
      <c r="K2238" s="119"/>
      <c r="L2238" s="119"/>
      <c r="M2238" s="120"/>
    </row>
    <row r="2239" spans="1:13" x14ac:dyDescent="0.2">
      <c r="A2239" t="s">
        <v>78</v>
      </c>
      <c r="B2239" t="s">
        <v>110</v>
      </c>
      <c r="C2239" t="s">
        <v>222</v>
      </c>
      <c r="D2239" s="110">
        <v>1664046.2</v>
      </c>
      <c r="E2239" s="111">
        <v>1664046.2</v>
      </c>
      <c r="F2239" s="111">
        <v>1664046.2</v>
      </c>
      <c r="G2239" s="111">
        <v>1729158.05</v>
      </c>
      <c r="H2239" s="112"/>
      <c r="I2239" s="110">
        <v>957105.21</v>
      </c>
      <c r="J2239" s="111">
        <v>1479423.02</v>
      </c>
      <c r="K2239" s="111">
        <v>1562018.7</v>
      </c>
      <c r="L2239" s="111">
        <v>1594806.32</v>
      </c>
      <c r="M2239" s="112"/>
    </row>
    <row r="2240" spans="1:13" x14ac:dyDescent="0.2">
      <c r="A2240" s="113" t="s">
        <v>78</v>
      </c>
      <c r="B2240" s="113" t="s">
        <v>110</v>
      </c>
      <c r="C2240" s="113" t="s">
        <v>223</v>
      </c>
      <c r="D2240" s="114">
        <v>1377249.35</v>
      </c>
      <c r="E2240" s="115">
        <v>1355838.5</v>
      </c>
      <c r="F2240" s="115">
        <v>1385064.1</v>
      </c>
      <c r="G2240" s="115"/>
      <c r="H2240" s="116"/>
      <c r="I2240" s="114">
        <v>866171.03</v>
      </c>
      <c r="J2240" s="115">
        <v>1173568.27</v>
      </c>
      <c r="K2240" s="115">
        <v>1253713.75</v>
      </c>
      <c r="L2240" s="115"/>
      <c r="M2240" s="116"/>
    </row>
    <row r="2241" spans="1:13" x14ac:dyDescent="0.2">
      <c r="A2241" t="s">
        <v>78</v>
      </c>
      <c r="B2241" t="s">
        <v>110</v>
      </c>
      <c r="C2241" t="s">
        <v>224</v>
      </c>
      <c r="D2241" s="110">
        <v>725223.05</v>
      </c>
      <c r="E2241" s="111">
        <v>745698.05</v>
      </c>
      <c r="F2241" s="111"/>
      <c r="G2241" s="111"/>
      <c r="H2241" s="112"/>
      <c r="I2241" s="110">
        <v>313508.95</v>
      </c>
      <c r="J2241" s="111">
        <v>617237.80000000005</v>
      </c>
      <c r="K2241" s="111"/>
      <c r="L2241" s="111"/>
      <c r="M2241" s="112"/>
    </row>
    <row r="2242" spans="1:13" ht="13.5" thickBot="1" x14ac:dyDescent="0.25">
      <c r="A2242" s="128" t="s">
        <v>78</v>
      </c>
      <c r="B2242" s="128" t="s">
        <v>110</v>
      </c>
      <c r="C2242" s="128" t="s">
        <v>225</v>
      </c>
      <c r="D2242" s="129">
        <v>135862606</v>
      </c>
      <c r="E2242" s="130"/>
      <c r="F2242" s="130"/>
      <c r="G2242" s="130"/>
      <c r="H2242" s="131"/>
      <c r="I2242" s="129">
        <v>683815.83</v>
      </c>
      <c r="J2242" s="130"/>
      <c r="K2242" s="130"/>
      <c r="L2242" s="130"/>
      <c r="M2242" s="131"/>
    </row>
    <row r="2243" spans="1:13" x14ac:dyDescent="0.2">
      <c r="A2243" s="132" t="s">
        <v>55</v>
      </c>
      <c r="B2243" s="132" t="s">
        <v>104</v>
      </c>
      <c r="C2243" s="132" t="s">
        <v>222</v>
      </c>
      <c r="D2243" s="133">
        <v>410451.24</v>
      </c>
      <c r="E2243" s="134">
        <v>412478.24</v>
      </c>
      <c r="F2243" s="134">
        <v>412378.24</v>
      </c>
      <c r="G2243" s="134">
        <v>411928.24</v>
      </c>
      <c r="H2243" s="135"/>
      <c r="I2243" s="133">
        <v>10195.41</v>
      </c>
      <c r="J2243" s="134">
        <v>26219.93</v>
      </c>
      <c r="K2243" s="134">
        <v>34087.89</v>
      </c>
      <c r="L2243" s="134">
        <v>44475.15</v>
      </c>
      <c r="M2243" s="135"/>
    </row>
    <row r="2244" spans="1:13" x14ac:dyDescent="0.2">
      <c r="A2244" s="113" t="s">
        <v>55</v>
      </c>
      <c r="B2244" s="113" t="s">
        <v>104</v>
      </c>
      <c r="C2244" s="113" t="s">
        <v>223</v>
      </c>
      <c r="D2244" s="114">
        <v>972783.83</v>
      </c>
      <c r="E2244" s="115">
        <v>972227.36</v>
      </c>
      <c r="F2244" s="115">
        <v>969944.82</v>
      </c>
      <c r="G2244" s="115"/>
      <c r="H2244" s="116"/>
      <c r="I2244" s="114">
        <v>17612.55</v>
      </c>
      <c r="J2244" s="115">
        <v>33159.01</v>
      </c>
      <c r="K2244" s="115">
        <v>48242.34</v>
      </c>
      <c r="L2244" s="115"/>
      <c r="M2244" s="116"/>
    </row>
    <row r="2245" spans="1:13" x14ac:dyDescent="0.2">
      <c r="A2245" t="s">
        <v>55</v>
      </c>
      <c r="B2245" t="s">
        <v>104</v>
      </c>
      <c r="C2245" t="s">
        <v>224</v>
      </c>
      <c r="D2245" s="110">
        <v>299782.32</v>
      </c>
      <c r="E2245" s="111">
        <v>299047.32</v>
      </c>
      <c r="F2245" s="111"/>
      <c r="G2245" s="111"/>
      <c r="H2245" s="112"/>
      <c r="I2245" s="110">
        <v>9711.2000000000007</v>
      </c>
      <c r="J2245" s="111">
        <v>17998.2</v>
      </c>
      <c r="K2245" s="111"/>
      <c r="L2245" s="111"/>
      <c r="M2245" s="112"/>
    </row>
    <row r="2246" spans="1:13" x14ac:dyDescent="0.2">
      <c r="A2246" s="117" t="s">
        <v>55</v>
      </c>
      <c r="B2246" s="117" t="s">
        <v>104</v>
      </c>
      <c r="C2246" s="117" t="s">
        <v>225</v>
      </c>
      <c r="D2246" s="118">
        <v>254063</v>
      </c>
      <c r="E2246" s="119"/>
      <c r="F2246" s="119"/>
      <c r="G2246" s="119"/>
      <c r="H2246" s="120"/>
      <c r="I2246" s="118">
        <v>11156.6</v>
      </c>
      <c r="J2246" s="119"/>
      <c r="K2246" s="119"/>
      <c r="L2246" s="119"/>
      <c r="M2246" s="120"/>
    </row>
    <row r="2247" spans="1:13" x14ac:dyDescent="0.2">
      <c r="A2247" t="s">
        <v>55</v>
      </c>
      <c r="B2247" t="s">
        <v>140</v>
      </c>
      <c r="C2247" t="s">
        <v>222</v>
      </c>
      <c r="D2247" s="110">
        <v>106059.5</v>
      </c>
      <c r="E2247" s="111">
        <v>106109.5</v>
      </c>
      <c r="F2247" s="111">
        <v>106109.5</v>
      </c>
      <c r="G2247" s="111">
        <v>106159.5</v>
      </c>
      <c r="H2247" s="112"/>
      <c r="I2247" s="110">
        <v>46</v>
      </c>
      <c r="J2247" s="111">
        <v>46</v>
      </c>
      <c r="K2247" s="111">
        <v>46</v>
      </c>
      <c r="L2247" s="111">
        <v>46</v>
      </c>
      <c r="M2247" s="112"/>
    </row>
    <row r="2248" spans="1:13" x14ac:dyDescent="0.2">
      <c r="A2248" s="113" t="s">
        <v>55</v>
      </c>
      <c r="B2248" s="113" t="s">
        <v>140</v>
      </c>
      <c r="C2248" s="113" t="s">
        <v>223</v>
      </c>
      <c r="D2248" s="114">
        <v>585762</v>
      </c>
      <c r="E2248" s="115">
        <v>585602</v>
      </c>
      <c r="F2248" s="115">
        <v>585452</v>
      </c>
      <c r="G2248" s="115"/>
      <c r="H2248" s="116"/>
      <c r="I2248" s="114">
        <v>32</v>
      </c>
      <c r="J2248" s="115">
        <v>32</v>
      </c>
      <c r="K2248" s="115">
        <v>32</v>
      </c>
      <c r="L2248" s="115"/>
      <c r="M2248" s="116"/>
    </row>
    <row r="2249" spans="1:13" x14ac:dyDescent="0.2">
      <c r="A2249" t="s">
        <v>55</v>
      </c>
      <c r="B2249" t="s">
        <v>140</v>
      </c>
      <c r="C2249" t="s">
        <v>224</v>
      </c>
      <c r="D2249" s="110">
        <v>107127.5</v>
      </c>
      <c r="E2249" s="111">
        <v>107177.5</v>
      </c>
      <c r="F2249" s="111"/>
      <c r="G2249" s="111"/>
      <c r="H2249" s="112"/>
      <c r="I2249" s="110">
        <v>3.5</v>
      </c>
      <c r="J2249" s="111">
        <v>10.5</v>
      </c>
      <c r="K2249" s="111"/>
      <c r="L2249" s="111"/>
      <c r="M2249" s="112"/>
    </row>
    <row r="2250" spans="1:13" x14ac:dyDescent="0.2">
      <c r="A2250" s="117" t="s">
        <v>55</v>
      </c>
      <c r="B2250" s="117" t="s">
        <v>140</v>
      </c>
      <c r="C2250" s="117" t="s">
        <v>225</v>
      </c>
      <c r="D2250" s="118">
        <v>53420</v>
      </c>
      <c r="E2250" s="119"/>
      <c r="F2250" s="119"/>
      <c r="G2250" s="119"/>
      <c r="H2250" s="120"/>
      <c r="I2250" s="118">
        <v>71</v>
      </c>
      <c r="J2250" s="119"/>
      <c r="K2250" s="119"/>
      <c r="L2250" s="119"/>
      <c r="M2250" s="120"/>
    </row>
    <row r="2251" spans="1:13" x14ac:dyDescent="0.2">
      <c r="A2251" t="s">
        <v>55</v>
      </c>
      <c r="B2251" t="s">
        <v>105</v>
      </c>
      <c r="C2251" t="s">
        <v>222</v>
      </c>
      <c r="D2251" s="110">
        <v>193560.95</v>
      </c>
      <c r="E2251" s="111">
        <v>191115.45</v>
      </c>
      <c r="F2251" s="111">
        <v>189968.45</v>
      </c>
      <c r="G2251" s="111">
        <v>189245.63</v>
      </c>
      <c r="H2251" s="112"/>
      <c r="I2251" s="110">
        <v>38908.720000000001</v>
      </c>
      <c r="J2251" s="111">
        <v>61368.59</v>
      </c>
      <c r="K2251" s="111">
        <v>73412.570000000007</v>
      </c>
      <c r="L2251" s="111">
        <v>80677.22</v>
      </c>
      <c r="M2251" s="112"/>
    </row>
    <row r="2252" spans="1:13" x14ac:dyDescent="0.2">
      <c r="A2252" s="113" t="s">
        <v>55</v>
      </c>
      <c r="B2252" s="113" t="s">
        <v>105</v>
      </c>
      <c r="C2252" s="113" t="s">
        <v>223</v>
      </c>
      <c r="D2252" s="114">
        <v>226831.14</v>
      </c>
      <c r="E2252" s="115">
        <v>224596.64</v>
      </c>
      <c r="F2252" s="115">
        <v>223672.14</v>
      </c>
      <c r="G2252" s="115"/>
      <c r="H2252" s="116"/>
      <c r="I2252" s="114">
        <v>37172.660000000003</v>
      </c>
      <c r="J2252" s="115">
        <v>48136.1</v>
      </c>
      <c r="K2252" s="115">
        <v>53366.37</v>
      </c>
      <c r="L2252" s="115"/>
      <c r="M2252" s="116"/>
    </row>
    <row r="2253" spans="1:13" x14ac:dyDescent="0.2">
      <c r="A2253" t="s">
        <v>55</v>
      </c>
      <c r="B2253" t="s">
        <v>105</v>
      </c>
      <c r="C2253" t="s">
        <v>224</v>
      </c>
      <c r="D2253" s="110">
        <v>166234.38</v>
      </c>
      <c r="E2253" s="111">
        <v>161459.88</v>
      </c>
      <c r="F2253" s="111"/>
      <c r="G2253" s="111"/>
      <c r="H2253" s="112"/>
      <c r="I2253" s="110">
        <v>39061.019999999997</v>
      </c>
      <c r="J2253" s="111">
        <v>52908.55</v>
      </c>
      <c r="K2253" s="111"/>
      <c r="L2253" s="111"/>
      <c r="M2253" s="112"/>
    </row>
    <row r="2254" spans="1:13" x14ac:dyDescent="0.2">
      <c r="A2254" s="117" t="s">
        <v>55</v>
      </c>
      <c r="B2254" s="117" t="s">
        <v>105</v>
      </c>
      <c r="C2254" s="117" t="s">
        <v>225</v>
      </c>
      <c r="D2254" s="118">
        <v>167403.29999999999</v>
      </c>
      <c r="E2254" s="119"/>
      <c r="F2254" s="119"/>
      <c r="G2254" s="119"/>
      <c r="H2254" s="120"/>
      <c r="I2254" s="118">
        <v>26946.51</v>
      </c>
      <c r="J2254" s="119"/>
      <c r="K2254" s="119"/>
      <c r="L2254" s="119"/>
      <c r="M2254" s="120"/>
    </row>
    <row r="2255" spans="1:13" x14ac:dyDescent="0.2">
      <c r="A2255" t="s">
        <v>55</v>
      </c>
      <c r="B2255" t="s">
        <v>111</v>
      </c>
      <c r="C2255" t="s">
        <v>222</v>
      </c>
      <c r="D2255" s="110">
        <v>11375.6</v>
      </c>
      <c r="E2255" s="111">
        <v>10221.6</v>
      </c>
      <c r="F2255" s="111">
        <v>10171.6</v>
      </c>
      <c r="G2255" s="111">
        <v>9297.6</v>
      </c>
      <c r="H2255" s="112"/>
      <c r="I2255" s="110">
        <v>320.10000000000002</v>
      </c>
      <c r="J2255" s="111">
        <v>1338.6</v>
      </c>
      <c r="K2255" s="111">
        <v>2035.6</v>
      </c>
      <c r="L2255" s="111">
        <v>2085.6</v>
      </c>
      <c r="M2255" s="112"/>
    </row>
    <row r="2256" spans="1:13" x14ac:dyDescent="0.2">
      <c r="A2256" s="113" t="s">
        <v>55</v>
      </c>
      <c r="B2256" s="113" t="s">
        <v>111</v>
      </c>
      <c r="C2256" s="113" t="s">
        <v>223</v>
      </c>
      <c r="D2256" s="114">
        <v>8949</v>
      </c>
      <c r="E2256" s="115">
        <v>8737</v>
      </c>
      <c r="F2256" s="115">
        <v>8249</v>
      </c>
      <c r="G2256" s="115"/>
      <c r="H2256" s="116"/>
      <c r="I2256" s="114">
        <v>920</v>
      </c>
      <c r="J2256" s="115">
        <v>1399</v>
      </c>
      <c r="K2256" s="115">
        <v>1955</v>
      </c>
      <c r="L2256" s="115"/>
      <c r="M2256" s="116"/>
    </row>
    <row r="2257" spans="1:13" x14ac:dyDescent="0.2">
      <c r="A2257" t="s">
        <v>55</v>
      </c>
      <c r="B2257" t="s">
        <v>111</v>
      </c>
      <c r="C2257" t="s">
        <v>224</v>
      </c>
      <c r="D2257" s="110">
        <v>2670.5</v>
      </c>
      <c r="E2257" s="111">
        <v>2070.5</v>
      </c>
      <c r="F2257" s="111"/>
      <c r="G2257" s="111"/>
      <c r="H2257" s="112"/>
      <c r="I2257" s="110">
        <v>197.5</v>
      </c>
      <c r="J2257" s="111">
        <v>204.5</v>
      </c>
      <c r="K2257" s="111"/>
      <c r="L2257" s="111"/>
      <c r="M2257" s="112"/>
    </row>
    <row r="2258" spans="1:13" x14ac:dyDescent="0.2">
      <c r="A2258" s="117" t="s">
        <v>55</v>
      </c>
      <c r="B2258" s="117" t="s">
        <v>111</v>
      </c>
      <c r="C2258" s="117" t="s">
        <v>225</v>
      </c>
      <c r="D2258" s="118">
        <v>5818.5</v>
      </c>
      <c r="E2258" s="119"/>
      <c r="F2258" s="119"/>
      <c r="G2258" s="119"/>
      <c r="H2258" s="120"/>
      <c r="I2258" s="118">
        <v>555</v>
      </c>
      <c r="J2258" s="119"/>
      <c r="K2258" s="119"/>
      <c r="L2258" s="119"/>
      <c r="M2258" s="120"/>
    </row>
    <row r="2259" spans="1:13" x14ac:dyDescent="0.2">
      <c r="A2259" s="124" t="s">
        <v>55</v>
      </c>
      <c r="B2259" s="124" t="s">
        <v>109</v>
      </c>
      <c r="C2259" s="124" t="s">
        <v>222</v>
      </c>
      <c r="D2259" s="125">
        <v>236762.7</v>
      </c>
      <c r="E2259" s="126">
        <v>234464.7</v>
      </c>
      <c r="F2259" s="126">
        <v>234289.7</v>
      </c>
      <c r="G2259" s="126">
        <v>233713.2</v>
      </c>
      <c r="H2259" s="127"/>
      <c r="I2259" s="125">
        <v>81827.98</v>
      </c>
      <c r="J2259" s="126">
        <v>110354.4</v>
      </c>
      <c r="K2259" s="126">
        <v>129413.69</v>
      </c>
      <c r="L2259" s="126">
        <v>138074.29999999999</v>
      </c>
      <c r="M2259" s="127"/>
    </row>
    <row r="2260" spans="1:13" x14ac:dyDescent="0.2">
      <c r="A2260" s="113" t="s">
        <v>55</v>
      </c>
      <c r="B2260" s="113" t="s">
        <v>109</v>
      </c>
      <c r="C2260" s="113" t="s">
        <v>223</v>
      </c>
      <c r="D2260" s="114">
        <v>262756.40000000002</v>
      </c>
      <c r="E2260" s="115">
        <v>262509.40000000002</v>
      </c>
      <c r="F2260" s="115">
        <v>262459.40000000002</v>
      </c>
      <c r="G2260" s="115"/>
      <c r="H2260" s="116"/>
      <c r="I2260" s="114">
        <v>103359.03</v>
      </c>
      <c r="J2260" s="115">
        <v>127165.36</v>
      </c>
      <c r="K2260" s="115">
        <v>142006.65</v>
      </c>
      <c r="L2260" s="115"/>
      <c r="M2260" s="116"/>
    </row>
    <row r="2261" spans="1:13" x14ac:dyDescent="0.2">
      <c r="A2261" t="s">
        <v>55</v>
      </c>
      <c r="B2261" t="s">
        <v>109</v>
      </c>
      <c r="C2261" t="s">
        <v>224</v>
      </c>
      <c r="D2261" s="110">
        <v>170596.35</v>
      </c>
      <c r="E2261" s="111">
        <v>170989.35</v>
      </c>
      <c r="F2261" s="111"/>
      <c r="G2261" s="111"/>
      <c r="H2261" s="112"/>
      <c r="I2261" s="110">
        <v>65174.74</v>
      </c>
      <c r="J2261" s="111">
        <v>93277.88</v>
      </c>
      <c r="K2261" s="111"/>
      <c r="L2261" s="111"/>
      <c r="M2261" s="112"/>
    </row>
    <row r="2262" spans="1:13" x14ac:dyDescent="0.2">
      <c r="A2262" s="117" t="s">
        <v>55</v>
      </c>
      <c r="B2262" s="117" t="s">
        <v>109</v>
      </c>
      <c r="C2262" s="117" t="s">
        <v>225</v>
      </c>
      <c r="D2262" s="118">
        <v>137052.85</v>
      </c>
      <c r="E2262" s="119"/>
      <c r="F2262" s="119"/>
      <c r="G2262" s="119"/>
      <c r="H2262" s="120"/>
      <c r="I2262" s="118">
        <v>55710.27</v>
      </c>
      <c r="J2262" s="119"/>
      <c r="K2262" s="119"/>
      <c r="L2262" s="119"/>
      <c r="M2262" s="120"/>
    </row>
    <row r="2263" spans="1:13" x14ac:dyDescent="0.2">
      <c r="A2263" t="s">
        <v>55</v>
      </c>
      <c r="B2263" t="s">
        <v>106</v>
      </c>
      <c r="C2263" t="s">
        <v>222</v>
      </c>
      <c r="D2263" s="110">
        <v>168458.38</v>
      </c>
      <c r="E2263" s="111">
        <v>168022.38</v>
      </c>
      <c r="F2263" s="111">
        <v>168022.38</v>
      </c>
      <c r="G2263" s="111">
        <v>168022.38</v>
      </c>
      <c r="H2263" s="112"/>
      <c r="I2263" s="110">
        <v>165385.38</v>
      </c>
      <c r="J2263" s="111">
        <v>165872.38</v>
      </c>
      <c r="K2263" s="111">
        <v>165872.38</v>
      </c>
      <c r="L2263" s="111">
        <v>165872.38</v>
      </c>
      <c r="M2263" s="112"/>
    </row>
    <row r="2264" spans="1:13" x14ac:dyDescent="0.2">
      <c r="A2264" s="113" t="s">
        <v>55</v>
      </c>
      <c r="B2264" s="113" t="s">
        <v>106</v>
      </c>
      <c r="C2264" s="113" t="s">
        <v>223</v>
      </c>
      <c r="D2264" s="114">
        <v>166744.66</v>
      </c>
      <c r="E2264" s="115">
        <v>166386.66</v>
      </c>
      <c r="F2264" s="115">
        <v>166386.66</v>
      </c>
      <c r="G2264" s="115"/>
      <c r="H2264" s="116"/>
      <c r="I2264" s="114">
        <v>161924.66</v>
      </c>
      <c r="J2264" s="115">
        <v>162786.66</v>
      </c>
      <c r="K2264" s="115">
        <v>162786.66</v>
      </c>
      <c r="L2264" s="115"/>
      <c r="M2264" s="116"/>
    </row>
    <row r="2265" spans="1:13" x14ac:dyDescent="0.2">
      <c r="A2265" t="s">
        <v>55</v>
      </c>
      <c r="B2265" t="s">
        <v>106</v>
      </c>
      <c r="C2265" t="s">
        <v>224</v>
      </c>
      <c r="D2265" s="110">
        <v>45280.6</v>
      </c>
      <c r="E2265" s="111">
        <v>45280.6</v>
      </c>
      <c r="F2265" s="111"/>
      <c r="G2265" s="111"/>
      <c r="H2265" s="112"/>
      <c r="I2265" s="110">
        <v>44880.6</v>
      </c>
      <c r="J2265" s="111">
        <v>44880.6</v>
      </c>
      <c r="K2265" s="111"/>
      <c r="L2265" s="111"/>
      <c r="M2265" s="112"/>
    </row>
    <row r="2266" spans="1:13" x14ac:dyDescent="0.2">
      <c r="A2266" s="117" t="s">
        <v>55</v>
      </c>
      <c r="B2266" s="117" t="s">
        <v>106</v>
      </c>
      <c r="C2266" s="117" t="s">
        <v>225</v>
      </c>
      <c r="D2266" s="118">
        <v>85082.42</v>
      </c>
      <c r="E2266" s="119"/>
      <c r="F2266" s="119"/>
      <c r="G2266" s="119"/>
      <c r="H2266" s="120"/>
      <c r="I2266" s="118">
        <v>81737.42</v>
      </c>
      <c r="J2266" s="119"/>
      <c r="K2266" s="119"/>
      <c r="L2266" s="119"/>
      <c r="M2266" s="120"/>
    </row>
    <row r="2267" spans="1:13" x14ac:dyDescent="0.2">
      <c r="A2267" t="s">
        <v>55</v>
      </c>
      <c r="B2267" t="s">
        <v>107</v>
      </c>
      <c r="C2267" t="s">
        <v>222</v>
      </c>
      <c r="D2267" s="110">
        <v>190057.36</v>
      </c>
      <c r="E2267" s="111">
        <v>190057.36</v>
      </c>
      <c r="F2267" s="111">
        <v>190057.36</v>
      </c>
      <c r="G2267" s="111">
        <v>190060.36</v>
      </c>
      <c r="H2267" s="112"/>
      <c r="I2267" s="110">
        <v>189387.36</v>
      </c>
      <c r="J2267" s="111">
        <v>189697.36</v>
      </c>
      <c r="K2267" s="111">
        <v>189697.36</v>
      </c>
      <c r="L2267" s="111">
        <v>189700.36</v>
      </c>
      <c r="M2267" s="112"/>
    </row>
    <row r="2268" spans="1:13" x14ac:dyDescent="0.2">
      <c r="A2268" s="113" t="s">
        <v>55</v>
      </c>
      <c r="B2268" s="113" t="s">
        <v>107</v>
      </c>
      <c r="C2268" s="113" t="s">
        <v>223</v>
      </c>
      <c r="D2268" s="114">
        <v>202101.61</v>
      </c>
      <c r="E2268" s="115">
        <v>202101.61</v>
      </c>
      <c r="F2268" s="115">
        <v>202101.61</v>
      </c>
      <c r="G2268" s="115"/>
      <c r="H2268" s="116"/>
      <c r="I2268" s="114">
        <v>200156.61</v>
      </c>
      <c r="J2268" s="115">
        <v>201641.61</v>
      </c>
      <c r="K2268" s="115">
        <v>201641.61</v>
      </c>
      <c r="L2268" s="115"/>
      <c r="M2268" s="116"/>
    </row>
    <row r="2269" spans="1:13" x14ac:dyDescent="0.2">
      <c r="A2269" t="s">
        <v>55</v>
      </c>
      <c r="B2269" t="s">
        <v>107</v>
      </c>
      <c r="C2269" t="s">
        <v>224</v>
      </c>
      <c r="D2269" s="110">
        <v>85446</v>
      </c>
      <c r="E2269" s="111">
        <v>85446</v>
      </c>
      <c r="F2269" s="111"/>
      <c r="G2269" s="111"/>
      <c r="H2269" s="112"/>
      <c r="I2269" s="110">
        <v>85445</v>
      </c>
      <c r="J2269" s="111">
        <v>85445</v>
      </c>
      <c r="K2269" s="111"/>
      <c r="L2269" s="111"/>
      <c r="M2269" s="112"/>
    </row>
    <row r="2270" spans="1:13" x14ac:dyDescent="0.2">
      <c r="A2270" s="117" t="s">
        <v>55</v>
      </c>
      <c r="B2270" s="117" t="s">
        <v>107</v>
      </c>
      <c r="C2270" s="117" t="s">
        <v>225</v>
      </c>
      <c r="D2270" s="118">
        <v>128984.8</v>
      </c>
      <c r="E2270" s="119"/>
      <c r="F2270" s="119"/>
      <c r="G2270" s="119"/>
      <c r="H2270" s="120"/>
      <c r="I2270" s="118">
        <v>126831.8</v>
      </c>
      <c r="J2270" s="119"/>
      <c r="K2270" s="119"/>
      <c r="L2270" s="119"/>
      <c r="M2270" s="120"/>
    </row>
    <row r="2271" spans="1:13" x14ac:dyDescent="0.2">
      <c r="A2271" t="s">
        <v>55</v>
      </c>
      <c r="B2271" t="s">
        <v>108</v>
      </c>
      <c r="C2271" t="s">
        <v>222</v>
      </c>
      <c r="D2271" s="110">
        <v>45707.78</v>
      </c>
      <c r="E2271" s="111">
        <v>45649.78</v>
      </c>
      <c r="F2271" s="111">
        <v>45649.78</v>
      </c>
      <c r="G2271" s="111">
        <v>45649.78</v>
      </c>
      <c r="H2271" s="112"/>
      <c r="I2271" s="110">
        <v>45184.78</v>
      </c>
      <c r="J2271" s="111">
        <v>45184.78</v>
      </c>
      <c r="K2271" s="111">
        <v>45184.78</v>
      </c>
      <c r="L2271" s="111">
        <v>45184.78</v>
      </c>
      <c r="M2271" s="112"/>
    </row>
    <row r="2272" spans="1:13" x14ac:dyDescent="0.2">
      <c r="A2272" s="113" t="s">
        <v>55</v>
      </c>
      <c r="B2272" s="113" t="s">
        <v>108</v>
      </c>
      <c r="C2272" s="113" t="s">
        <v>223</v>
      </c>
      <c r="D2272" s="114">
        <v>50201.5</v>
      </c>
      <c r="E2272" s="115">
        <v>50201.5</v>
      </c>
      <c r="F2272" s="115">
        <v>50201.5</v>
      </c>
      <c r="G2272" s="115"/>
      <c r="H2272" s="116"/>
      <c r="I2272" s="114">
        <v>49770.5</v>
      </c>
      <c r="J2272" s="115">
        <v>50110.5</v>
      </c>
      <c r="K2272" s="115">
        <v>50110.5</v>
      </c>
      <c r="L2272" s="115"/>
      <c r="M2272" s="116"/>
    </row>
    <row r="2273" spans="1:13" x14ac:dyDescent="0.2">
      <c r="A2273" t="s">
        <v>55</v>
      </c>
      <c r="B2273" t="s">
        <v>108</v>
      </c>
      <c r="C2273" t="s">
        <v>224</v>
      </c>
      <c r="D2273" s="110">
        <v>53481</v>
      </c>
      <c r="E2273" s="111">
        <v>53481</v>
      </c>
      <c r="F2273" s="111"/>
      <c r="G2273" s="111"/>
      <c r="H2273" s="112"/>
      <c r="I2273" s="110">
        <v>53365</v>
      </c>
      <c r="J2273" s="111">
        <v>53365</v>
      </c>
      <c r="K2273" s="111"/>
      <c r="L2273" s="111"/>
      <c r="M2273" s="112"/>
    </row>
    <row r="2274" spans="1:13" x14ac:dyDescent="0.2">
      <c r="A2274" s="117" t="s">
        <v>55</v>
      </c>
      <c r="B2274" s="117" t="s">
        <v>108</v>
      </c>
      <c r="C2274" s="117" t="s">
        <v>225</v>
      </c>
      <c r="D2274" s="118">
        <v>54744.5</v>
      </c>
      <c r="E2274" s="119"/>
      <c r="F2274" s="119"/>
      <c r="G2274" s="119"/>
      <c r="H2274" s="120"/>
      <c r="I2274" s="118">
        <v>53313.5</v>
      </c>
      <c r="J2274" s="119"/>
      <c r="K2274" s="119"/>
      <c r="L2274" s="119"/>
      <c r="M2274" s="120"/>
    </row>
    <row r="2275" spans="1:13" x14ac:dyDescent="0.2">
      <c r="A2275" t="s">
        <v>55</v>
      </c>
      <c r="B2275" t="s">
        <v>70</v>
      </c>
      <c r="C2275" t="s">
        <v>222</v>
      </c>
      <c r="D2275" s="110">
        <v>128064.58</v>
      </c>
      <c r="E2275" s="111">
        <v>128064.58</v>
      </c>
      <c r="F2275" s="111">
        <v>128064.58</v>
      </c>
      <c r="G2275" s="111">
        <v>128064.58</v>
      </c>
      <c r="H2275" s="112"/>
      <c r="I2275" s="110">
        <v>118936.08</v>
      </c>
      <c r="J2275" s="111">
        <v>122050.08</v>
      </c>
      <c r="K2275" s="111">
        <v>123065.08</v>
      </c>
      <c r="L2275" s="111">
        <v>123658.58</v>
      </c>
      <c r="M2275" s="112"/>
    </row>
    <row r="2276" spans="1:13" x14ac:dyDescent="0.2">
      <c r="A2276" s="113" t="s">
        <v>55</v>
      </c>
      <c r="B2276" s="113" t="s">
        <v>70</v>
      </c>
      <c r="C2276" s="113" t="s">
        <v>223</v>
      </c>
      <c r="D2276" s="114">
        <v>123081.7</v>
      </c>
      <c r="E2276" s="115">
        <v>122381.7</v>
      </c>
      <c r="F2276" s="115">
        <v>122381.7</v>
      </c>
      <c r="G2276" s="115"/>
      <c r="H2276" s="116"/>
      <c r="I2276" s="114">
        <v>117398.2</v>
      </c>
      <c r="J2276" s="115">
        <v>119502.2</v>
      </c>
      <c r="K2276" s="115">
        <v>119753.2</v>
      </c>
      <c r="L2276" s="115"/>
      <c r="M2276" s="116"/>
    </row>
    <row r="2277" spans="1:13" x14ac:dyDescent="0.2">
      <c r="A2277" t="s">
        <v>55</v>
      </c>
      <c r="B2277" t="s">
        <v>70</v>
      </c>
      <c r="C2277" t="s">
        <v>224</v>
      </c>
      <c r="D2277" s="110">
        <v>114817.54</v>
      </c>
      <c r="E2277" s="111">
        <v>114817.54</v>
      </c>
      <c r="F2277" s="111"/>
      <c r="G2277" s="111"/>
      <c r="H2277" s="112"/>
      <c r="I2277" s="110">
        <v>109954.54</v>
      </c>
      <c r="J2277" s="111">
        <v>111227.04</v>
      </c>
      <c r="K2277" s="111"/>
      <c r="L2277" s="111"/>
      <c r="M2277" s="112"/>
    </row>
    <row r="2278" spans="1:13" x14ac:dyDescent="0.2">
      <c r="A2278" s="117" t="s">
        <v>55</v>
      </c>
      <c r="B2278" s="117" t="s">
        <v>70</v>
      </c>
      <c r="C2278" s="117" t="s">
        <v>225</v>
      </c>
      <c r="D2278" s="118">
        <v>121073</v>
      </c>
      <c r="E2278" s="119"/>
      <c r="F2278" s="119"/>
      <c r="G2278" s="119"/>
      <c r="H2278" s="120"/>
      <c r="I2278" s="118">
        <v>110441</v>
      </c>
      <c r="J2278" s="119"/>
      <c r="K2278" s="119"/>
      <c r="L2278" s="119"/>
      <c r="M2278" s="120"/>
    </row>
    <row r="2279" spans="1:13" x14ac:dyDescent="0.2">
      <c r="A2279" t="s">
        <v>55</v>
      </c>
      <c r="B2279" t="s">
        <v>110</v>
      </c>
      <c r="C2279" t="s">
        <v>222</v>
      </c>
      <c r="D2279" s="110">
        <v>790681.4</v>
      </c>
      <c r="E2279" s="111">
        <v>897482.45</v>
      </c>
      <c r="F2279" s="111">
        <v>895456.1</v>
      </c>
      <c r="G2279" s="111">
        <v>894382.4</v>
      </c>
      <c r="H2279" s="112"/>
      <c r="I2279" s="110">
        <v>377264.9</v>
      </c>
      <c r="J2279" s="111">
        <v>634986.93999999994</v>
      </c>
      <c r="K2279" s="111">
        <v>702169.85</v>
      </c>
      <c r="L2279" s="111">
        <v>737265.3</v>
      </c>
      <c r="M2279" s="112"/>
    </row>
    <row r="2280" spans="1:13" x14ac:dyDescent="0.2">
      <c r="A2280" s="113" t="s">
        <v>55</v>
      </c>
      <c r="B2280" s="113" t="s">
        <v>110</v>
      </c>
      <c r="C2280" s="113" t="s">
        <v>223</v>
      </c>
      <c r="D2280" s="114">
        <v>812663.05</v>
      </c>
      <c r="E2280" s="115">
        <v>901121.8</v>
      </c>
      <c r="F2280" s="115">
        <v>900817.15</v>
      </c>
      <c r="G2280" s="115"/>
      <c r="H2280" s="116"/>
      <c r="I2280" s="114">
        <v>413351.16</v>
      </c>
      <c r="J2280" s="115">
        <v>606321.43999999994</v>
      </c>
      <c r="K2280" s="115">
        <v>692088.9</v>
      </c>
      <c r="L2280" s="115"/>
      <c r="M2280" s="116"/>
    </row>
    <row r="2281" spans="1:13" x14ac:dyDescent="0.2">
      <c r="A2281" t="s">
        <v>55</v>
      </c>
      <c r="B2281" t="s">
        <v>110</v>
      </c>
      <c r="C2281" t="s">
        <v>224</v>
      </c>
      <c r="D2281" s="110">
        <v>466514.15</v>
      </c>
      <c r="E2281" s="111">
        <v>614261.80000000005</v>
      </c>
      <c r="F2281" s="111"/>
      <c r="G2281" s="111"/>
      <c r="H2281" s="112"/>
      <c r="I2281" s="110">
        <v>180608.34</v>
      </c>
      <c r="J2281" s="111">
        <v>339400.5</v>
      </c>
      <c r="K2281" s="111"/>
      <c r="L2281" s="111"/>
      <c r="M2281" s="112"/>
    </row>
    <row r="2282" spans="1:13" ht="13.5" thickBot="1" x14ac:dyDescent="0.25">
      <c r="A2282" s="128" t="s">
        <v>55</v>
      </c>
      <c r="B2282" s="128" t="s">
        <v>110</v>
      </c>
      <c r="C2282" s="128" t="s">
        <v>225</v>
      </c>
      <c r="D2282" s="129">
        <v>575144.55000000005</v>
      </c>
      <c r="E2282" s="130"/>
      <c r="F2282" s="130"/>
      <c r="G2282" s="130"/>
      <c r="H2282" s="131"/>
      <c r="I2282" s="129">
        <v>228065.09</v>
      </c>
      <c r="J2282" s="130"/>
      <c r="K2282" s="130"/>
      <c r="L2282" s="130"/>
      <c r="M2282" s="131"/>
    </row>
    <row r="2283" spans="1:13" x14ac:dyDescent="0.2">
      <c r="A2283" s="132" t="s">
        <v>56</v>
      </c>
      <c r="B2283" s="132" t="s">
        <v>104</v>
      </c>
      <c r="C2283" s="132" t="s">
        <v>222</v>
      </c>
      <c r="D2283" s="133">
        <v>749804.77</v>
      </c>
      <c r="E2283" s="134">
        <v>749524.77</v>
      </c>
      <c r="F2283" s="134">
        <v>749506.38</v>
      </c>
      <c r="G2283" s="134">
        <v>748923.38</v>
      </c>
      <c r="H2283" s="135"/>
      <c r="I2283" s="133">
        <v>22800.639999999999</v>
      </c>
      <c r="J2283" s="134">
        <v>44450.32</v>
      </c>
      <c r="K2283" s="134">
        <v>61751.83</v>
      </c>
      <c r="L2283" s="134">
        <v>73784.58</v>
      </c>
      <c r="M2283" s="135"/>
    </row>
    <row r="2284" spans="1:13" x14ac:dyDescent="0.2">
      <c r="A2284" s="113" t="s">
        <v>56</v>
      </c>
      <c r="B2284" s="113" t="s">
        <v>104</v>
      </c>
      <c r="C2284" s="113" t="s">
        <v>223</v>
      </c>
      <c r="D2284" s="114">
        <v>995158.44</v>
      </c>
      <c r="E2284" s="115">
        <v>995070.44</v>
      </c>
      <c r="F2284" s="115">
        <v>993351.44</v>
      </c>
      <c r="G2284" s="115"/>
      <c r="H2284" s="116"/>
      <c r="I2284" s="114">
        <v>23190.880000000001</v>
      </c>
      <c r="J2284" s="115">
        <v>36811.22</v>
      </c>
      <c r="K2284" s="115">
        <v>46596.42</v>
      </c>
      <c r="L2284" s="115"/>
      <c r="M2284" s="116"/>
    </row>
    <row r="2285" spans="1:13" x14ac:dyDescent="0.2">
      <c r="A2285" t="s">
        <v>56</v>
      </c>
      <c r="B2285" t="s">
        <v>104</v>
      </c>
      <c r="C2285" t="s">
        <v>224</v>
      </c>
      <c r="D2285" s="110">
        <v>365366.98</v>
      </c>
      <c r="E2285" s="111">
        <v>365516.98</v>
      </c>
      <c r="F2285" s="111"/>
      <c r="G2285" s="111"/>
      <c r="H2285" s="112"/>
      <c r="I2285" s="110">
        <v>6635.58</v>
      </c>
      <c r="J2285" s="111">
        <v>9794.49</v>
      </c>
      <c r="K2285" s="111"/>
      <c r="L2285" s="111"/>
      <c r="M2285" s="112"/>
    </row>
    <row r="2286" spans="1:13" x14ac:dyDescent="0.2">
      <c r="A2286" s="117" t="s">
        <v>56</v>
      </c>
      <c r="B2286" s="117" t="s">
        <v>104</v>
      </c>
      <c r="C2286" s="117" t="s">
        <v>225</v>
      </c>
      <c r="D2286" s="118">
        <v>521056.4</v>
      </c>
      <c r="E2286" s="119"/>
      <c r="F2286" s="119"/>
      <c r="G2286" s="119"/>
      <c r="H2286" s="120"/>
      <c r="I2286" s="118">
        <v>15886.39</v>
      </c>
      <c r="J2286" s="119"/>
      <c r="K2286" s="119"/>
      <c r="L2286" s="119"/>
      <c r="M2286" s="120"/>
    </row>
    <row r="2287" spans="1:13" x14ac:dyDescent="0.2">
      <c r="A2287" t="s">
        <v>56</v>
      </c>
      <c r="B2287" t="s">
        <v>140</v>
      </c>
      <c r="C2287" t="s">
        <v>222</v>
      </c>
      <c r="D2287" s="110">
        <v>108119</v>
      </c>
      <c r="E2287" s="111">
        <v>107869</v>
      </c>
      <c r="F2287" s="111">
        <v>107869</v>
      </c>
      <c r="G2287" s="111">
        <v>107769</v>
      </c>
      <c r="H2287" s="112"/>
      <c r="I2287" s="110">
        <v>0</v>
      </c>
      <c r="J2287" s="111">
        <v>0</v>
      </c>
      <c r="K2287" s="111">
        <v>50</v>
      </c>
      <c r="L2287" s="111">
        <v>50</v>
      </c>
      <c r="M2287" s="112"/>
    </row>
    <row r="2288" spans="1:13" x14ac:dyDescent="0.2">
      <c r="A2288" s="113" t="s">
        <v>56</v>
      </c>
      <c r="B2288" s="113" t="s">
        <v>140</v>
      </c>
      <c r="C2288" s="113" t="s">
        <v>223</v>
      </c>
      <c r="D2288" s="114">
        <v>371971</v>
      </c>
      <c r="E2288" s="115">
        <v>372021</v>
      </c>
      <c r="F2288" s="115">
        <v>372021</v>
      </c>
      <c r="G2288" s="115"/>
      <c r="H2288" s="116"/>
      <c r="I2288" s="114">
        <v>0</v>
      </c>
      <c r="J2288" s="115">
        <v>0</v>
      </c>
      <c r="K2288" s="115">
        <v>0</v>
      </c>
      <c r="L2288" s="115"/>
      <c r="M2288" s="116"/>
    </row>
    <row r="2289" spans="1:13" x14ac:dyDescent="0.2">
      <c r="A2289" t="s">
        <v>56</v>
      </c>
      <c r="B2289" t="s">
        <v>140</v>
      </c>
      <c r="C2289" t="s">
        <v>224</v>
      </c>
      <c r="D2289" s="110">
        <v>53468</v>
      </c>
      <c r="E2289" s="111">
        <v>53418</v>
      </c>
      <c r="F2289" s="111"/>
      <c r="G2289" s="111"/>
      <c r="H2289" s="112"/>
      <c r="I2289" s="110">
        <v>0</v>
      </c>
      <c r="J2289" s="111">
        <v>0</v>
      </c>
      <c r="K2289" s="111"/>
      <c r="L2289" s="111"/>
      <c r="M2289" s="112"/>
    </row>
    <row r="2290" spans="1:13" x14ac:dyDescent="0.2">
      <c r="A2290" s="117" t="s">
        <v>56</v>
      </c>
      <c r="B2290" s="117" t="s">
        <v>140</v>
      </c>
      <c r="C2290" s="117" t="s">
        <v>225</v>
      </c>
      <c r="D2290" s="118">
        <v>159804</v>
      </c>
      <c r="E2290" s="119"/>
      <c r="F2290" s="119"/>
      <c r="G2290" s="119"/>
      <c r="H2290" s="120"/>
      <c r="I2290" s="118">
        <v>0</v>
      </c>
      <c r="J2290" s="119"/>
      <c r="K2290" s="119"/>
      <c r="L2290" s="119"/>
      <c r="M2290" s="120"/>
    </row>
    <row r="2291" spans="1:13" x14ac:dyDescent="0.2">
      <c r="A2291" t="s">
        <v>56</v>
      </c>
      <c r="B2291" t="s">
        <v>105</v>
      </c>
      <c r="C2291" t="s">
        <v>222</v>
      </c>
      <c r="D2291" s="110">
        <v>324544.5</v>
      </c>
      <c r="E2291" s="111">
        <v>323028</v>
      </c>
      <c r="F2291" s="111">
        <v>323018</v>
      </c>
      <c r="G2291" s="111">
        <v>320218</v>
      </c>
      <c r="H2291" s="112"/>
      <c r="I2291" s="110">
        <v>41363.47</v>
      </c>
      <c r="J2291" s="111">
        <v>66797.94</v>
      </c>
      <c r="K2291" s="111">
        <v>79479.47</v>
      </c>
      <c r="L2291" s="111">
        <v>88563.68</v>
      </c>
      <c r="M2291" s="112"/>
    </row>
    <row r="2292" spans="1:13" x14ac:dyDescent="0.2">
      <c r="A2292" s="113" t="s">
        <v>56</v>
      </c>
      <c r="B2292" s="113" t="s">
        <v>105</v>
      </c>
      <c r="C2292" s="113" t="s">
        <v>223</v>
      </c>
      <c r="D2292" s="114">
        <v>218384.75</v>
      </c>
      <c r="E2292" s="115">
        <v>216867.75</v>
      </c>
      <c r="F2292" s="115">
        <v>216443.75</v>
      </c>
      <c r="G2292" s="115"/>
      <c r="H2292" s="116"/>
      <c r="I2292" s="114">
        <v>28181.119999999999</v>
      </c>
      <c r="J2292" s="115">
        <v>39883.730000000003</v>
      </c>
      <c r="K2292" s="115">
        <v>47930.62</v>
      </c>
      <c r="L2292" s="115"/>
      <c r="M2292" s="116"/>
    </row>
    <row r="2293" spans="1:13" x14ac:dyDescent="0.2">
      <c r="A2293" t="s">
        <v>56</v>
      </c>
      <c r="B2293" t="s">
        <v>105</v>
      </c>
      <c r="C2293" t="s">
        <v>224</v>
      </c>
      <c r="D2293" s="110">
        <v>133115</v>
      </c>
      <c r="E2293" s="111">
        <v>133346</v>
      </c>
      <c r="F2293" s="111"/>
      <c r="G2293" s="111"/>
      <c r="H2293" s="112"/>
      <c r="I2293" s="110">
        <v>25050.53</v>
      </c>
      <c r="J2293" s="111">
        <v>34066.26</v>
      </c>
      <c r="K2293" s="111"/>
      <c r="L2293" s="111"/>
      <c r="M2293" s="112"/>
    </row>
    <row r="2294" spans="1:13" x14ac:dyDescent="0.2">
      <c r="A2294" s="117" t="s">
        <v>56</v>
      </c>
      <c r="B2294" s="117" t="s">
        <v>105</v>
      </c>
      <c r="C2294" s="117" t="s">
        <v>225</v>
      </c>
      <c r="D2294" s="118">
        <v>199339.95</v>
      </c>
      <c r="E2294" s="119"/>
      <c r="F2294" s="119"/>
      <c r="G2294" s="119"/>
      <c r="H2294" s="120"/>
      <c r="I2294" s="118">
        <v>37608.620000000003</v>
      </c>
      <c r="J2294" s="119"/>
      <c r="K2294" s="119"/>
      <c r="L2294" s="119"/>
      <c r="M2294" s="120"/>
    </row>
    <row r="2295" spans="1:13" x14ac:dyDescent="0.2">
      <c r="A2295" t="s">
        <v>56</v>
      </c>
      <c r="B2295" t="s">
        <v>111</v>
      </c>
      <c r="C2295" t="s">
        <v>222</v>
      </c>
      <c r="D2295" s="110">
        <v>7529</v>
      </c>
      <c r="E2295" s="111">
        <v>7389</v>
      </c>
      <c r="F2295" s="111">
        <v>6889</v>
      </c>
      <c r="G2295" s="111">
        <v>6689</v>
      </c>
      <c r="H2295" s="112"/>
      <c r="I2295" s="110">
        <v>1433</v>
      </c>
      <c r="J2295" s="111">
        <v>2433</v>
      </c>
      <c r="K2295" s="111">
        <v>2933</v>
      </c>
      <c r="L2295" s="111">
        <v>3293</v>
      </c>
      <c r="M2295" s="112"/>
    </row>
    <row r="2296" spans="1:13" x14ac:dyDescent="0.2">
      <c r="A2296" s="113" t="s">
        <v>56</v>
      </c>
      <c r="B2296" s="113" t="s">
        <v>111</v>
      </c>
      <c r="C2296" s="113" t="s">
        <v>223</v>
      </c>
      <c r="D2296" s="114">
        <v>11365.5</v>
      </c>
      <c r="E2296" s="115">
        <v>10496.5</v>
      </c>
      <c r="F2296" s="115">
        <v>9196.5</v>
      </c>
      <c r="G2296" s="115"/>
      <c r="H2296" s="116"/>
      <c r="I2296" s="114">
        <v>1153.5</v>
      </c>
      <c r="J2296" s="115">
        <v>2403.5</v>
      </c>
      <c r="K2296" s="115">
        <v>3453.5</v>
      </c>
      <c r="L2296" s="115"/>
      <c r="M2296" s="116"/>
    </row>
    <row r="2297" spans="1:13" x14ac:dyDescent="0.2">
      <c r="A2297" t="s">
        <v>56</v>
      </c>
      <c r="B2297" t="s">
        <v>111</v>
      </c>
      <c r="C2297" t="s">
        <v>224</v>
      </c>
      <c r="D2297" s="110">
        <v>5731</v>
      </c>
      <c r="E2297" s="111">
        <v>5431</v>
      </c>
      <c r="F2297" s="111"/>
      <c r="G2297" s="111"/>
      <c r="H2297" s="112"/>
      <c r="I2297" s="110">
        <v>400</v>
      </c>
      <c r="J2297" s="111">
        <v>1200</v>
      </c>
      <c r="K2297" s="111"/>
      <c r="L2297" s="111"/>
      <c r="M2297" s="112"/>
    </row>
    <row r="2298" spans="1:13" x14ac:dyDescent="0.2">
      <c r="A2298" s="117" t="s">
        <v>56</v>
      </c>
      <c r="B2298" s="117" t="s">
        <v>111</v>
      </c>
      <c r="C2298" s="117" t="s">
        <v>225</v>
      </c>
      <c r="D2298" s="118">
        <v>7873.5</v>
      </c>
      <c r="E2298" s="119"/>
      <c r="F2298" s="119"/>
      <c r="G2298" s="119"/>
      <c r="H2298" s="120"/>
      <c r="I2298" s="118">
        <v>1095.5</v>
      </c>
      <c r="J2298" s="119"/>
      <c r="K2298" s="119"/>
      <c r="L2298" s="119"/>
      <c r="M2298" s="120"/>
    </row>
    <row r="2299" spans="1:13" x14ac:dyDescent="0.2">
      <c r="A2299" s="124" t="s">
        <v>56</v>
      </c>
      <c r="B2299" s="124" t="s">
        <v>109</v>
      </c>
      <c r="C2299" s="124" t="s">
        <v>222</v>
      </c>
      <c r="D2299" s="125">
        <v>417024.25</v>
      </c>
      <c r="E2299" s="126">
        <v>416255.25</v>
      </c>
      <c r="F2299" s="126">
        <v>415288</v>
      </c>
      <c r="G2299" s="126">
        <v>412234</v>
      </c>
      <c r="H2299" s="127"/>
      <c r="I2299" s="125">
        <v>114154.29</v>
      </c>
      <c r="J2299" s="126">
        <v>178135.01</v>
      </c>
      <c r="K2299" s="126">
        <v>223342.07</v>
      </c>
      <c r="L2299" s="126">
        <v>248502.01</v>
      </c>
      <c r="M2299" s="127"/>
    </row>
    <row r="2300" spans="1:13" x14ac:dyDescent="0.2">
      <c r="A2300" s="113" t="s">
        <v>56</v>
      </c>
      <c r="B2300" s="113" t="s">
        <v>109</v>
      </c>
      <c r="C2300" s="113" t="s">
        <v>223</v>
      </c>
      <c r="D2300" s="114">
        <v>323453.75</v>
      </c>
      <c r="E2300" s="115">
        <v>321238.75</v>
      </c>
      <c r="F2300" s="115">
        <v>319577.75</v>
      </c>
      <c r="G2300" s="115"/>
      <c r="H2300" s="116"/>
      <c r="I2300" s="114">
        <v>86600.53</v>
      </c>
      <c r="J2300" s="115">
        <v>138795.32</v>
      </c>
      <c r="K2300" s="115">
        <v>161530.23999999999</v>
      </c>
      <c r="L2300" s="115"/>
      <c r="M2300" s="116"/>
    </row>
    <row r="2301" spans="1:13" x14ac:dyDescent="0.2">
      <c r="A2301" t="s">
        <v>56</v>
      </c>
      <c r="B2301" t="s">
        <v>109</v>
      </c>
      <c r="C2301" t="s">
        <v>224</v>
      </c>
      <c r="D2301" s="110">
        <v>166455.75</v>
      </c>
      <c r="E2301" s="111">
        <v>165804.75</v>
      </c>
      <c r="F2301" s="111"/>
      <c r="G2301" s="111"/>
      <c r="H2301" s="112"/>
      <c r="I2301" s="110">
        <v>40546.5</v>
      </c>
      <c r="J2301" s="111">
        <v>69077</v>
      </c>
      <c r="K2301" s="111"/>
      <c r="L2301" s="111"/>
      <c r="M2301" s="112"/>
    </row>
    <row r="2302" spans="1:13" x14ac:dyDescent="0.2">
      <c r="A2302" s="117" t="s">
        <v>56</v>
      </c>
      <c r="B2302" s="117" t="s">
        <v>109</v>
      </c>
      <c r="C2302" s="117" t="s">
        <v>225</v>
      </c>
      <c r="D2302" s="118">
        <v>350620.5</v>
      </c>
      <c r="E2302" s="119"/>
      <c r="F2302" s="119"/>
      <c r="G2302" s="119"/>
      <c r="H2302" s="120"/>
      <c r="I2302" s="118">
        <v>102266.18</v>
      </c>
      <c r="J2302" s="119"/>
      <c r="K2302" s="119"/>
      <c r="L2302" s="119"/>
      <c r="M2302" s="120"/>
    </row>
    <row r="2303" spans="1:13" x14ac:dyDescent="0.2">
      <c r="A2303" t="s">
        <v>56</v>
      </c>
      <c r="B2303" t="s">
        <v>106</v>
      </c>
      <c r="C2303" t="s">
        <v>222</v>
      </c>
      <c r="D2303" s="110">
        <v>525099.06999999995</v>
      </c>
      <c r="E2303" s="111">
        <v>520849.07</v>
      </c>
      <c r="F2303" s="111">
        <v>520841.57</v>
      </c>
      <c r="G2303" s="111">
        <v>520841.57</v>
      </c>
      <c r="H2303" s="112"/>
      <c r="I2303" s="110">
        <v>516119</v>
      </c>
      <c r="J2303" s="111">
        <v>519056.57</v>
      </c>
      <c r="K2303" s="111">
        <v>519066.57</v>
      </c>
      <c r="L2303" s="111">
        <v>519951.57</v>
      </c>
      <c r="M2303" s="112"/>
    </row>
    <row r="2304" spans="1:13" x14ac:dyDescent="0.2">
      <c r="A2304" s="113" t="s">
        <v>56</v>
      </c>
      <c r="B2304" s="113" t="s">
        <v>106</v>
      </c>
      <c r="C2304" s="113" t="s">
        <v>223</v>
      </c>
      <c r="D2304" s="114">
        <v>514521.41</v>
      </c>
      <c r="E2304" s="115">
        <v>511817.41</v>
      </c>
      <c r="F2304" s="115">
        <v>511294.91</v>
      </c>
      <c r="G2304" s="115"/>
      <c r="H2304" s="116"/>
      <c r="I2304" s="114">
        <v>507703.41</v>
      </c>
      <c r="J2304" s="115">
        <v>508695.91</v>
      </c>
      <c r="K2304" s="115">
        <v>508710.91</v>
      </c>
      <c r="L2304" s="115"/>
      <c r="M2304" s="116"/>
    </row>
    <row r="2305" spans="1:13" x14ac:dyDescent="0.2">
      <c r="A2305" t="s">
        <v>56</v>
      </c>
      <c r="B2305" t="s">
        <v>106</v>
      </c>
      <c r="C2305" t="s">
        <v>224</v>
      </c>
      <c r="D2305" s="110">
        <v>288991.65000000002</v>
      </c>
      <c r="E2305" s="111">
        <v>287888.65000000002</v>
      </c>
      <c r="F2305" s="111"/>
      <c r="G2305" s="111"/>
      <c r="H2305" s="112"/>
      <c r="I2305" s="110">
        <v>281075.65000000002</v>
      </c>
      <c r="J2305" s="111">
        <v>285504.65000000002</v>
      </c>
      <c r="K2305" s="111"/>
      <c r="L2305" s="111"/>
      <c r="M2305" s="112"/>
    </row>
    <row r="2306" spans="1:13" x14ac:dyDescent="0.2">
      <c r="A2306" s="117" t="s">
        <v>56</v>
      </c>
      <c r="B2306" s="117" t="s">
        <v>106</v>
      </c>
      <c r="C2306" s="117" t="s">
        <v>225</v>
      </c>
      <c r="D2306" s="118">
        <v>331955.71999999997</v>
      </c>
      <c r="E2306" s="119"/>
      <c r="F2306" s="119"/>
      <c r="G2306" s="119"/>
      <c r="H2306" s="120"/>
      <c r="I2306" s="118">
        <v>327000.11</v>
      </c>
      <c r="J2306" s="119"/>
      <c r="K2306" s="119"/>
      <c r="L2306" s="119"/>
      <c r="M2306" s="120"/>
    </row>
    <row r="2307" spans="1:13" x14ac:dyDescent="0.2">
      <c r="A2307" t="s">
        <v>56</v>
      </c>
      <c r="B2307" t="s">
        <v>107</v>
      </c>
      <c r="C2307" t="s">
        <v>222</v>
      </c>
      <c r="D2307" s="110">
        <v>437972.59</v>
      </c>
      <c r="E2307" s="111">
        <v>437657.59</v>
      </c>
      <c r="F2307" s="111">
        <v>437317.59</v>
      </c>
      <c r="G2307" s="111">
        <v>437317.59</v>
      </c>
      <c r="H2307" s="112"/>
      <c r="I2307" s="110">
        <v>436329.09</v>
      </c>
      <c r="J2307" s="111">
        <v>436815.09</v>
      </c>
      <c r="K2307" s="111">
        <v>436925.09</v>
      </c>
      <c r="L2307" s="111">
        <v>437225.09</v>
      </c>
      <c r="M2307" s="112"/>
    </row>
    <row r="2308" spans="1:13" x14ac:dyDescent="0.2">
      <c r="A2308" s="113" t="s">
        <v>56</v>
      </c>
      <c r="B2308" s="113" t="s">
        <v>107</v>
      </c>
      <c r="C2308" s="113" t="s">
        <v>223</v>
      </c>
      <c r="D2308" s="114">
        <v>480885.36</v>
      </c>
      <c r="E2308" s="115">
        <v>477019.36</v>
      </c>
      <c r="F2308" s="115">
        <v>476587.36</v>
      </c>
      <c r="G2308" s="115"/>
      <c r="H2308" s="116"/>
      <c r="I2308" s="114">
        <v>469733.86</v>
      </c>
      <c r="J2308" s="115">
        <v>470516.86</v>
      </c>
      <c r="K2308" s="115">
        <v>470546.86</v>
      </c>
      <c r="L2308" s="115"/>
      <c r="M2308" s="116"/>
    </row>
    <row r="2309" spans="1:13" x14ac:dyDescent="0.2">
      <c r="A2309" t="s">
        <v>56</v>
      </c>
      <c r="B2309" t="s">
        <v>107</v>
      </c>
      <c r="C2309" t="s">
        <v>224</v>
      </c>
      <c r="D2309" s="110">
        <v>243870.85</v>
      </c>
      <c r="E2309" s="111">
        <v>243100.85</v>
      </c>
      <c r="F2309" s="111"/>
      <c r="G2309" s="111"/>
      <c r="H2309" s="112"/>
      <c r="I2309" s="110">
        <v>241672.85</v>
      </c>
      <c r="J2309" s="111">
        <v>242300.85</v>
      </c>
      <c r="K2309" s="111"/>
      <c r="L2309" s="111"/>
      <c r="M2309" s="112"/>
    </row>
    <row r="2310" spans="1:13" x14ac:dyDescent="0.2">
      <c r="A2310" s="117" t="s">
        <v>56</v>
      </c>
      <c r="B2310" s="117" t="s">
        <v>107</v>
      </c>
      <c r="C2310" s="117" t="s">
        <v>225</v>
      </c>
      <c r="D2310" s="118">
        <v>369840.16</v>
      </c>
      <c r="E2310" s="119"/>
      <c r="F2310" s="119"/>
      <c r="G2310" s="119"/>
      <c r="H2310" s="120"/>
      <c r="I2310" s="118">
        <v>366842.16</v>
      </c>
      <c r="J2310" s="119"/>
      <c r="K2310" s="119"/>
      <c r="L2310" s="119"/>
      <c r="M2310" s="120"/>
    </row>
    <row r="2311" spans="1:13" x14ac:dyDescent="0.2">
      <c r="A2311" t="s">
        <v>56</v>
      </c>
      <c r="B2311" t="s">
        <v>108</v>
      </c>
      <c r="C2311" t="s">
        <v>222</v>
      </c>
      <c r="D2311" s="110">
        <v>219716.26</v>
      </c>
      <c r="E2311" s="111">
        <v>216847.26</v>
      </c>
      <c r="F2311" s="111">
        <v>216847.26</v>
      </c>
      <c r="G2311" s="111">
        <v>216447.26</v>
      </c>
      <c r="H2311" s="112"/>
      <c r="I2311" s="110">
        <v>208412.26</v>
      </c>
      <c r="J2311" s="111">
        <v>211861.26</v>
      </c>
      <c r="K2311" s="111">
        <v>214154.26</v>
      </c>
      <c r="L2311" s="111">
        <v>214735.26</v>
      </c>
      <c r="M2311" s="112"/>
    </row>
    <row r="2312" spans="1:13" x14ac:dyDescent="0.2">
      <c r="A2312" s="113" t="s">
        <v>56</v>
      </c>
      <c r="B2312" s="113" t="s">
        <v>108</v>
      </c>
      <c r="C2312" s="113" t="s">
        <v>223</v>
      </c>
      <c r="D2312" s="114">
        <v>232079</v>
      </c>
      <c r="E2312" s="115">
        <v>229272</v>
      </c>
      <c r="F2312" s="115">
        <v>228641</v>
      </c>
      <c r="G2312" s="115"/>
      <c r="H2312" s="116"/>
      <c r="I2312" s="114">
        <v>220639</v>
      </c>
      <c r="J2312" s="115">
        <v>225086</v>
      </c>
      <c r="K2312" s="115">
        <v>226179</v>
      </c>
      <c r="L2312" s="115"/>
      <c r="M2312" s="116"/>
    </row>
    <row r="2313" spans="1:13" x14ac:dyDescent="0.2">
      <c r="A2313" t="s">
        <v>56</v>
      </c>
      <c r="B2313" t="s">
        <v>108</v>
      </c>
      <c r="C2313" t="s">
        <v>224</v>
      </c>
      <c r="D2313" s="110">
        <v>221783.25</v>
      </c>
      <c r="E2313" s="111">
        <v>218393.25</v>
      </c>
      <c r="F2313" s="111"/>
      <c r="G2313" s="111"/>
      <c r="H2313" s="112"/>
      <c r="I2313" s="110">
        <v>214075.75</v>
      </c>
      <c r="J2313" s="111">
        <v>216390.43</v>
      </c>
      <c r="K2313" s="111"/>
      <c r="L2313" s="111"/>
      <c r="M2313" s="112"/>
    </row>
    <row r="2314" spans="1:13" x14ac:dyDescent="0.2">
      <c r="A2314" s="117" t="s">
        <v>56</v>
      </c>
      <c r="B2314" s="117" t="s">
        <v>108</v>
      </c>
      <c r="C2314" s="117" t="s">
        <v>225</v>
      </c>
      <c r="D2314" s="118">
        <v>240035.77</v>
      </c>
      <c r="E2314" s="119"/>
      <c r="F2314" s="119"/>
      <c r="G2314" s="119"/>
      <c r="H2314" s="120"/>
      <c r="I2314" s="118">
        <v>232711.59</v>
      </c>
      <c r="J2314" s="119"/>
      <c r="K2314" s="119"/>
      <c r="L2314" s="119"/>
      <c r="M2314" s="120"/>
    </row>
    <row r="2315" spans="1:13" x14ac:dyDescent="0.2">
      <c r="A2315" t="s">
        <v>56</v>
      </c>
      <c r="B2315" t="s">
        <v>70</v>
      </c>
      <c r="C2315" t="s">
        <v>222</v>
      </c>
      <c r="D2315" s="110">
        <v>178738.95</v>
      </c>
      <c r="E2315" s="111">
        <v>177709.45</v>
      </c>
      <c r="F2315" s="111">
        <v>177699.45</v>
      </c>
      <c r="G2315" s="111">
        <v>177699.45</v>
      </c>
      <c r="H2315" s="112"/>
      <c r="I2315" s="110">
        <v>173546.95</v>
      </c>
      <c r="J2315" s="111">
        <v>174541.45</v>
      </c>
      <c r="K2315" s="111">
        <v>175223.95</v>
      </c>
      <c r="L2315" s="111">
        <v>175741.95</v>
      </c>
      <c r="M2315" s="112"/>
    </row>
    <row r="2316" spans="1:13" x14ac:dyDescent="0.2">
      <c r="A2316" s="113" t="s">
        <v>56</v>
      </c>
      <c r="B2316" s="113" t="s">
        <v>70</v>
      </c>
      <c r="C2316" s="113" t="s">
        <v>223</v>
      </c>
      <c r="D2316" s="114">
        <v>179489</v>
      </c>
      <c r="E2316" s="115">
        <v>174926.5</v>
      </c>
      <c r="F2316" s="115">
        <v>174581.5</v>
      </c>
      <c r="G2316" s="115"/>
      <c r="H2316" s="116"/>
      <c r="I2316" s="114">
        <v>169305.5</v>
      </c>
      <c r="J2316" s="115">
        <v>170979.5</v>
      </c>
      <c r="K2316" s="115">
        <v>171845</v>
      </c>
      <c r="L2316" s="115"/>
      <c r="M2316" s="116"/>
    </row>
    <row r="2317" spans="1:13" x14ac:dyDescent="0.2">
      <c r="A2317" t="s">
        <v>56</v>
      </c>
      <c r="B2317" t="s">
        <v>70</v>
      </c>
      <c r="C2317" t="s">
        <v>224</v>
      </c>
      <c r="D2317" s="110">
        <v>152714.15</v>
      </c>
      <c r="E2317" s="111">
        <v>147824.65</v>
      </c>
      <c r="F2317" s="111"/>
      <c r="G2317" s="111"/>
      <c r="H2317" s="112"/>
      <c r="I2317" s="110">
        <v>140382.65</v>
      </c>
      <c r="J2317" s="111">
        <v>142386.65</v>
      </c>
      <c r="K2317" s="111"/>
      <c r="L2317" s="111"/>
      <c r="M2317" s="112"/>
    </row>
    <row r="2318" spans="1:13" x14ac:dyDescent="0.2">
      <c r="A2318" s="117" t="s">
        <v>56</v>
      </c>
      <c r="B2318" s="117" t="s">
        <v>70</v>
      </c>
      <c r="C2318" s="117" t="s">
        <v>225</v>
      </c>
      <c r="D2318" s="118">
        <v>186923.28</v>
      </c>
      <c r="E2318" s="119"/>
      <c r="F2318" s="119"/>
      <c r="G2318" s="119"/>
      <c r="H2318" s="120"/>
      <c r="I2318" s="118">
        <v>176427.28</v>
      </c>
      <c r="J2318" s="119"/>
      <c r="K2318" s="119"/>
      <c r="L2318" s="119"/>
      <c r="M2318" s="120"/>
    </row>
    <row r="2319" spans="1:13" x14ac:dyDescent="0.2">
      <c r="A2319" t="s">
        <v>56</v>
      </c>
      <c r="B2319" t="s">
        <v>110</v>
      </c>
      <c r="C2319" t="s">
        <v>222</v>
      </c>
      <c r="D2319" s="110">
        <v>1747074.1</v>
      </c>
      <c r="E2319" s="111">
        <v>1661655.67</v>
      </c>
      <c r="F2319" s="111">
        <v>1656281.17</v>
      </c>
      <c r="G2319" s="111">
        <v>1652535.37</v>
      </c>
      <c r="H2319" s="112"/>
      <c r="I2319" s="110">
        <v>878272.54</v>
      </c>
      <c r="J2319" s="111">
        <v>1268269.51</v>
      </c>
      <c r="K2319" s="111">
        <v>1344478.47</v>
      </c>
      <c r="L2319" s="111">
        <v>1405503.38</v>
      </c>
      <c r="M2319" s="112"/>
    </row>
    <row r="2320" spans="1:13" x14ac:dyDescent="0.2">
      <c r="A2320" s="113" t="s">
        <v>56</v>
      </c>
      <c r="B2320" s="113" t="s">
        <v>110</v>
      </c>
      <c r="C2320" s="113" t="s">
        <v>223</v>
      </c>
      <c r="D2320" s="114">
        <v>1586617.22</v>
      </c>
      <c r="E2320" s="115">
        <v>1545225.92</v>
      </c>
      <c r="F2320" s="115">
        <v>1523536.32</v>
      </c>
      <c r="G2320" s="115"/>
      <c r="H2320" s="116"/>
      <c r="I2320" s="114">
        <v>891990.53</v>
      </c>
      <c r="J2320" s="115">
        <v>1130506.69</v>
      </c>
      <c r="K2320" s="115">
        <v>1251057.23</v>
      </c>
      <c r="L2320" s="115"/>
      <c r="M2320" s="116"/>
    </row>
    <row r="2321" spans="1:13" x14ac:dyDescent="0.2">
      <c r="A2321" t="s">
        <v>56</v>
      </c>
      <c r="B2321" t="s">
        <v>110</v>
      </c>
      <c r="C2321" t="s">
        <v>224</v>
      </c>
      <c r="D2321" s="110">
        <v>955494.7</v>
      </c>
      <c r="E2321" s="111">
        <v>894796.80000000005</v>
      </c>
      <c r="F2321" s="111"/>
      <c r="G2321" s="111"/>
      <c r="H2321" s="112"/>
      <c r="I2321" s="110">
        <v>445987.81</v>
      </c>
      <c r="J2321" s="111">
        <v>709867.37</v>
      </c>
      <c r="K2321" s="111"/>
      <c r="L2321" s="111"/>
      <c r="M2321" s="112"/>
    </row>
    <row r="2322" spans="1:13" ht="13.5" thickBot="1" x14ac:dyDescent="0.25">
      <c r="A2322" s="128" t="s">
        <v>56</v>
      </c>
      <c r="B2322" s="128" t="s">
        <v>110</v>
      </c>
      <c r="C2322" s="128" t="s">
        <v>225</v>
      </c>
      <c r="D2322" s="129">
        <v>1653658.65</v>
      </c>
      <c r="E2322" s="130"/>
      <c r="F2322" s="130"/>
      <c r="G2322" s="130"/>
      <c r="H2322" s="131"/>
      <c r="I2322" s="129">
        <v>837310.61</v>
      </c>
      <c r="J2322" s="130"/>
      <c r="K2322" s="130"/>
      <c r="L2322" s="130"/>
      <c r="M2322" s="131"/>
    </row>
    <row r="2323" spans="1:13" x14ac:dyDescent="0.2">
      <c r="A2323" s="132" t="s">
        <v>57</v>
      </c>
      <c r="B2323" s="132" t="s">
        <v>104</v>
      </c>
      <c r="C2323" s="132" t="s">
        <v>222</v>
      </c>
      <c r="D2323" s="133">
        <v>2033579.48</v>
      </c>
      <c r="E2323" s="134">
        <v>2033579.48</v>
      </c>
      <c r="F2323" s="134">
        <v>2033579.48</v>
      </c>
      <c r="G2323" s="134">
        <v>2033579.48</v>
      </c>
      <c r="H2323" s="135"/>
      <c r="I2323" s="133">
        <v>53115.06</v>
      </c>
      <c r="J2323" s="134">
        <v>102520.59</v>
      </c>
      <c r="K2323" s="134">
        <v>132637.98000000001</v>
      </c>
      <c r="L2323" s="134">
        <v>176428.39</v>
      </c>
      <c r="M2323" s="135"/>
    </row>
    <row r="2324" spans="1:13" x14ac:dyDescent="0.2">
      <c r="A2324" s="113" t="s">
        <v>57</v>
      </c>
      <c r="B2324" s="113" t="s">
        <v>104</v>
      </c>
      <c r="C2324" s="113" t="s">
        <v>223</v>
      </c>
      <c r="D2324" s="114">
        <v>1189888.6399999999</v>
      </c>
      <c r="E2324" s="115">
        <v>1189888.6399999999</v>
      </c>
      <c r="F2324" s="115">
        <v>1189888.6399999999</v>
      </c>
      <c r="G2324" s="115"/>
      <c r="H2324" s="116"/>
      <c r="I2324" s="114">
        <v>52390.74</v>
      </c>
      <c r="J2324" s="115">
        <v>92671.84</v>
      </c>
      <c r="K2324" s="115">
        <v>129379.16</v>
      </c>
      <c r="L2324" s="115"/>
      <c r="M2324" s="116"/>
    </row>
    <row r="2325" spans="1:13" x14ac:dyDescent="0.2">
      <c r="A2325" t="s">
        <v>57</v>
      </c>
      <c r="B2325" t="s">
        <v>104</v>
      </c>
      <c r="C2325" t="s">
        <v>224</v>
      </c>
      <c r="D2325" s="110">
        <v>350738.32</v>
      </c>
      <c r="E2325" s="111">
        <v>350738.32</v>
      </c>
      <c r="F2325" s="111"/>
      <c r="G2325" s="111"/>
      <c r="H2325" s="112"/>
      <c r="I2325" s="110">
        <v>14934.19</v>
      </c>
      <c r="J2325" s="111">
        <v>29854.240000000002</v>
      </c>
      <c r="K2325" s="111"/>
      <c r="L2325" s="111"/>
      <c r="M2325" s="112"/>
    </row>
    <row r="2326" spans="1:13" x14ac:dyDescent="0.2">
      <c r="A2326" s="117" t="s">
        <v>57</v>
      </c>
      <c r="B2326" s="117" t="s">
        <v>104</v>
      </c>
      <c r="C2326" s="117" t="s">
        <v>225</v>
      </c>
      <c r="D2326" s="118">
        <v>1571215.42</v>
      </c>
      <c r="E2326" s="119"/>
      <c r="F2326" s="119"/>
      <c r="G2326" s="119"/>
      <c r="H2326" s="120"/>
      <c r="I2326" s="118">
        <v>43819.81</v>
      </c>
      <c r="J2326" s="119"/>
      <c r="K2326" s="119"/>
      <c r="L2326" s="119"/>
      <c r="M2326" s="120"/>
    </row>
    <row r="2327" spans="1:13" x14ac:dyDescent="0.2">
      <c r="A2327" t="s">
        <v>57</v>
      </c>
      <c r="B2327" t="s">
        <v>140</v>
      </c>
      <c r="C2327" t="s">
        <v>222</v>
      </c>
      <c r="D2327" s="110">
        <v>1282018.43</v>
      </c>
      <c r="E2327" s="111">
        <v>1282018.43</v>
      </c>
      <c r="F2327" s="111">
        <v>1282018.43</v>
      </c>
      <c r="G2327" s="111">
        <v>1282018.43</v>
      </c>
      <c r="H2327" s="112"/>
      <c r="I2327" s="110">
        <v>101</v>
      </c>
      <c r="J2327" s="111">
        <v>280.75</v>
      </c>
      <c r="K2327" s="111">
        <v>484.04</v>
      </c>
      <c r="L2327" s="111">
        <v>757.86</v>
      </c>
      <c r="M2327" s="112"/>
    </row>
    <row r="2328" spans="1:13" x14ac:dyDescent="0.2">
      <c r="A2328" s="113" t="s">
        <v>57</v>
      </c>
      <c r="B2328" s="113" t="s">
        <v>140</v>
      </c>
      <c r="C2328" s="113" t="s">
        <v>223</v>
      </c>
      <c r="D2328" s="114">
        <v>642481.77</v>
      </c>
      <c r="E2328" s="115">
        <v>642481.77</v>
      </c>
      <c r="F2328" s="115">
        <v>642481.77</v>
      </c>
      <c r="G2328" s="115"/>
      <c r="H2328" s="116"/>
      <c r="I2328" s="114">
        <v>290.02999999999997</v>
      </c>
      <c r="J2328" s="115">
        <v>753.34</v>
      </c>
      <c r="K2328" s="115">
        <v>1048.3399999999999</v>
      </c>
      <c r="L2328" s="115"/>
      <c r="M2328" s="116"/>
    </row>
    <row r="2329" spans="1:13" x14ac:dyDescent="0.2">
      <c r="A2329" t="s">
        <v>57</v>
      </c>
      <c r="B2329" t="s">
        <v>140</v>
      </c>
      <c r="C2329" t="s">
        <v>224</v>
      </c>
      <c r="D2329" s="110">
        <v>52621.84</v>
      </c>
      <c r="E2329" s="111">
        <v>52621.84</v>
      </c>
      <c r="F2329" s="111"/>
      <c r="G2329" s="111"/>
      <c r="H2329" s="112"/>
      <c r="I2329" s="110">
        <v>0</v>
      </c>
      <c r="J2329" s="111">
        <v>0.09</v>
      </c>
      <c r="K2329" s="111"/>
      <c r="L2329" s="111"/>
      <c r="M2329" s="112"/>
    </row>
    <row r="2330" spans="1:13" x14ac:dyDescent="0.2">
      <c r="A2330" s="117" t="s">
        <v>57</v>
      </c>
      <c r="B2330" s="117" t="s">
        <v>140</v>
      </c>
      <c r="C2330" s="117" t="s">
        <v>225</v>
      </c>
      <c r="D2330" s="118">
        <v>1110624.49</v>
      </c>
      <c r="E2330" s="119"/>
      <c r="F2330" s="119"/>
      <c r="G2330" s="119"/>
      <c r="H2330" s="120"/>
      <c r="I2330" s="118">
        <v>42.06</v>
      </c>
      <c r="J2330" s="119"/>
      <c r="K2330" s="119"/>
      <c r="L2330" s="119"/>
      <c r="M2330" s="120"/>
    </row>
    <row r="2331" spans="1:13" x14ac:dyDescent="0.2">
      <c r="A2331" t="s">
        <v>57</v>
      </c>
      <c r="B2331" t="s">
        <v>105</v>
      </c>
      <c r="C2331" t="s">
        <v>222</v>
      </c>
      <c r="D2331" s="110">
        <v>410653.45</v>
      </c>
      <c r="E2331" s="111">
        <v>410653.45</v>
      </c>
      <c r="F2331" s="111">
        <v>410653.45</v>
      </c>
      <c r="G2331" s="111">
        <v>410653.45</v>
      </c>
      <c r="H2331" s="112"/>
      <c r="I2331" s="110">
        <v>71551.72</v>
      </c>
      <c r="J2331" s="111">
        <v>136074.32</v>
      </c>
      <c r="K2331" s="111">
        <v>163297.85999999999</v>
      </c>
      <c r="L2331" s="111">
        <v>185725.73</v>
      </c>
      <c r="M2331" s="112"/>
    </row>
    <row r="2332" spans="1:13" x14ac:dyDescent="0.2">
      <c r="A2332" s="113" t="s">
        <v>57</v>
      </c>
      <c r="B2332" s="113" t="s">
        <v>105</v>
      </c>
      <c r="C2332" s="113" t="s">
        <v>223</v>
      </c>
      <c r="D2332" s="114">
        <v>373299.52</v>
      </c>
      <c r="E2332" s="115">
        <v>373299.52</v>
      </c>
      <c r="F2332" s="115">
        <v>373299.52</v>
      </c>
      <c r="G2332" s="115"/>
      <c r="H2332" s="116"/>
      <c r="I2332" s="114">
        <v>94062.3</v>
      </c>
      <c r="J2332" s="115">
        <v>137460.10999999999</v>
      </c>
      <c r="K2332" s="115">
        <v>166458.85</v>
      </c>
      <c r="L2332" s="115"/>
      <c r="M2332" s="116"/>
    </row>
    <row r="2333" spans="1:13" x14ac:dyDescent="0.2">
      <c r="A2333" t="s">
        <v>57</v>
      </c>
      <c r="B2333" t="s">
        <v>105</v>
      </c>
      <c r="C2333" t="s">
        <v>224</v>
      </c>
      <c r="D2333" s="110">
        <v>152542.53</v>
      </c>
      <c r="E2333" s="111">
        <v>152542.53</v>
      </c>
      <c r="F2333" s="111"/>
      <c r="G2333" s="111"/>
      <c r="H2333" s="112"/>
      <c r="I2333" s="110">
        <v>22907.48</v>
      </c>
      <c r="J2333" s="111">
        <v>44290.6</v>
      </c>
      <c r="K2333" s="111"/>
      <c r="L2333" s="111"/>
      <c r="M2333" s="112"/>
    </row>
    <row r="2334" spans="1:13" x14ac:dyDescent="0.2">
      <c r="A2334" s="117" t="s">
        <v>57</v>
      </c>
      <c r="B2334" s="117" t="s">
        <v>105</v>
      </c>
      <c r="C2334" s="117" t="s">
        <v>225</v>
      </c>
      <c r="D2334" s="118">
        <v>241343.39</v>
      </c>
      <c r="E2334" s="119"/>
      <c r="F2334" s="119"/>
      <c r="G2334" s="119"/>
      <c r="H2334" s="120"/>
      <c r="I2334" s="118">
        <v>53648.56</v>
      </c>
      <c r="J2334" s="119"/>
      <c r="K2334" s="119"/>
      <c r="L2334" s="119"/>
      <c r="M2334" s="120"/>
    </row>
    <row r="2335" spans="1:13" x14ac:dyDescent="0.2">
      <c r="A2335" t="s">
        <v>57</v>
      </c>
      <c r="B2335" t="s">
        <v>111</v>
      </c>
      <c r="C2335" t="s">
        <v>222</v>
      </c>
      <c r="D2335" s="110">
        <v>26661.5</v>
      </c>
      <c r="E2335" s="111">
        <v>26661.5</v>
      </c>
      <c r="F2335" s="111">
        <v>26661.5</v>
      </c>
      <c r="G2335" s="111">
        <v>26661.5</v>
      </c>
      <c r="H2335" s="112"/>
      <c r="I2335" s="110">
        <v>815</v>
      </c>
      <c r="J2335" s="111">
        <v>3451.06</v>
      </c>
      <c r="K2335" s="111">
        <v>4584.68</v>
      </c>
      <c r="L2335" s="111">
        <v>6712.35</v>
      </c>
      <c r="M2335" s="112"/>
    </row>
    <row r="2336" spans="1:13" x14ac:dyDescent="0.2">
      <c r="A2336" s="113" t="s">
        <v>57</v>
      </c>
      <c r="B2336" s="113" t="s">
        <v>111</v>
      </c>
      <c r="C2336" s="113" t="s">
        <v>223</v>
      </c>
      <c r="D2336" s="114">
        <v>439613.93</v>
      </c>
      <c r="E2336" s="115">
        <v>439613.93</v>
      </c>
      <c r="F2336" s="115">
        <v>439613.93</v>
      </c>
      <c r="G2336" s="115"/>
      <c r="H2336" s="116"/>
      <c r="I2336" s="114">
        <v>5539.96</v>
      </c>
      <c r="J2336" s="115">
        <v>7111.85</v>
      </c>
      <c r="K2336" s="115">
        <v>8980.4699999999993</v>
      </c>
      <c r="L2336" s="115"/>
      <c r="M2336" s="116"/>
    </row>
    <row r="2337" spans="1:13" x14ac:dyDescent="0.2">
      <c r="A2337" t="s">
        <v>57</v>
      </c>
      <c r="B2337" t="s">
        <v>111</v>
      </c>
      <c r="C2337" t="s">
        <v>224</v>
      </c>
      <c r="D2337" s="110">
        <v>13615.95</v>
      </c>
      <c r="E2337" s="111">
        <v>13615.95</v>
      </c>
      <c r="F2337" s="111"/>
      <c r="G2337" s="111"/>
      <c r="H2337" s="112"/>
      <c r="I2337" s="110">
        <v>84</v>
      </c>
      <c r="J2337" s="111">
        <v>84</v>
      </c>
      <c r="K2337" s="111"/>
      <c r="L2337" s="111"/>
      <c r="M2337" s="112"/>
    </row>
    <row r="2338" spans="1:13" x14ac:dyDescent="0.2">
      <c r="A2338" s="117" t="s">
        <v>57</v>
      </c>
      <c r="B2338" s="117" t="s">
        <v>111</v>
      </c>
      <c r="C2338" s="117" t="s">
        <v>225</v>
      </c>
      <c r="D2338" s="118">
        <v>4685</v>
      </c>
      <c r="E2338" s="119"/>
      <c r="F2338" s="119"/>
      <c r="G2338" s="119"/>
      <c r="H2338" s="120"/>
      <c r="I2338" s="118">
        <v>1386.24</v>
      </c>
      <c r="J2338" s="119"/>
      <c r="K2338" s="119"/>
      <c r="L2338" s="119"/>
      <c r="M2338" s="120"/>
    </row>
    <row r="2339" spans="1:13" x14ac:dyDescent="0.2">
      <c r="A2339" s="124" t="s">
        <v>57</v>
      </c>
      <c r="B2339" s="124" t="s">
        <v>109</v>
      </c>
      <c r="C2339" s="124" t="s">
        <v>222</v>
      </c>
      <c r="D2339" s="125">
        <v>481577.25</v>
      </c>
      <c r="E2339" s="126">
        <v>481577.25</v>
      </c>
      <c r="F2339" s="126">
        <v>481577.25</v>
      </c>
      <c r="G2339" s="126">
        <v>481577.25</v>
      </c>
      <c r="H2339" s="127"/>
      <c r="I2339" s="125">
        <v>158646.78</v>
      </c>
      <c r="J2339" s="126">
        <v>251244.21</v>
      </c>
      <c r="K2339" s="126">
        <v>292260.67</v>
      </c>
      <c r="L2339" s="126">
        <v>324193.71000000002</v>
      </c>
      <c r="M2339" s="127"/>
    </row>
    <row r="2340" spans="1:13" x14ac:dyDescent="0.2">
      <c r="A2340" s="113" t="s">
        <v>57</v>
      </c>
      <c r="B2340" s="113" t="s">
        <v>109</v>
      </c>
      <c r="C2340" s="113" t="s">
        <v>223</v>
      </c>
      <c r="D2340" s="114">
        <v>316956.43</v>
      </c>
      <c r="E2340" s="115">
        <v>316956.43</v>
      </c>
      <c r="F2340" s="115">
        <v>316956.43</v>
      </c>
      <c r="G2340" s="115"/>
      <c r="H2340" s="116"/>
      <c r="I2340" s="114">
        <v>120184.8</v>
      </c>
      <c r="J2340" s="115">
        <v>172412.41</v>
      </c>
      <c r="K2340" s="115">
        <v>206984.03</v>
      </c>
      <c r="L2340" s="115"/>
      <c r="M2340" s="116"/>
    </row>
    <row r="2341" spans="1:13" x14ac:dyDescent="0.2">
      <c r="A2341" t="s">
        <v>57</v>
      </c>
      <c r="B2341" t="s">
        <v>109</v>
      </c>
      <c r="C2341" t="s">
        <v>224</v>
      </c>
      <c r="D2341" s="110">
        <v>158585.53</v>
      </c>
      <c r="E2341" s="111">
        <v>158585.53</v>
      </c>
      <c r="F2341" s="111"/>
      <c r="G2341" s="111"/>
      <c r="H2341" s="112"/>
      <c r="I2341" s="110">
        <v>44444.15</v>
      </c>
      <c r="J2341" s="111">
        <v>72852.789999999994</v>
      </c>
      <c r="K2341" s="111"/>
      <c r="L2341" s="111"/>
      <c r="M2341" s="112"/>
    </row>
    <row r="2342" spans="1:13" x14ac:dyDescent="0.2">
      <c r="A2342" s="117" t="s">
        <v>57</v>
      </c>
      <c r="B2342" s="117" t="s">
        <v>109</v>
      </c>
      <c r="C2342" s="117" t="s">
        <v>225</v>
      </c>
      <c r="D2342" s="118">
        <v>277634.58</v>
      </c>
      <c r="E2342" s="119"/>
      <c r="F2342" s="119"/>
      <c r="G2342" s="119"/>
      <c r="H2342" s="120"/>
      <c r="I2342" s="118">
        <v>118702</v>
      </c>
      <c r="J2342" s="119"/>
      <c r="K2342" s="119"/>
      <c r="L2342" s="119"/>
      <c r="M2342" s="120"/>
    </row>
    <row r="2343" spans="1:13" x14ac:dyDescent="0.2">
      <c r="A2343" t="s">
        <v>57</v>
      </c>
      <c r="B2343" t="s">
        <v>106</v>
      </c>
      <c r="C2343" t="s">
        <v>222</v>
      </c>
      <c r="D2343" s="110">
        <v>461753</v>
      </c>
      <c r="E2343" s="111">
        <v>461753</v>
      </c>
      <c r="F2343" s="111">
        <v>461753</v>
      </c>
      <c r="G2343" s="111">
        <v>461753</v>
      </c>
      <c r="H2343" s="112"/>
      <c r="I2343" s="110">
        <v>461583</v>
      </c>
      <c r="J2343" s="111">
        <v>461583</v>
      </c>
      <c r="K2343" s="111">
        <v>461583</v>
      </c>
      <c r="L2343" s="111">
        <v>461583</v>
      </c>
      <c r="M2343" s="112"/>
    </row>
    <row r="2344" spans="1:13" x14ac:dyDescent="0.2">
      <c r="A2344" s="113" t="s">
        <v>57</v>
      </c>
      <c r="B2344" s="113" t="s">
        <v>106</v>
      </c>
      <c r="C2344" s="113" t="s">
        <v>223</v>
      </c>
      <c r="D2344" s="114">
        <v>402036</v>
      </c>
      <c r="E2344" s="115">
        <v>402036</v>
      </c>
      <c r="F2344" s="115">
        <v>402036</v>
      </c>
      <c r="G2344" s="115"/>
      <c r="H2344" s="116"/>
      <c r="I2344" s="114">
        <v>402036</v>
      </c>
      <c r="J2344" s="115">
        <v>402036</v>
      </c>
      <c r="K2344" s="115">
        <v>402036</v>
      </c>
      <c r="L2344" s="115"/>
      <c r="M2344" s="116"/>
    </row>
    <row r="2345" spans="1:13" x14ac:dyDescent="0.2">
      <c r="A2345" t="s">
        <v>57</v>
      </c>
      <c r="B2345" t="s">
        <v>106</v>
      </c>
      <c r="C2345" t="s">
        <v>224</v>
      </c>
      <c r="D2345" s="110">
        <v>311282.5</v>
      </c>
      <c r="E2345" s="111">
        <v>311282.5</v>
      </c>
      <c r="F2345" s="111"/>
      <c r="G2345" s="111"/>
      <c r="H2345" s="112"/>
      <c r="I2345" s="110">
        <v>311282.5</v>
      </c>
      <c r="J2345" s="111">
        <v>311282.5</v>
      </c>
      <c r="K2345" s="111"/>
      <c r="L2345" s="111"/>
      <c r="M2345" s="112"/>
    </row>
    <row r="2346" spans="1:13" x14ac:dyDescent="0.2">
      <c r="A2346" s="117" t="s">
        <v>57</v>
      </c>
      <c r="B2346" s="117" t="s">
        <v>106</v>
      </c>
      <c r="C2346" s="117" t="s">
        <v>225</v>
      </c>
      <c r="D2346" s="118">
        <v>338131.5</v>
      </c>
      <c r="E2346" s="119"/>
      <c r="F2346" s="119"/>
      <c r="G2346" s="119"/>
      <c r="H2346" s="120"/>
      <c r="I2346" s="118">
        <v>338131.5</v>
      </c>
      <c r="J2346" s="119"/>
      <c r="K2346" s="119"/>
      <c r="L2346" s="119"/>
      <c r="M2346" s="120"/>
    </row>
    <row r="2347" spans="1:13" x14ac:dyDescent="0.2">
      <c r="A2347" t="s">
        <v>57</v>
      </c>
      <c r="B2347" t="s">
        <v>107</v>
      </c>
      <c r="C2347" t="s">
        <v>222</v>
      </c>
      <c r="D2347" s="110">
        <v>564745</v>
      </c>
      <c r="E2347" s="111">
        <v>564745</v>
      </c>
      <c r="F2347" s="111">
        <v>564745</v>
      </c>
      <c r="G2347" s="111">
        <v>564745</v>
      </c>
      <c r="H2347" s="112"/>
      <c r="I2347" s="110">
        <v>564745</v>
      </c>
      <c r="J2347" s="111">
        <v>564745</v>
      </c>
      <c r="K2347" s="111">
        <v>564745</v>
      </c>
      <c r="L2347" s="111">
        <v>564745</v>
      </c>
      <c r="M2347" s="112"/>
    </row>
    <row r="2348" spans="1:13" x14ac:dyDescent="0.2">
      <c r="A2348" s="113" t="s">
        <v>57</v>
      </c>
      <c r="B2348" s="113" t="s">
        <v>107</v>
      </c>
      <c r="C2348" s="113" t="s">
        <v>223</v>
      </c>
      <c r="D2348" s="114">
        <v>637437.5</v>
      </c>
      <c r="E2348" s="115">
        <v>637437.5</v>
      </c>
      <c r="F2348" s="115">
        <v>637437.5</v>
      </c>
      <c r="G2348" s="115"/>
      <c r="H2348" s="116"/>
      <c r="I2348" s="114">
        <v>637437.5</v>
      </c>
      <c r="J2348" s="115">
        <v>637437.5</v>
      </c>
      <c r="K2348" s="115">
        <v>637437.5</v>
      </c>
      <c r="L2348" s="115"/>
      <c r="M2348" s="116"/>
    </row>
    <row r="2349" spans="1:13" x14ac:dyDescent="0.2">
      <c r="A2349" t="s">
        <v>57</v>
      </c>
      <c r="B2349" t="s">
        <v>107</v>
      </c>
      <c r="C2349" t="s">
        <v>224</v>
      </c>
      <c r="D2349" s="110">
        <v>329640</v>
      </c>
      <c r="E2349" s="111">
        <v>329640</v>
      </c>
      <c r="F2349" s="111"/>
      <c r="G2349" s="111"/>
      <c r="H2349" s="112"/>
      <c r="I2349" s="110">
        <v>329640</v>
      </c>
      <c r="J2349" s="111">
        <v>329640</v>
      </c>
      <c r="K2349" s="111"/>
      <c r="L2349" s="111"/>
      <c r="M2349" s="112"/>
    </row>
    <row r="2350" spans="1:13" x14ac:dyDescent="0.2">
      <c r="A2350" s="117" t="s">
        <v>57</v>
      </c>
      <c r="B2350" s="117" t="s">
        <v>107</v>
      </c>
      <c r="C2350" s="117" t="s">
        <v>225</v>
      </c>
      <c r="D2350" s="118">
        <v>462560</v>
      </c>
      <c r="E2350" s="119"/>
      <c r="F2350" s="119"/>
      <c r="G2350" s="119"/>
      <c r="H2350" s="120"/>
      <c r="I2350" s="118">
        <v>462490</v>
      </c>
      <c r="J2350" s="119"/>
      <c r="K2350" s="119"/>
      <c r="L2350" s="119"/>
      <c r="M2350" s="120"/>
    </row>
    <row r="2351" spans="1:13" x14ac:dyDescent="0.2">
      <c r="A2351" t="s">
        <v>57</v>
      </c>
      <c r="B2351" t="s">
        <v>108</v>
      </c>
      <c r="C2351" t="s">
        <v>222</v>
      </c>
      <c r="D2351" s="110">
        <v>111169</v>
      </c>
      <c r="E2351" s="111">
        <v>111169</v>
      </c>
      <c r="F2351" s="111">
        <v>111169</v>
      </c>
      <c r="G2351" s="111">
        <v>111169</v>
      </c>
      <c r="H2351" s="112"/>
      <c r="I2351" s="110">
        <v>111169</v>
      </c>
      <c r="J2351" s="111">
        <v>111169</v>
      </c>
      <c r="K2351" s="111">
        <v>111169</v>
      </c>
      <c r="L2351" s="111">
        <v>111169</v>
      </c>
      <c r="M2351" s="112"/>
    </row>
    <row r="2352" spans="1:13" x14ac:dyDescent="0.2">
      <c r="A2352" s="113" t="s">
        <v>57</v>
      </c>
      <c r="B2352" s="113" t="s">
        <v>108</v>
      </c>
      <c r="C2352" s="113" t="s">
        <v>223</v>
      </c>
      <c r="D2352" s="114">
        <v>112862.5</v>
      </c>
      <c r="E2352" s="115">
        <v>112862.5</v>
      </c>
      <c r="F2352" s="115">
        <v>112862.5</v>
      </c>
      <c r="G2352" s="115"/>
      <c r="H2352" s="116"/>
      <c r="I2352" s="114">
        <v>112917.5</v>
      </c>
      <c r="J2352" s="115">
        <v>112917.5</v>
      </c>
      <c r="K2352" s="115">
        <v>112917.5</v>
      </c>
      <c r="L2352" s="115"/>
      <c r="M2352" s="116"/>
    </row>
    <row r="2353" spans="1:13" x14ac:dyDescent="0.2">
      <c r="A2353" t="s">
        <v>57</v>
      </c>
      <c r="B2353" t="s">
        <v>108</v>
      </c>
      <c r="C2353" t="s">
        <v>224</v>
      </c>
      <c r="D2353" s="110">
        <v>101167</v>
      </c>
      <c r="E2353" s="111">
        <v>101167</v>
      </c>
      <c r="F2353" s="111"/>
      <c r="G2353" s="111"/>
      <c r="H2353" s="112"/>
      <c r="I2353" s="110">
        <v>101167</v>
      </c>
      <c r="J2353" s="111">
        <v>101167</v>
      </c>
      <c r="K2353" s="111"/>
      <c r="L2353" s="111"/>
      <c r="M2353" s="112"/>
    </row>
    <row r="2354" spans="1:13" x14ac:dyDescent="0.2">
      <c r="A2354" s="117" t="s">
        <v>57</v>
      </c>
      <c r="B2354" s="117" t="s">
        <v>108</v>
      </c>
      <c r="C2354" s="117" t="s">
        <v>225</v>
      </c>
      <c r="D2354" s="118">
        <v>111557</v>
      </c>
      <c r="E2354" s="119"/>
      <c r="F2354" s="119"/>
      <c r="G2354" s="119"/>
      <c r="H2354" s="120"/>
      <c r="I2354" s="118">
        <v>111557</v>
      </c>
      <c r="J2354" s="119"/>
      <c r="K2354" s="119"/>
      <c r="L2354" s="119"/>
      <c r="M2354" s="120"/>
    </row>
    <row r="2355" spans="1:13" x14ac:dyDescent="0.2">
      <c r="A2355" t="s">
        <v>57</v>
      </c>
      <c r="B2355" t="s">
        <v>70</v>
      </c>
      <c r="C2355" t="s">
        <v>222</v>
      </c>
      <c r="D2355" s="110">
        <v>207887.5</v>
      </c>
      <c r="E2355" s="111">
        <v>207887.5</v>
      </c>
      <c r="F2355" s="111">
        <v>207887.5</v>
      </c>
      <c r="G2355" s="111">
        <v>207887.5</v>
      </c>
      <c r="H2355" s="112"/>
      <c r="I2355" s="110">
        <v>207297.5</v>
      </c>
      <c r="J2355" s="111">
        <v>207297.5</v>
      </c>
      <c r="K2355" s="111">
        <v>207297.5</v>
      </c>
      <c r="L2355" s="111">
        <v>207297.5</v>
      </c>
      <c r="M2355" s="112"/>
    </row>
    <row r="2356" spans="1:13" x14ac:dyDescent="0.2">
      <c r="A2356" s="113" t="s">
        <v>57</v>
      </c>
      <c r="B2356" s="113" t="s">
        <v>70</v>
      </c>
      <c r="C2356" s="113" t="s">
        <v>223</v>
      </c>
      <c r="D2356" s="114">
        <v>236943</v>
      </c>
      <c r="E2356" s="115">
        <v>236943</v>
      </c>
      <c r="F2356" s="115">
        <v>236943</v>
      </c>
      <c r="G2356" s="115"/>
      <c r="H2356" s="116"/>
      <c r="I2356" s="114">
        <v>235713</v>
      </c>
      <c r="J2356" s="115">
        <v>235713</v>
      </c>
      <c r="K2356" s="115">
        <v>235713</v>
      </c>
      <c r="L2356" s="115"/>
      <c r="M2356" s="116"/>
    </row>
    <row r="2357" spans="1:13" x14ac:dyDescent="0.2">
      <c r="A2357" t="s">
        <v>57</v>
      </c>
      <c r="B2357" t="s">
        <v>70</v>
      </c>
      <c r="C2357" t="s">
        <v>224</v>
      </c>
      <c r="D2357" s="110">
        <v>208313</v>
      </c>
      <c r="E2357" s="111">
        <v>208313</v>
      </c>
      <c r="F2357" s="111"/>
      <c r="G2357" s="111"/>
      <c r="H2357" s="112"/>
      <c r="I2357" s="110">
        <v>206835.5</v>
      </c>
      <c r="J2357" s="111">
        <v>206835.5</v>
      </c>
      <c r="K2357" s="111"/>
      <c r="L2357" s="111"/>
      <c r="M2357" s="112"/>
    </row>
    <row r="2358" spans="1:13" x14ac:dyDescent="0.2">
      <c r="A2358" s="117" t="s">
        <v>57</v>
      </c>
      <c r="B2358" s="117" t="s">
        <v>70</v>
      </c>
      <c r="C2358" s="117" t="s">
        <v>225</v>
      </c>
      <c r="D2358" s="118">
        <v>234153.5</v>
      </c>
      <c r="E2358" s="119"/>
      <c r="F2358" s="119"/>
      <c r="G2358" s="119"/>
      <c r="H2358" s="120"/>
      <c r="I2358" s="118">
        <v>233206</v>
      </c>
      <c r="J2358" s="119"/>
      <c r="K2358" s="119"/>
      <c r="L2358" s="119"/>
      <c r="M2358" s="120"/>
    </row>
    <row r="2359" spans="1:13" x14ac:dyDescent="0.2">
      <c r="A2359" t="s">
        <v>57</v>
      </c>
      <c r="B2359" t="s">
        <v>110</v>
      </c>
      <c r="C2359" t="s">
        <v>222</v>
      </c>
      <c r="D2359" s="110">
        <v>2113275.77</v>
      </c>
      <c r="E2359" s="111">
        <v>2113275.77</v>
      </c>
      <c r="F2359" s="111">
        <v>2113275.77</v>
      </c>
      <c r="G2359" s="111">
        <v>2113275.77</v>
      </c>
      <c r="H2359" s="112"/>
      <c r="I2359" s="110">
        <v>1014597.69</v>
      </c>
      <c r="J2359" s="111">
        <v>1620832.79</v>
      </c>
      <c r="K2359" s="111">
        <v>1795346.28</v>
      </c>
      <c r="L2359" s="111">
        <v>1879008.46</v>
      </c>
      <c r="M2359" s="112"/>
    </row>
    <row r="2360" spans="1:13" x14ac:dyDescent="0.2">
      <c r="A2360" s="113" t="s">
        <v>57</v>
      </c>
      <c r="B2360" s="113" t="s">
        <v>110</v>
      </c>
      <c r="C2360" s="113" t="s">
        <v>223</v>
      </c>
      <c r="D2360" s="114">
        <v>2394594.81</v>
      </c>
      <c r="E2360" s="115">
        <v>2394594.81</v>
      </c>
      <c r="F2360" s="115">
        <v>2394594.81</v>
      </c>
      <c r="G2360" s="115"/>
      <c r="H2360" s="116"/>
      <c r="I2360" s="114">
        <v>1000563.93</v>
      </c>
      <c r="J2360" s="115">
        <v>1412562.62</v>
      </c>
      <c r="K2360" s="115">
        <v>1642733.16</v>
      </c>
      <c r="L2360" s="115"/>
      <c r="M2360" s="116"/>
    </row>
    <row r="2361" spans="1:13" x14ac:dyDescent="0.2">
      <c r="A2361" t="s">
        <v>57</v>
      </c>
      <c r="B2361" t="s">
        <v>110</v>
      </c>
      <c r="C2361" t="s">
        <v>224</v>
      </c>
      <c r="D2361" s="110">
        <v>836389.24</v>
      </c>
      <c r="E2361" s="111">
        <v>836389.24</v>
      </c>
      <c r="F2361" s="111"/>
      <c r="G2361" s="111"/>
      <c r="H2361" s="112"/>
      <c r="I2361" s="110">
        <v>404968.83</v>
      </c>
      <c r="J2361" s="111">
        <v>751827.7</v>
      </c>
      <c r="K2361" s="111"/>
      <c r="L2361" s="111"/>
      <c r="M2361" s="112"/>
    </row>
    <row r="2362" spans="1:13" ht="13.5" thickBot="1" x14ac:dyDescent="0.25">
      <c r="A2362" s="128" t="s">
        <v>57</v>
      </c>
      <c r="B2362" s="128" t="s">
        <v>110</v>
      </c>
      <c r="C2362" s="128" t="s">
        <v>225</v>
      </c>
      <c r="D2362" s="129">
        <v>1704085.7</v>
      </c>
      <c r="E2362" s="130"/>
      <c r="F2362" s="130"/>
      <c r="G2362" s="130"/>
      <c r="H2362" s="131"/>
      <c r="I2362" s="129">
        <v>589150</v>
      </c>
      <c r="J2362" s="130"/>
      <c r="K2362" s="130"/>
      <c r="L2362" s="130"/>
      <c r="M2362" s="131"/>
    </row>
    <row r="2363" spans="1:13" x14ac:dyDescent="0.2">
      <c r="A2363" s="132" t="s">
        <v>60</v>
      </c>
      <c r="B2363" s="132" t="s">
        <v>104</v>
      </c>
      <c r="C2363" s="132" t="s">
        <v>222</v>
      </c>
      <c r="D2363" s="133">
        <v>523704.2</v>
      </c>
      <c r="E2363" s="134">
        <v>520526.68</v>
      </c>
      <c r="F2363" s="134">
        <v>520451.68</v>
      </c>
      <c r="G2363" s="134">
        <v>518605.9</v>
      </c>
      <c r="H2363" s="135"/>
      <c r="I2363" s="133">
        <v>37387.410000000003</v>
      </c>
      <c r="J2363" s="134">
        <v>51958.52</v>
      </c>
      <c r="K2363" s="134">
        <v>65152.23</v>
      </c>
      <c r="L2363" s="134">
        <v>74536.91</v>
      </c>
      <c r="M2363" s="135"/>
    </row>
    <row r="2364" spans="1:13" x14ac:dyDescent="0.2">
      <c r="A2364" s="113" t="s">
        <v>60</v>
      </c>
      <c r="B2364" s="113" t="s">
        <v>104</v>
      </c>
      <c r="C2364" s="113" t="s">
        <v>223</v>
      </c>
      <c r="D2364" s="114">
        <v>461245.52</v>
      </c>
      <c r="E2364" s="115">
        <v>460720.52</v>
      </c>
      <c r="F2364" s="115">
        <v>460670.52</v>
      </c>
      <c r="G2364" s="115"/>
      <c r="H2364" s="116"/>
      <c r="I2364" s="114">
        <v>24868.5</v>
      </c>
      <c r="J2364" s="115">
        <v>33898.43</v>
      </c>
      <c r="K2364" s="115">
        <v>39684.58</v>
      </c>
      <c r="L2364" s="115"/>
      <c r="M2364" s="116"/>
    </row>
    <row r="2365" spans="1:13" x14ac:dyDescent="0.2">
      <c r="A2365" t="s">
        <v>60</v>
      </c>
      <c r="B2365" t="s">
        <v>104</v>
      </c>
      <c r="C2365" t="s">
        <v>224</v>
      </c>
      <c r="D2365" s="110">
        <v>173906.88</v>
      </c>
      <c r="E2365" s="111">
        <v>172806.88</v>
      </c>
      <c r="F2365" s="111"/>
      <c r="G2365" s="111"/>
      <c r="H2365" s="112"/>
      <c r="I2365" s="110">
        <v>4517.08</v>
      </c>
      <c r="J2365" s="111">
        <v>7068.71</v>
      </c>
      <c r="K2365" s="111"/>
      <c r="L2365" s="111"/>
      <c r="M2365" s="112"/>
    </row>
    <row r="2366" spans="1:13" x14ac:dyDescent="0.2">
      <c r="A2366" s="117" t="s">
        <v>60</v>
      </c>
      <c r="B2366" s="117" t="s">
        <v>104</v>
      </c>
      <c r="C2366" s="117" t="s">
        <v>225</v>
      </c>
      <c r="D2366" s="118">
        <v>215787.37</v>
      </c>
      <c r="E2366" s="119"/>
      <c r="F2366" s="119"/>
      <c r="G2366" s="119"/>
      <c r="H2366" s="120"/>
      <c r="I2366" s="118">
        <v>10664.98</v>
      </c>
      <c r="J2366" s="119"/>
      <c r="K2366" s="119"/>
      <c r="L2366" s="119"/>
      <c r="M2366" s="120"/>
    </row>
    <row r="2367" spans="1:13" x14ac:dyDescent="0.2">
      <c r="A2367" t="s">
        <v>60</v>
      </c>
      <c r="B2367" t="s">
        <v>140</v>
      </c>
      <c r="C2367" t="s">
        <v>222</v>
      </c>
      <c r="D2367" s="110">
        <v>53337</v>
      </c>
      <c r="E2367" s="111">
        <v>53337</v>
      </c>
      <c r="F2367" s="111">
        <v>53337</v>
      </c>
      <c r="G2367" s="111">
        <v>53337</v>
      </c>
      <c r="H2367" s="112"/>
      <c r="I2367" s="110">
        <v>19</v>
      </c>
      <c r="J2367" s="111">
        <v>19</v>
      </c>
      <c r="K2367" s="111">
        <v>19</v>
      </c>
      <c r="L2367" s="111">
        <v>19</v>
      </c>
      <c r="M2367" s="112"/>
    </row>
    <row r="2368" spans="1:13" x14ac:dyDescent="0.2">
      <c r="A2368" s="113" t="s">
        <v>60</v>
      </c>
      <c r="B2368" s="113" t="s">
        <v>140</v>
      </c>
      <c r="C2368" s="113" t="s">
        <v>223</v>
      </c>
      <c r="D2368" s="114">
        <v>53872</v>
      </c>
      <c r="E2368" s="115">
        <v>53872</v>
      </c>
      <c r="F2368" s="115">
        <v>53872</v>
      </c>
      <c r="G2368" s="115"/>
      <c r="H2368" s="116"/>
      <c r="I2368" s="114">
        <v>0</v>
      </c>
      <c r="J2368" s="115">
        <v>0</v>
      </c>
      <c r="K2368" s="115">
        <v>0</v>
      </c>
      <c r="L2368" s="115"/>
      <c r="M2368" s="116"/>
    </row>
    <row r="2369" spans="1:13" x14ac:dyDescent="0.2">
      <c r="A2369" t="s">
        <v>60</v>
      </c>
      <c r="B2369" t="s">
        <v>140</v>
      </c>
      <c r="C2369" t="s">
        <v>224</v>
      </c>
      <c r="D2369" s="110">
        <v>7</v>
      </c>
      <c r="E2369" s="111">
        <v>7</v>
      </c>
      <c r="F2369" s="111"/>
      <c r="G2369" s="111"/>
      <c r="H2369" s="112"/>
      <c r="I2369" s="110">
        <v>7</v>
      </c>
      <c r="J2369" s="111">
        <v>7</v>
      </c>
      <c r="K2369" s="111"/>
      <c r="L2369" s="111"/>
      <c r="M2369" s="112"/>
    </row>
    <row r="2370" spans="1:13" x14ac:dyDescent="0.2">
      <c r="A2370" s="117" t="s">
        <v>60</v>
      </c>
      <c r="B2370" s="117" t="s">
        <v>140</v>
      </c>
      <c r="C2370" s="117" t="s">
        <v>225</v>
      </c>
      <c r="D2370" s="118">
        <v>24</v>
      </c>
      <c r="E2370" s="119"/>
      <c r="F2370" s="119"/>
      <c r="G2370" s="119"/>
      <c r="H2370" s="120"/>
      <c r="I2370" s="118">
        <v>24</v>
      </c>
      <c r="J2370" s="119"/>
      <c r="K2370" s="119"/>
      <c r="L2370" s="119"/>
      <c r="M2370" s="120"/>
    </row>
    <row r="2371" spans="1:13" x14ac:dyDescent="0.2">
      <c r="A2371" t="s">
        <v>60</v>
      </c>
      <c r="B2371" t="s">
        <v>105</v>
      </c>
      <c r="C2371" t="s">
        <v>222</v>
      </c>
      <c r="D2371" s="110">
        <v>183684.12</v>
      </c>
      <c r="E2371" s="111">
        <v>182724.12</v>
      </c>
      <c r="F2371" s="111">
        <v>182574.12</v>
      </c>
      <c r="G2371" s="111">
        <v>182324.12</v>
      </c>
      <c r="H2371" s="112"/>
      <c r="I2371" s="110">
        <v>35357.58</v>
      </c>
      <c r="J2371" s="111">
        <v>53153.96</v>
      </c>
      <c r="K2371" s="111">
        <v>65077.96</v>
      </c>
      <c r="L2371" s="111">
        <v>74450.22</v>
      </c>
      <c r="M2371" s="112"/>
    </row>
    <row r="2372" spans="1:13" x14ac:dyDescent="0.2">
      <c r="A2372" s="113" t="s">
        <v>60</v>
      </c>
      <c r="B2372" s="113" t="s">
        <v>105</v>
      </c>
      <c r="C2372" s="113" t="s">
        <v>223</v>
      </c>
      <c r="D2372" s="114">
        <v>128564.14</v>
      </c>
      <c r="E2372" s="115">
        <v>127643.14</v>
      </c>
      <c r="F2372" s="115">
        <v>127293.14</v>
      </c>
      <c r="G2372" s="115"/>
      <c r="H2372" s="116"/>
      <c r="I2372" s="114">
        <v>20552.43</v>
      </c>
      <c r="J2372" s="115">
        <v>33029.29</v>
      </c>
      <c r="K2372" s="115">
        <v>39465.18</v>
      </c>
      <c r="L2372" s="115"/>
      <c r="M2372" s="116"/>
    </row>
    <row r="2373" spans="1:13" x14ac:dyDescent="0.2">
      <c r="A2373" t="s">
        <v>60</v>
      </c>
      <c r="B2373" t="s">
        <v>105</v>
      </c>
      <c r="C2373" t="s">
        <v>224</v>
      </c>
      <c r="D2373" s="110">
        <v>80587.539999999994</v>
      </c>
      <c r="E2373" s="111">
        <v>79912.539999999994</v>
      </c>
      <c r="F2373" s="111"/>
      <c r="G2373" s="111"/>
      <c r="H2373" s="112"/>
      <c r="I2373" s="110">
        <v>13361.29</v>
      </c>
      <c r="J2373" s="111">
        <v>22114.54</v>
      </c>
      <c r="K2373" s="111"/>
      <c r="L2373" s="111"/>
      <c r="M2373" s="112"/>
    </row>
    <row r="2374" spans="1:13" x14ac:dyDescent="0.2">
      <c r="A2374" s="117" t="s">
        <v>60</v>
      </c>
      <c r="B2374" s="117" t="s">
        <v>105</v>
      </c>
      <c r="C2374" s="117" t="s">
        <v>225</v>
      </c>
      <c r="D2374" s="118">
        <v>123120.75</v>
      </c>
      <c r="E2374" s="119"/>
      <c r="F2374" s="119"/>
      <c r="G2374" s="119"/>
      <c r="H2374" s="120"/>
      <c r="I2374" s="118">
        <v>16169.5</v>
      </c>
      <c r="J2374" s="119"/>
      <c r="K2374" s="119"/>
      <c r="L2374" s="119"/>
      <c r="M2374" s="120"/>
    </row>
    <row r="2375" spans="1:13" x14ac:dyDescent="0.2">
      <c r="A2375" t="s">
        <v>60</v>
      </c>
      <c r="B2375" t="s">
        <v>111</v>
      </c>
      <c r="C2375" t="s">
        <v>222</v>
      </c>
      <c r="D2375" s="110">
        <v>3366</v>
      </c>
      <c r="E2375" s="111">
        <v>3366</v>
      </c>
      <c r="F2375" s="111">
        <v>3366</v>
      </c>
      <c r="G2375" s="111">
        <v>3263</v>
      </c>
      <c r="H2375" s="112"/>
      <c r="I2375" s="110">
        <v>753</v>
      </c>
      <c r="J2375" s="111">
        <v>1535</v>
      </c>
      <c r="K2375" s="111">
        <v>2465</v>
      </c>
      <c r="L2375" s="111">
        <v>2495</v>
      </c>
      <c r="M2375" s="112"/>
    </row>
    <row r="2376" spans="1:13" x14ac:dyDescent="0.2">
      <c r="A2376" s="113" t="s">
        <v>60</v>
      </c>
      <c r="B2376" s="113" t="s">
        <v>111</v>
      </c>
      <c r="C2376" s="113" t="s">
        <v>223</v>
      </c>
      <c r="D2376" s="114">
        <v>2517</v>
      </c>
      <c r="E2376" s="115">
        <v>2467</v>
      </c>
      <c r="F2376" s="115">
        <v>1499</v>
      </c>
      <c r="G2376" s="115"/>
      <c r="H2376" s="116"/>
      <c r="I2376" s="114">
        <v>218</v>
      </c>
      <c r="J2376" s="115">
        <v>556</v>
      </c>
      <c r="K2376" s="115">
        <v>1249</v>
      </c>
      <c r="L2376" s="115"/>
      <c r="M2376" s="116"/>
    </row>
    <row r="2377" spans="1:13" x14ac:dyDescent="0.2">
      <c r="A2377" t="s">
        <v>60</v>
      </c>
      <c r="B2377" t="s">
        <v>111</v>
      </c>
      <c r="C2377" t="s">
        <v>224</v>
      </c>
      <c r="D2377" s="110">
        <v>3392.5</v>
      </c>
      <c r="E2377" s="111">
        <v>3392.5</v>
      </c>
      <c r="F2377" s="111"/>
      <c r="G2377" s="111"/>
      <c r="H2377" s="112"/>
      <c r="I2377" s="110">
        <v>416.5</v>
      </c>
      <c r="J2377" s="111">
        <v>1437.5</v>
      </c>
      <c r="K2377" s="111"/>
      <c r="L2377" s="111"/>
      <c r="M2377" s="112"/>
    </row>
    <row r="2378" spans="1:13" x14ac:dyDescent="0.2">
      <c r="A2378" s="117" t="s">
        <v>60</v>
      </c>
      <c r="B2378" s="117" t="s">
        <v>111</v>
      </c>
      <c r="C2378" s="117" t="s">
        <v>225</v>
      </c>
      <c r="D2378" s="118">
        <v>3173.5</v>
      </c>
      <c r="E2378" s="119"/>
      <c r="F2378" s="119"/>
      <c r="G2378" s="119"/>
      <c r="H2378" s="120"/>
      <c r="I2378" s="118">
        <v>948.5</v>
      </c>
      <c r="J2378" s="119"/>
      <c r="K2378" s="119"/>
      <c r="L2378" s="119"/>
      <c r="M2378" s="120"/>
    </row>
    <row r="2379" spans="1:13" x14ac:dyDescent="0.2">
      <c r="A2379" s="124" t="s">
        <v>60</v>
      </c>
      <c r="B2379" s="124" t="s">
        <v>109</v>
      </c>
      <c r="C2379" s="124" t="s">
        <v>222</v>
      </c>
      <c r="D2379" s="125">
        <v>238503.12</v>
      </c>
      <c r="E2379" s="126">
        <v>238428.12</v>
      </c>
      <c r="F2379" s="126">
        <v>238378.12</v>
      </c>
      <c r="G2379" s="126">
        <v>238278.12</v>
      </c>
      <c r="H2379" s="127"/>
      <c r="I2379" s="125">
        <v>77235.199999999997</v>
      </c>
      <c r="J2379" s="126">
        <v>120300.1</v>
      </c>
      <c r="K2379" s="126">
        <v>137391.54</v>
      </c>
      <c r="L2379" s="126">
        <v>153589.74</v>
      </c>
      <c r="M2379" s="127"/>
    </row>
    <row r="2380" spans="1:13" x14ac:dyDescent="0.2">
      <c r="A2380" s="113" t="s">
        <v>60</v>
      </c>
      <c r="B2380" s="113" t="s">
        <v>109</v>
      </c>
      <c r="C2380" s="113" t="s">
        <v>223</v>
      </c>
      <c r="D2380" s="114">
        <v>156839.67999999999</v>
      </c>
      <c r="E2380" s="115">
        <v>156705.18</v>
      </c>
      <c r="F2380" s="115">
        <v>156605.18</v>
      </c>
      <c r="G2380" s="115"/>
      <c r="H2380" s="116"/>
      <c r="I2380" s="114">
        <v>56798.559999999998</v>
      </c>
      <c r="J2380" s="115">
        <v>75612.19</v>
      </c>
      <c r="K2380" s="115">
        <v>86226.45</v>
      </c>
      <c r="L2380" s="115"/>
      <c r="M2380" s="116"/>
    </row>
    <row r="2381" spans="1:13" x14ac:dyDescent="0.2">
      <c r="A2381" t="s">
        <v>60</v>
      </c>
      <c r="B2381" t="s">
        <v>109</v>
      </c>
      <c r="C2381" t="s">
        <v>224</v>
      </c>
      <c r="D2381" s="110">
        <v>105549.5</v>
      </c>
      <c r="E2381" s="111">
        <v>105549.5</v>
      </c>
      <c r="F2381" s="111"/>
      <c r="G2381" s="111"/>
      <c r="H2381" s="112"/>
      <c r="I2381" s="110">
        <v>35857.019999999997</v>
      </c>
      <c r="J2381" s="111">
        <v>52768.13</v>
      </c>
      <c r="K2381" s="111"/>
      <c r="L2381" s="111"/>
      <c r="M2381" s="112"/>
    </row>
    <row r="2382" spans="1:13" x14ac:dyDescent="0.2">
      <c r="A2382" s="117" t="s">
        <v>60</v>
      </c>
      <c r="B2382" s="117" t="s">
        <v>109</v>
      </c>
      <c r="C2382" s="117" t="s">
        <v>225</v>
      </c>
      <c r="D2382" s="118">
        <v>171718.57</v>
      </c>
      <c r="E2382" s="119"/>
      <c r="F2382" s="119"/>
      <c r="G2382" s="119"/>
      <c r="H2382" s="120"/>
      <c r="I2382" s="118">
        <v>56897.78</v>
      </c>
      <c r="J2382" s="119"/>
      <c r="K2382" s="119"/>
      <c r="L2382" s="119"/>
      <c r="M2382" s="120"/>
    </row>
    <row r="2383" spans="1:13" x14ac:dyDescent="0.2">
      <c r="A2383" t="s">
        <v>60</v>
      </c>
      <c r="B2383" t="s">
        <v>106</v>
      </c>
      <c r="C2383" t="s">
        <v>222</v>
      </c>
      <c r="D2383" s="110">
        <v>70761.5</v>
      </c>
      <c r="E2383" s="111">
        <v>70761.5</v>
      </c>
      <c r="F2383" s="111">
        <v>70761.5</v>
      </c>
      <c r="G2383" s="111">
        <v>70761.5</v>
      </c>
      <c r="H2383" s="112"/>
      <c r="I2383" s="110">
        <v>70140.5</v>
      </c>
      <c r="J2383" s="111">
        <v>70141.5</v>
      </c>
      <c r="K2383" s="111">
        <v>70141.5</v>
      </c>
      <c r="L2383" s="111">
        <v>70141.5</v>
      </c>
      <c r="M2383" s="112"/>
    </row>
    <row r="2384" spans="1:13" x14ac:dyDescent="0.2">
      <c r="A2384" s="113" t="s">
        <v>60</v>
      </c>
      <c r="B2384" s="113" t="s">
        <v>106</v>
      </c>
      <c r="C2384" s="113" t="s">
        <v>223</v>
      </c>
      <c r="D2384" s="114">
        <v>63385</v>
      </c>
      <c r="E2384" s="115">
        <v>63385</v>
      </c>
      <c r="F2384" s="115">
        <v>63385</v>
      </c>
      <c r="G2384" s="115"/>
      <c r="H2384" s="116"/>
      <c r="I2384" s="114">
        <v>60794</v>
      </c>
      <c r="J2384" s="115">
        <v>61499</v>
      </c>
      <c r="K2384" s="115">
        <v>61599</v>
      </c>
      <c r="L2384" s="115"/>
      <c r="M2384" s="116"/>
    </row>
    <row r="2385" spans="1:13" x14ac:dyDescent="0.2">
      <c r="A2385" t="s">
        <v>60</v>
      </c>
      <c r="B2385" t="s">
        <v>106</v>
      </c>
      <c r="C2385" t="s">
        <v>224</v>
      </c>
      <c r="D2385" s="110">
        <v>69222.5</v>
      </c>
      <c r="E2385" s="111">
        <v>69222.5</v>
      </c>
      <c r="F2385" s="111"/>
      <c r="G2385" s="111"/>
      <c r="H2385" s="112"/>
      <c r="I2385" s="110">
        <v>65667.5</v>
      </c>
      <c r="J2385" s="111">
        <v>66917.5</v>
      </c>
      <c r="K2385" s="111"/>
      <c r="L2385" s="111"/>
      <c r="M2385" s="112"/>
    </row>
    <row r="2386" spans="1:13" x14ac:dyDescent="0.2">
      <c r="A2386" s="117" t="s">
        <v>60</v>
      </c>
      <c r="B2386" s="117" t="s">
        <v>106</v>
      </c>
      <c r="C2386" s="117" t="s">
        <v>225</v>
      </c>
      <c r="D2386" s="118">
        <v>86681.5</v>
      </c>
      <c r="E2386" s="119"/>
      <c r="F2386" s="119"/>
      <c r="G2386" s="119"/>
      <c r="H2386" s="120"/>
      <c r="I2386" s="118">
        <v>84429.5</v>
      </c>
      <c r="J2386" s="119"/>
      <c r="K2386" s="119"/>
      <c r="L2386" s="119"/>
      <c r="M2386" s="120"/>
    </row>
    <row r="2387" spans="1:13" x14ac:dyDescent="0.2">
      <c r="A2387" t="s">
        <v>60</v>
      </c>
      <c r="B2387" t="s">
        <v>107</v>
      </c>
      <c r="C2387" t="s">
        <v>222</v>
      </c>
      <c r="D2387" s="110">
        <v>69040.97</v>
      </c>
      <c r="E2387" s="111">
        <v>68555.97</v>
      </c>
      <c r="F2387" s="111">
        <v>68555.97</v>
      </c>
      <c r="G2387" s="111">
        <v>68555.97</v>
      </c>
      <c r="H2387" s="112"/>
      <c r="I2387" s="110">
        <v>68545.97</v>
      </c>
      <c r="J2387" s="111">
        <v>68545.97</v>
      </c>
      <c r="K2387" s="111">
        <v>68545.97</v>
      </c>
      <c r="L2387" s="111">
        <v>68545.97</v>
      </c>
      <c r="M2387" s="112"/>
    </row>
    <row r="2388" spans="1:13" x14ac:dyDescent="0.2">
      <c r="A2388" s="113" t="s">
        <v>60</v>
      </c>
      <c r="B2388" s="113" t="s">
        <v>107</v>
      </c>
      <c r="C2388" s="113" t="s">
        <v>223</v>
      </c>
      <c r="D2388" s="114">
        <v>72157.759999999995</v>
      </c>
      <c r="E2388" s="115">
        <v>72157.759999999995</v>
      </c>
      <c r="F2388" s="115">
        <v>72157.759999999995</v>
      </c>
      <c r="G2388" s="115"/>
      <c r="H2388" s="116"/>
      <c r="I2388" s="114">
        <v>71605.759999999995</v>
      </c>
      <c r="J2388" s="115">
        <v>72157.759999999995</v>
      </c>
      <c r="K2388" s="115">
        <v>72157.759999999995</v>
      </c>
      <c r="L2388" s="115"/>
      <c r="M2388" s="116"/>
    </row>
    <row r="2389" spans="1:13" x14ac:dyDescent="0.2">
      <c r="A2389" t="s">
        <v>60</v>
      </c>
      <c r="B2389" t="s">
        <v>107</v>
      </c>
      <c r="C2389" t="s">
        <v>224</v>
      </c>
      <c r="D2389" s="110">
        <v>51368.25</v>
      </c>
      <c r="E2389" s="111">
        <v>51368.25</v>
      </c>
      <c r="F2389" s="111"/>
      <c r="G2389" s="111"/>
      <c r="H2389" s="112"/>
      <c r="I2389" s="110">
        <v>50328.25</v>
      </c>
      <c r="J2389" s="111">
        <v>51068.25</v>
      </c>
      <c r="K2389" s="111"/>
      <c r="L2389" s="111"/>
      <c r="M2389" s="112"/>
    </row>
    <row r="2390" spans="1:13" x14ac:dyDescent="0.2">
      <c r="A2390" s="117" t="s">
        <v>60</v>
      </c>
      <c r="B2390" s="117" t="s">
        <v>107</v>
      </c>
      <c r="C2390" s="117" t="s">
        <v>225</v>
      </c>
      <c r="D2390" s="118">
        <v>99360.74</v>
      </c>
      <c r="E2390" s="119"/>
      <c r="F2390" s="119"/>
      <c r="G2390" s="119"/>
      <c r="H2390" s="120"/>
      <c r="I2390" s="118">
        <v>97831.74</v>
      </c>
      <c r="J2390" s="119"/>
      <c r="K2390" s="119"/>
      <c r="L2390" s="119"/>
      <c r="M2390" s="120"/>
    </row>
    <row r="2391" spans="1:13" x14ac:dyDescent="0.2">
      <c r="A2391" t="s">
        <v>60</v>
      </c>
      <c r="B2391" t="s">
        <v>108</v>
      </c>
      <c r="C2391" t="s">
        <v>222</v>
      </c>
      <c r="D2391" s="110">
        <v>51954.5</v>
      </c>
      <c r="E2391" s="111">
        <v>51954.5</v>
      </c>
      <c r="F2391" s="111">
        <v>51954.5</v>
      </c>
      <c r="G2391" s="111">
        <v>51954.5</v>
      </c>
      <c r="H2391" s="112"/>
      <c r="I2391" s="110">
        <v>51668.5</v>
      </c>
      <c r="J2391" s="111">
        <v>51854.5</v>
      </c>
      <c r="K2391" s="111">
        <v>51854.5</v>
      </c>
      <c r="L2391" s="111">
        <v>51854.5</v>
      </c>
      <c r="M2391" s="112"/>
    </row>
    <row r="2392" spans="1:13" x14ac:dyDescent="0.2">
      <c r="A2392" s="113" t="s">
        <v>60</v>
      </c>
      <c r="B2392" s="113" t="s">
        <v>108</v>
      </c>
      <c r="C2392" s="113" t="s">
        <v>223</v>
      </c>
      <c r="D2392" s="114">
        <v>62158</v>
      </c>
      <c r="E2392" s="115">
        <v>62158</v>
      </c>
      <c r="F2392" s="115">
        <v>62158</v>
      </c>
      <c r="G2392" s="115"/>
      <c r="H2392" s="116"/>
      <c r="I2392" s="114">
        <v>61569</v>
      </c>
      <c r="J2392" s="115">
        <v>62053</v>
      </c>
      <c r="K2392" s="115">
        <v>62053</v>
      </c>
      <c r="L2392" s="115"/>
      <c r="M2392" s="116"/>
    </row>
    <row r="2393" spans="1:13" x14ac:dyDescent="0.2">
      <c r="A2393" t="s">
        <v>60</v>
      </c>
      <c r="B2393" t="s">
        <v>108</v>
      </c>
      <c r="C2393" t="s">
        <v>224</v>
      </c>
      <c r="D2393" s="110">
        <v>64211</v>
      </c>
      <c r="E2393" s="111">
        <v>64211</v>
      </c>
      <c r="F2393" s="111"/>
      <c r="G2393" s="111"/>
      <c r="H2393" s="112"/>
      <c r="I2393" s="110">
        <v>61801</v>
      </c>
      <c r="J2393" s="111">
        <v>63926</v>
      </c>
      <c r="K2393" s="111"/>
      <c r="L2393" s="111"/>
      <c r="M2393" s="112"/>
    </row>
    <row r="2394" spans="1:13" x14ac:dyDescent="0.2">
      <c r="A2394" s="117" t="s">
        <v>60</v>
      </c>
      <c r="B2394" s="117" t="s">
        <v>108</v>
      </c>
      <c r="C2394" s="117" t="s">
        <v>225</v>
      </c>
      <c r="D2394" s="118">
        <v>62874</v>
      </c>
      <c r="E2394" s="119"/>
      <c r="F2394" s="119"/>
      <c r="G2394" s="119"/>
      <c r="H2394" s="120"/>
      <c r="I2394" s="118">
        <v>60680</v>
      </c>
      <c r="J2394" s="119"/>
      <c r="K2394" s="119"/>
      <c r="L2394" s="119"/>
      <c r="M2394" s="120"/>
    </row>
    <row r="2395" spans="1:13" x14ac:dyDescent="0.2">
      <c r="A2395" t="s">
        <v>60</v>
      </c>
      <c r="B2395" t="s">
        <v>70</v>
      </c>
      <c r="C2395" t="s">
        <v>222</v>
      </c>
      <c r="D2395" s="110">
        <v>33232</v>
      </c>
      <c r="E2395" s="111">
        <v>32834.5</v>
      </c>
      <c r="F2395" s="111">
        <v>32834.5</v>
      </c>
      <c r="G2395" s="111">
        <v>32834.5</v>
      </c>
      <c r="H2395" s="112"/>
      <c r="I2395" s="110">
        <v>28968.55</v>
      </c>
      <c r="J2395" s="111">
        <v>31265.55</v>
      </c>
      <c r="K2395" s="111">
        <v>31265.55</v>
      </c>
      <c r="L2395" s="111">
        <v>31265.55</v>
      </c>
      <c r="M2395" s="112"/>
    </row>
    <row r="2396" spans="1:13" x14ac:dyDescent="0.2">
      <c r="A2396" s="113" t="s">
        <v>60</v>
      </c>
      <c r="B2396" s="113" t="s">
        <v>70</v>
      </c>
      <c r="C2396" s="113" t="s">
        <v>223</v>
      </c>
      <c r="D2396" s="114">
        <v>34718.15</v>
      </c>
      <c r="E2396" s="115">
        <v>34718.15</v>
      </c>
      <c r="F2396" s="115">
        <v>34718.15</v>
      </c>
      <c r="G2396" s="115"/>
      <c r="H2396" s="116"/>
      <c r="I2396" s="114">
        <v>30996.15</v>
      </c>
      <c r="J2396" s="115">
        <v>31301.65</v>
      </c>
      <c r="K2396" s="115">
        <v>31301.65</v>
      </c>
      <c r="L2396" s="115"/>
      <c r="M2396" s="116"/>
    </row>
    <row r="2397" spans="1:13" x14ac:dyDescent="0.2">
      <c r="A2397" t="s">
        <v>60</v>
      </c>
      <c r="B2397" t="s">
        <v>70</v>
      </c>
      <c r="C2397" t="s">
        <v>224</v>
      </c>
      <c r="D2397" s="110">
        <v>34652.83</v>
      </c>
      <c r="E2397" s="111">
        <v>34652.83</v>
      </c>
      <c r="F2397" s="111"/>
      <c r="G2397" s="111"/>
      <c r="H2397" s="112"/>
      <c r="I2397" s="110">
        <v>32620.03</v>
      </c>
      <c r="J2397" s="111">
        <v>33423.33</v>
      </c>
      <c r="K2397" s="111"/>
      <c r="L2397" s="111"/>
      <c r="M2397" s="112"/>
    </row>
    <row r="2398" spans="1:13" x14ac:dyDescent="0.2">
      <c r="A2398" s="117" t="s">
        <v>60</v>
      </c>
      <c r="B2398" s="117" t="s">
        <v>70</v>
      </c>
      <c r="C2398" s="117" t="s">
        <v>225</v>
      </c>
      <c r="D2398" s="118">
        <v>31050.43</v>
      </c>
      <c r="E2398" s="119"/>
      <c r="F2398" s="119"/>
      <c r="G2398" s="119"/>
      <c r="H2398" s="120"/>
      <c r="I2398" s="118">
        <v>28268.48</v>
      </c>
      <c r="J2398" s="119"/>
      <c r="K2398" s="119"/>
      <c r="L2398" s="119"/>
      <c r="M2398" s="120"/>
    </row>
    <row r="2399" spans="1:13" x14ac:dyDescent="0.2">
      <c r="A2399" t="s">
        <v>60</v>
      </c>
      <c r="B2399" t="s">
        <v>110</v>
      </c>
      <c r="C2399" t="s">
        <v>222</v>
      </c>
      <c r="D2399" s="110">
        <v>492645.57</v>
      </c>
      <c r="E2399" s="111">
        <v>469227.77</v>
      </c>
      <c r="F2399" s="111">
        <v>467089.77</v>
      </c>
      <c r="G2399" s="111">
        <v>465518.12</v>
      </c>
      <c r="H2399" s="112"/>
      <c r="I2399" s="110">
        <v>218096.17</v>
      </c>
      <c r="J2399" s="111">
        <v>390431.77</v>
      </c>
      <c r="K2399" s="111">
        <v>406789.77</v>
      </c>
      <c r="L2399" s="111">
        <v>416962.02</v>
      </c>
      <c r="M2399" s="112"/>
    </row>
    <row r="2400" spans="1:13" x14ac:dyDescent="0.2">
      <c r="A2400" s="113" t="s">
        <v>60</v>
      </c>
      <c r="B2400" s="113" t="s">
        <v>110</v>
      </c>
      <c r="C2400" s="113" t="s">
        <v>223</v>
      </c>
      <c r="D2400" s="114">
        <v>541984.65</v>
      </c>
      <c r="E2400" s="115">
        <v>525391.05000000005</v>
      </c>
      <c r="F2400" s="115">
        <v>519285.85</v>
      </c>
      <c r="G2400" s="115"/>
      <c r="H2400" s="116"/>
      <c r="I2400" s="114">
        <v>279418.65000000002</v>
      </c>
      <c r="J2400" s="115">
        <v>389698.35</v>
      </c>
      <c r="K2400" s="115">
        <v>429143.55</v>
      </c>
      <c r="L2400" s="115"/>
      <c r="M2400" s="116"/>
    </row>
    <row r="2401" spans="1:13" x14ac:dyDescent="0.2">
      <c r="A2401" t="s">
        <v>60</v>
      </c>
      <c r="B2401" t="s">
        <v>110</v>
      </c>
      <c r="C2401" t="s">
        <v>224</v>
      </c>
      <c r="D2401" s="110">
        <v>444280.5</v>
      </c>
      <c r="E2401" s="111">
        <v>437196.2</v>
      </c>
      <c r="F2401" s="111"/>
      <c r="G2401" s="111"/>
      <c r="H2401" s="112"/>
      <c r="I2401" s="110">
        <v>203326</v>
      </c>
      <c r="J2401" s="111">
        <v>312569.8</v>
      </c>
      <c r="K2401" s="111"/>
      <c r="L2401" s="111"/>
      <c r="M2401" s="112"/>
    </row>
    <row r="2402" spans="1:13" ht="13.5" thickBot="1" x14ac:dyDescent="0.25">
      <c r="A2402" s="128" t="s">
        <v>60</v>
      </c>
      <c r="B2402" s="128" t="s">
        <v>110</v>
      </c>
      <c r="C2402" s="128" t="s">
        <v>225</v>
      </c>
      <c r="D2402" s="129">
        <v>553497.75</v>
      </c>
      <c r="E2402" s="130"/>
      <c r="F2402" s="130"/>
      <c r="G2402" s="130"/>
      <c r="H2402" s="131"/>
      <c r="I2402" s="129">
        <v>253008.75</v>
      </c>
      <c r="J2402" s="130"/>
      <c r="K2402" s="130"/>
      <c r="L2402" s="130"/>
      <c r="M2402" s="131"/>
    </row>
    <row r="2403" spans="1:13" x14ac:dyDescent="0.2">
      <c r="A2403" s="132" t="s">
        <v>61</v>
      </c>
      <c r="B2403" s="132" t="s">
        <v>104</v>
      </c>
      <c r="C2403" s="132" t="s">
        <v>222</v>
      </c>
      <c r="D2403" s="133">
        <v>104700.5</v>
      </c>
      <c r="E2403" s="134">
        <v>104700</v>
      </c>
      <c r="F2403" s="134">
        <v>104250</v>
      </c>
      <c r="G2403" s="134">
        <v>104200.5</v>
      </c>
      <c r="H2403" s="135"/>
      <c r="I2403" s="133">
        <v>6814.54</v>
      </c>
      <c r="J2403" s="134">
        <v>9432.17</v>
      </c>
      <c r="K2403" s="134">
        <v>12224.93</v>
      </c>
      <c r="L2403" s="134">
        <v>14580.06</v>
      </c>
      <c r="M2403" s="135"/>
    </row>
    <row r="2404" spans="1:13" x14ac:dyDescent="0.2">
      <c r="A2404" s="113" t="s">
        <v>61</v>
      </c>
      <c r="B2404" s="113" t="s">
        <v>104</v>
      </c>
      <c r="C2404" s="113" t="s">
        <v>223</v>
      </c>
      <c r="D2404" s="114">
        <v>214897.7</v>
      </c>
      <c r="E2404" s="115">
        <v>214897.7</v>
      </c>
      <c r="F2404" s="115">
        <v>214897.7</v>
      </c>
      <c r="G2404" s="115"/>
      <c r="H2404" s="116"/>
      <c r="I2404" s="114">
        <v>39065.47</v>
      </c>
      <c r="J2404" s="115">
        <v>43089.65</v>
      </c>
      <c r="K2404" s="115">
        <v>46795.03</v>
      </c>
      <c r="L2404" s="115"/>
      <c r="M2404" s="116"/>
    </row>
    <row r="2405" spans="1:13" x14ac:dyDescent="0.2">
      <c r="A2405" t="s">
        <v>61</v>
      </c>
      <c r="B2405" t="s">
        <v>104</v>
      </c>
      <c r="C2405" t="s">
        <v>224</v>
      </c>
      <c r="D2405" s="110">
        <v>44710.6</v>
      </c>
      <c r="E2405" s="111">
        <v>44710.6</v>
      </c>
      <c r="F2405" s="111"/>
      <c r="G2405" s="111"/>
      <c r="H2405" s="112"/>
      <c r="I2405" s="110">
        <v>1240.24</v>
      </c>
      <c r="J2405" s="111">
        <v>3095.3</v>
      </c>
      <c r="K2405" s="111"/>
      <c r="L2405" s="111"/>
      <c r="M2405" s="112"/>
    </row>
    <row r="2406" spans="1:13" x14ac:dyDescent="0.2">
      <c r="A2406" s="117" t="s">
        <v>61</v>
      </c>
      <c r="B2406" s="117" t="s">
        <v>104</v>
      </c>
      <c r="C2406" s="117" t="s">
        <v>225</v>
      </c>
      <c r="D2406" s="118">
        <v>67463</v>
      </c>
      <c r="E2406" s="119"/>
      <c r="F2406" s="119"/>
      <c r="G2406" s="119"/>
      <c r="H2406" s="120"/>
      <c r="I2406" s="118">
        <v>831.14</v>
      </c>
      <c r="J2406" s="119"/>
      <c r="K2406" s="119"/>
      <c r="L2406" s="119"/>
      <c r="M2406" s="120"/>
    </row>
    <row r="2407" spans="1:13" x14ac:dyDescent="0.2">
      <c r="A2407" t="s">
        <v>61</v>
      </c>
      <c r="B2407" t="s">
        <v>140</v>
      </c>
      <c r="C2407" t="s">
        <v>222</v>
      </c>
      <c r="D2407" s="110">
        <v>104700.5</v>
      </c>
      <c r="E2407" s="111">
        <v>104700</v>
      </c>
      <c r="F2407" s="111">
        <v>104250</v>
      </c>
      <c r="G2407" s="111">
        <v>104200.5</v>
      </c>
      <c r="H2407" s="112"/>
      <c r="I2407" s="110">
        <v>6814.54</v>
      </c>
      <c r="J2407" s="111">
        <v>9432.17</v>
      </c>
      <c r="K2407" s="111">
        <v>12224.93</v>
      </c>
      <c r="L2407" s="111">
        <v>14560.06</v>
      </c>
      <c r="M2407" s="112"/>
    </row>
    <row r="2408" spans="1:13" x14ac:dyDescent="0.2">
      <c r="A2408" s="113" t="s">
        <v>61</v>
      </c>
      <c r="B2408" s="113" t="s">
        <v>140</v>
      </c>
      <c r="C2408" s="113" t="s">
        <v>223</v>
      </c>
      <c r="D2408" s="114">
        <v>214897.7</v>
      </c>
      <c r="E2408" s="115">
        <v>214897.7</v>
      </c>
      <c r="F2408" s="115">
        <v>214897.7</v>
      </c>
      <c r="G2408" s="115"/>
      <c r="H2408" s="116"/>
      <c r="I2408" s="114">
        <v>39065.47</v>
      </c>
      <c r="J2408" s="115">
        <v>43089.65</v>
      </c>
      <c r="K2408" s="115">
        <v>46795.03</v>
      </c>
      <c r="L2408" s="115"/>
      <c r="M2408" s="116"/>
    </row>
    <row r="2409" spans="1:13" x14ac:dyDescent="0.2">
      <c r="A2409" t="s">
        <v>61</v>
      </c>
      <c r="B2409" t="s">
        <v>140</v>
      </c>
      <c r="C2409" t="s">
        <v>224</v>
      </c>
      <c r="D2409" s="110">
        <v>44710.5</v>
      </c>
      <c r="E2409" s="111">
        <v>44710.5</v>
      </c>
      <c r="F2409" s="111"/>
      <c r="G2409" s="111"/>
      <c r="H2409" s="112"/>
      <c r="I2409" s="110">
        <v>1240.24</v>
      </c>
      <c r="J2409" s="111">
        <v>3095.3</v>
      </c>
      <c r="K2409" s="111"/>
      <c r="L2409" s="111"/>
      <c r="M2409" s="112"/>
    </row>
    <row r="2410" spans="1:13" x14ac:dyDescent="0.2">
      <c r="A2410" s="117" t="s">
        <v>61</v>
      </c>
      <c r="B2410" s="117" t="s">
        <v>140</v>
      </c>
      <c r="C2410" s="117" t="s">
        <v>225</v>
      </c>
      <c r="D2410" s="118">
        <v>67463</v>
      </c>
      <c r="E2410" s="119"/>
      <c r="F2410" s="119"/>
      <c r="G2410" s="119"/>
      <c r="H2410" s="120"/>
      <c r="I2410" s="118">
        <v>831.14</v>
      </c>
      <c r="J2410" s="119"/>
      <c r="K2410" s="119"/>
      <c r="L2410" s="119"/>
      <c r="M2410" s="120"/>
    </row>
    <row r="2411" spans="1:13" x14ac:dyDescent="0.2">
      <c r="A2411" t="s">
        <v>61</v>
      </c>
      <c r="B2411" t="s">
        <v>105</v>
      </c>
      <c r="C2411" t="s">
        <v>222</v>
      </c>
      <c r="D2411" s="110">
        <v>37040.5</v>
      </c>
      <c r="E2411" s="111">
        <v>36915.5</v>
      </c>
      <c r="F2411" s="111">
        <v>36831.99</v>
      </c>
      <c r="G2411" s="111">
        <v>36831.99</v>
      </c>
      <c r="H2411" s="112"/>
      <c r="I2411" s="110">
        <v>8607.5</v>
      </c>
      <c r="J2411" s="111">
        <v>12355</v>
      </c>
      <c r="K2411" s="111">
        <v>17498.2</v>
      </c>
      <c r="L2411" s="111">
        <v>17800.2</v>
      </c>
      <c r="M2411" s="112"/>
    </row>
    <row r="2412" spans="1:13" x14ac:dyDescent="0.2">
      <c r="A2412" s="113" t="s">
        <v>61</v>
      </c>
      <c r="B2412" s="113" t="s">
        <v>105</v>
      </c>
      <c r="C2412" s="113" t="s">
        <v>223</v>
      </c>
      <c r="D2412" s="114">
        <v>50107.7</v>
      </c>
      <c r="E2412" s="115">
        <v>50107.7</v>
      </c>
      <c r="F2412" s="115">
        <v>50107.7</v>
      </c>
      <c r="G2412" s="115"/>
      <c r="H2412" s="116"/>
      <c r="I2412" s="114">
        <v>9932.89</v>
      </c>
      <c r="J2412" s="115">
        <v>16424.009999999998</v>
      </c>
      <c r="K2412" s="115">
        <v>22361.34</v>
      </c>
      <c r="L2412" s="115"/>
      <c r="M2412" s="116"/>
    </row>
    <row r="2413" spans="1:13" x14ac:dyDescent="0.2">
      <c r="A2413" t="s">
        <v>61</v>
      </c>
      <c r="B2413" t="s">
        <v>105</v>
      </c>
      <c r="C2413" t="s">
        <v>224</v>
      </c>
      <c r="D2413" s="110">
        <v>23849.29</v>
      </c>
      <c r="E2413" s="111">
        <v>23849.29</v>
      </c>
      <c r="F2413" s="111"/>
      <c r="G2413" s="111"/>
      <c r="H2413" s="112"/>
      <c r="I2413" s="110">
        <v>13235.29</v>
      </c>
      <c r="J2413" s="111">
        <v>14481.29</v>
      </c>
      <c r="K2413" s="111"/>
      <c r="L2413" s="111"/>
      <c r="M2413" s="112"/>
    </row>
    <row r="2414" spans="1:13" x14ac:dyDescent="0.2">
      <c r="A2414" s="117" t="s">
        <v>61</v>
      </c>
      <c r="B2414" s="117" t="s">
        <v>105</v>
      </c>
      <c r="C2414" s="117" t="s">
        <v>225</v>
      </c>
      <c r="D2414" s="118">
        <v>20963.5</v>
      </c>
      <c r="E2414" s="119"/>
      <c r="F2414" s="119"/>
      <c r="G2414" s="119"/>
      <c r="H2414" s="120"/>
      <c r="I2414" s="118">
        <v>7059.5</v>
      </c>
      <c r="J2414" s="119"/>
      <c r="K2414" s="119"/>
      <c r="L2414" s="119"/>
      <c r="M2414" s="120"/>
    </row>
    <row r="2415" spans="1:13" x14ac:dyDescent="0.2">
      <c r="A2415" t="s">
        <v>61</v>
      </c>
      <c r="B2415" t="s">
        <v>111</v>
      </c>
      <c r="C2415" t="s">
        <v>222</v>
      </c>
      <c r="D2415" s="110">
        <v>5407</v>
      </c>
      <c r="E2415" s="111">
        <v>5407</v>
      </c>
      <c r="F2415" s="111">
        <v>4683</v>
      </c>
      <c r="G2415" s="111">
        <v>4445</v>
      </c>
      <c r="H2415" s="112"/>
      <c r="I2415" s="110">
        <v>25</v>
      </c>
      <c r="J2415" s="111">
        <v>156</v>
      </c>
      <c r="K2415" s="111">
        <v>505</v>
      </c>
      <c r="L2415" s="111">
        <v>777</v>
      </c>
      <c r="M2415" s="112"/>
    </row>
    <row r="2416" spans="1:13" x14ac:dyDescent="0.2">
      <c r="A2416" s="113" t="s">
        <v>61</v>
      </c>
      <c r="B2416" s="113" t="s">
        <v>111</v>
      </c>
      <c r="C2416" s="113" t="s">
        <v>223</v>
      </c>
      <c r="D2416" s="114">
        <v>1996</v>
      </c>
      <c r="E2416" s="115">
        <v>1996</v>
      </c>
      <c r="F2416" s="115">
        <v>1996</v>
      </c>
      <c r="G2416" s="115"/>
      <c r="H2416" s="116"/>
      <c r="I2416" s="114">
        <v>188</v>
      </c>
      <c r="J2416" s="115">
        <v>213</v>
      </c>
      <c r="K2416" s="115">
        <v>480</v>
      </c>
      <c r="L2416" s="115"/>
      <c r="M2416" s="116"/>
    </row>
    <row r="2417" spans="1:13" x14ac:dyDescent="0.2">
      <c r="A2417" t="s">
        <v>61</v>
      </c>
      <c r="B2417" t="s">
        <v>111</v>
      </c>
      <c r="C2417" t="s">
        <v>224</v>
      </c>
      <c r="D2417" s="110">
        <v>3056</v>
      </c>
      <c r="E2417" s="111">
        <v>3056</v>
      </c>
      <c r="F2417" s="111"/>
      <c r="G2417" s="111"/>
      <c r="H2417" s="112"/>
      <c r="I2417" s="110">
        <v>0</v>
      </c>
      <c r="J2417" s="111">
        <v>0</v>
      </c>
      <c r="K2417" s="111"/>
      <c r="L2417" s="111"/>
      <c r="M2417" s="112"/>
    </row>
    <row r="2418" spans="1:13" x14ac:dyDescent="0.2">
      <c r="A2418" s="117" t="s">
        <v>61</v>
      </c>
      <c r="B2418" s="117" t="s">
        <v>111</v>
      </c>
      <c r="C2418" s="117" t="s">
        <v>225</v>
      </c>
      <c r="D2418" s="118">
        <v>1418</v>
      </c>
      <c r="E2418" s="119"/>
      <c r="F2418" s="119"/>
      <c r="G2418" s="119"/>
      <c r="H2418" s="120"/>
      <c r="I2418" s="118">
        <v>0</v>
      </c>
      <c r="J2418" s="119"/>
      <c r="K2418" s="119"/>
      <c r="L2418" s="119"/>
      <c r="M2418" s="120"/>
    </row>
    <row r="2419" spans="1:13" x14ac:dyDescent="0.2">
      <c r="A2419" s="124" t="s">
        <v>61</v>
      </c>
      <c r="B2419" s="124" t="s">
        <v>109</v>
      </c>
      <c r="C2419" s="124" t="s">
        <v>222</v>
      </c>
      <c r="D2419" s="125">
        <v>75769.5</v>
      </c>
      <c r="E2419" s="126">
        <v>75769.5</v>
      </c>
      <c r="F2419" s="126">
        <v>75474</v>
      </c>
      <c r="G2419" s="126">
        <v>75424</v>
      </c>
      <c r="H2419" s="127"/>
      <c r="I2419" s="125">
        <v>12853.25</v>
      </c>
      <c r="J2419" s="126">
        <v>28048.63</v>
      </c>
      <c r="K2419" s="126">
        <v>40394.339999999997</v>
      </c>
      <c r="L2419" s="126">
        <v>46547.67</v>
      </c>
      <c r="M2419" s="127"/>
    </row>
    <row r="2420" spans="1:13" x14ac:dyDescent="0.2">
      <c r="A2420" s="113" t="s">
        <v>61</v>
      </c>
      <c r="B2420" s="113" t="s">
        <v>109</v>
      </c>
      <c r="C2420" s="113" t="s">
        <v>223</v>
      </c>
      <c r="D2420" s="114">
        <v>81389</v>
      </c>
      <c r="E2420" s="115">
        <v>81389</v>
      </c>
      <c r="F2420" s="115">
        <v>81389</v>
      </c>
      <c r="G2420" s="115"/>
      <c r="H2420" s="116"/>
      <c r="I2420" s="114">
        <v>24409</v>
      </c>
      <c r="J2420" s="115">
        <v>43188.25</v>
      </c>
      <c r="K2420" s="115">
        <v>55988.59</v>
      </c>
      <c r="L2420" s="115"/>
      <c r="M2420" s="116"/>
    </row>
    <row r="2421" spans="1:13" x14ac:dyDescent="0.2">
      <c r="A2421" t="s">
        <v>61</v>
      </c>
      <c r="B2421" t="s">
        <v>109</v>
      </c>
      <c r="C2421" t="s">
        <v>224</v>
      </c>
      <c r="D2421" s="110">
        <v>37950.559999999998</v>
      </c>
      <c r="E2421" s="111">
        <v>37950.559999999998</v>
      </c>
      <c r="F2421" s="111"/>
      <c r="G2421" s="111"/>
      <c r="H2421" s="112"/>
      <c r="I2421" s="110">
        <v>30377.56</v>
      </c>
      <c r="J2421" s="111">
        <v>31793.56</v>
      </c>
      <c r="K2421" s="111"/>
      <c r="L2421" s="111"/>
      <c r="M2421" s="112"/>
    </row>
    <row r="2422" spans="1:13" x14ac:dyDescent="0.2">
      <c r="A2422" s="117" t="s">
        <v>61</v>
      </c>
      <c r="B2422" s="117" t="s">
        <v>109</v>
      </c>
      <c r="C2422" s="117" t="s">
        <v>225</v>
      </c>
      <c r="D2422" s="118">
        <v>39676.5</v>
      </c>
      <c r="E2422" s="119"/>
      <c r="F2422" s="119"/>
      <c r="G2422" s="119"/>
      <c r="H2422" s="120"/>
      <c r="I2422" s="118">
        <v>22388</v>
      </c>
      <c r="J2422" s="119"/>
      <c r="K2422" s="119"/>
      <c r="L2422" s="119"/>
      <c r="M2422" s="120"/>
    </row>
    <row r="2423" spans="1:13" x14ac:dyDescent="0.2">
      <c r="A2423" t="s">
        <v>61</v>
      </c>
      <c r="B2423" t="s">
        <v>106</v>
      </c>
      <c r="C2423" t="s">
        <v>222</v>
      </c>
      <c r="D2423" s="110">
        <v>36524.5</v>
      </c>
      <c r="E2423" s="111">
        <v>36524.5</v>
      </c>
      <c r="F2423" s="111">
        <v>35599.5</v>
      </c>
      <c r="G2423" s="111">
        <v>35599.5</v>
      </c>
      <c r="H2423" s="112"/>
      <c r="I2423" s="110">
        <v>35724.5</v>
      </c>
      <c r="J2423" s="111">
        <v>35724.5</v>
      </c>
      <c r="K2423" s="111">
        <v>35724.5</v>
      </c>
      <c r="L2423" s="111">
        <v>35724.5</v>
      </c>
      <c r="M2423" s="112"/>
    </row>
    <row r="2424" spans="1:13" x14ac:dyDescent="0.2">
      <c r="A2424" s="113" t="s">
        <v>61</v>
      </c>
      <c r="B2424" s="113" t="s">
        <v>106</v>
      </c>
      <c r="C2424" s="113" t="s">
        <v>223</v>
      </c>
      <c r="D2424" s="114">
        <v>34809</v>
      </c>
      <c r="E2424" s="115">
        <v>34809</v>
      </c>
      <c r="F2424" s="115">
        <v>34809</v>
      </c>
      <c r="G2424" s="115"/>
      <c r="H2424" s="116"/>
      <c r="I2424" s="114">
        <v>34009</v>
      </c>
      <c r="J2424" s="115">
        <v>34009</v>
      </c>
      <c r="K2424" s="115">
        <v>34009</v>
      </c>
      <c r="L2424" s="115"/>
      <c r="M2424" s="116"/>
    </row>
    <row r="2425" spans="1:13" x14ac:dyDescent="0.2">
      <c r="A2425" t="s">
        <v>61</v>
      </c>
      <c r="B2425" t="s">
        <v>106</v>
      </c>
      <c r="C2425" t="s">
        <v>224</v>
      </c>
      <c r="D2425" s="110">
        <v>23665</v>
      </c>
      <c r="E2425" s="111">
        <v>23665</v>
      </c>
      <c r="F2425" s="111"/>
      <c r="G2425" s="111"/>
      <c r="H2425" s="112"/>
      <c r="I2425" s="110">
        <v>22865</v>
      </c>
      <c r="J2425" s="111">
        <v>22865</v>
      </c>
      <c r="K2425" s="111"/>
      <c r="L2425" s="111"/>
      <c r="M2425" s="112"/>
    </row>
    <row r="2426" spans="1:13" x14ac:dyDescent="0.2">
      <c r="A2426" s="117" t="s">
        <v>61</v>
      </c>
      <c r="B2426" s="117" t="s">
        <v>106</v>
      </c>
      <c r="C2426" s="117" t="s">
        <v>225</v>
      </c>
      <c r="D2426" s="118">
        <v>27152.35</v>
      </c>
      <c r="E2426" s="119"/>
      <c r="F2426" s="119"/>
      <c r="G2426" s="119"/>
      <c r="H2426" s="120"/>
      <c r="I2426" s="118">
        <v>26742.35</v>
      </c>
      <c r="J2426" s="119"/>
      <c r="K2426" s="119"/>
      <c r="L2426" s="119"/>
      <c r="M2426" s="120"/>
    </row>
    <row r="2427" spans="1:13" x14ac:dyDescent="0.2">
      <c r="A2427" t="s">
        <v>61</v>
      </c>
      <c r="B2427" t="s">
        <v>107</v>
      </c>
      <c r="C2427" t="s">
        <v>222</v>
      </c>
      <c r="D2427" s="110">
        <v>64022.28</v>
      </c>
      <c r="E2427" s="111">
        <v>64022.28</v>
      </c>
      <c r="F2427" s="111">
        <v>64022.28</v>
      </c>
      <c r="G2427" s="111">
        <v>64022.28</v>
      </c>
      <c r="H2427" s="112"/>
      <c r="I2427" s="110">
        <v>63037.25</v>
      </c>
      <c r="J2427" s="111">
        <v>63337.279999999999</v>
      </c>
      <c r="K2427" s="111">
        <v>63337.279999999999</v>
      </c>
      <c r="L2427" s="111">
        <v>63337.279999999999</v>
      </c>
      <c r="M2427" s="112"/>
    </row>
    <row r="2428" spans="1:13" x14ac:dyDescent="0.2">
      <c r="A2428" s="113" t="s">
        <v>61</v>
      </c>
      <c r="B2428" s="113" t="s">
        <v>107</v>
      </c>
      <c r="C2428" s="113" t="s">
        <v>223</v>
      </c>
      <c r="D2428" s="114">
        <v>54538.94</v>
      </c>
      <c r="E2428" s="115">
        <v>54538.94</v>
      </c>
      <c r="F2428" s="115">
        <v>54538.94</v>
      </c>
      <c r="G2428" s="115"/>
      <c r="H2428" s="116"/>
      <c r="I2428" s="114">
        <v>54107.34</v>
      </c>
      <c r="J2428" s="115">
        <v>54477.34</v>
      </c>
      <c r="K2428" s="115">
        <v>54477.34</v>
      </c>
      <c r="L2428" s="115"/>
      <c r="M2428" s="116"/>
    </row>
    <row r="2429" spans="1:13" x14ac:dyDescent="0.2">
      <c r="A2429" t="s">
        <v>61</v>
      </c>
      <c r="B2429" t="s">
        <v>107</v>
      </c>
      <c r="C2429" t="s">
        <v>224</v>
      </c>
      <c r="D2429" s="110">
        <v>26417</v>
      </c>
      <c r="E2429" s="111">
        <v>26417</v>
      </c>
      <c r="F2429" s="111"/>
      <c r="G2429" s="111"/>
      <c r="H2429" s="112"/>
      <c r="I2429" s="110">
        <v>25897</v>
      </c>
      <c r="J2429" s="111">
        <v>26277</v>
      </c>
      <c r="K2429" s="111"/>
      <c r="L2429" s="111"/>
      <c r="M2429" s="112"/>
    </row>
    <row r="2430" spans="1:13" x14ac:dyDescent="0.2">
      <c r="A2430" s="117" t="s">
        <v>61</v>
      </c>
      <c r="B2430" s="117" t="s">
        <v>107</v>
      </c>
      <c r="C2430" s="117" t="s">
        <v>225</v>
      </c>
      <c r="D2430" s="118">
        <v>40269.5</v>
      </c>
      <c r="E2430" s="119"/>
      <c r="F2430" s="119"/>
      <c r="G2430" s="119"/>
      <c r="H2430" s="120"/>
      <c r="I2430" s="118">
        <v>40084.5</v>
      </c>
      <c r="J2430" s="119"/>
      <c r="K2430" s="119"/>
      <c r="L2430" s="119"/>
      <c r="M2430" s="120"/>
    </row>
    <row r="2431" spans="1:13" x14ac:dyDescent="0.2">
      <c r="A2431" t="s">
        <v>61</v>
      </c>
      <c r="B2431" t="s">
        <v>108</v>
      </c>
      <c r="C2431" t="s">
        <v>222</v>
      </c>
      <c r="D2431" s="110">
        <v>11275.05</v>
      </c>
      <c r="E2431" s="111">
        <v>11275.05</v>
      </c>
      <c r="F2431" s="111">
        <v>11275.05</v>
      </c>
      <c r="G2431" s="111">
        <v>11275.05</v>
      </c>
      <c r="H2431" s="112"/>
      <c r="I2431" s="110">
        <v>10475.049999999999</v>
      </c>
      <c r="J2431" s="111">
        <v>11275.05</v>
      </c>
      <c r="K2431" s="111">
        <v>11275.05</v>
      </c>
      <c r="L2431" s="111">
        <v>11275.05</v>
      </c>
      <c r="M2431" s="112"/>
    </row>
    <row r="2432" spans="1:13" x14ac:dyDescent="0.2">
      <c r="A2432" s="113" t="s">
        <v>61</v>
      </c>
      <c r="B2432" s="113" t="s">
        <v>108</v>
      </c>
      <c r="C2432" s="113" t="s">
        <v>223</v>
      </c>
      <c r="D2432" s="114">
        <v>18190</v>
      </c>
      <c r="E2432" s="115">
        <v>18190</v>
      </c>
      <c r="F2432" s="115">
        <v>18190</v>
      </c>
      <c r="G2432" s="115"/>
      <c r="H2432" s="116"/>
      <c r="I2432" s="114">
        <v>17390</v>
      </c>
      <c r="J2432" s="115">
        <v>17790</v>
      </c>
      <c r="K2432" s="115">
        <v>17790</v>
      </c>
      <c r="L2432" s="115"/>
      <c r="M2432" s="116"/>
    </row>
    <row r="2433" spans="1:13" x14ac:dyDescent="0.2">
      <c r="A2433" t="s">
        <v>61</v>
      </c>
      <c r="B2433" t="s">
        <v>108</v>
      </c>
      <c r="C2433" t="s">
        <v>224</v>
      </c>
      <c r="D2433" s="110">
        <v>12201.5</v>
      </c>
      <c r="E2433" s="111">
        <v>12201.5</v>
      </c>
      <c r="F2433" s="111"/>
      <c r="G2433" s="111"/>
      <c r="H2433" s="112"/>
      <c r="I2433" s="110">
        <v>12162.5</v>
      </c>
      <c r="J2433" s="111">
        <v>12162.5</v>
      </c>
      <c r="K2433" s="111"/>
      <c r="L2433" s="111"/>
      <c r="M2433" s="112"/>
    </row>
    <row r="2434" spans="1:13" x14ac:dyDescent="0.2">
      <c r="A2434" s="117" t="s">
        <v>61</v>
      </c>
      <c r="B2434" s="117" t="s">
        <v>108</v>
      </c>
      <c r="C2434" s="117" t="s">
        <v>225</v>
      </c>
      <c r="D2434" s="118">
        <v>17261</v>
      </c>
      <c r="E2434" s="119"/>
      <c r="F2434" s="119"/>
      <c r="G2434" s="119"/>
      <c r="H2434" s="120"/>
      <c r="I2434" s="118">
        <v>16206</v>
      </c>
      <c r="J2434" s="119"/>
      <c r="K2434" s="119"/>
      <c r="L2434" s="119"/>
      <c r="M2434" s="120"/>
    </row>
    <row r="2435" spans="1:13" x14ac:dyDescent="0.2">
      <c r="A2435" t="s">
        <v>61</v>
      </c>
      <c r="B2435" t="s">
        <v>70</v>
      </c>
      <c r="C2435" t="s">
        <v>222</v>
      </c>
      <c r="D2435" s="110">
        <v>15749.25</v>
      </c>
      <c r="E2435" s="111">
        <v>15749.25</v>
      </c>
      <c r="F2435" s="111">
        <v>15749.25</v>
      </c>
      <c r="G2435" s="111">
        <v>15749.25</v>
      </c>
      <c r="H2435" s="112"/>
      <c r="I2435" s="110">
        <v>15616.25</v>
      </c>
      <c r="J2435" s="111">
        <v>15616.25</v>
      </c>
      <c r="K2435" s="111">
        <v>15616.25</v>
      </c>
      <c r="L2435" s="111">
        <v>15616.25</v>
      </c>
      <c r="M2435" s="112"/>
    </row>
    <row r="2436" spans="1:13" x14ac:dyDescent="0.2">
      <c r="A2436" s="113" t="s">
        <v>61</v>
      </c>
      <c r="B2436" s="113" t="s">
        <v>70</v>
      </c>
      <c r="C2436" s="113" t="s">
        <v>223</v>
      </c>
      <c r="D2436" s="114">
        <v>23018.5</v>
      </c>
      <c r="E2436" s="115">
        <v>23018.5</v>
      </c>
      <c r="F2436" s="115">
        <v>23018.5</v>
      </c>
      <c r="G2436" s="115"/>
      <c r="H2436" s="116"/>
      <c r="I2436" s="114">
        <v>21726.5</v>
      </c>
      <c r="J2436" s="115">
        <v>21726.5</v>
      </c>
      <c r="K2436" s="115">
        <v>21726.5</v>
      </c>
      <c r="L2436" s="115"/>
      <c r="M2436" s="116"/>
    </row>
    <row r="2437" spans="1:13" x14ac:dyDescent="0.2">
      <c r="A2437" t="s">
        <v>61</v>
      </c>
      <c r="B2437" t="s">
        <v>70</v>
      </c>
      <c r="C2437" t="s">
        <v>224</v>
      </c>
      <c r="D2437" s="110">
        <v>26496</v>
      </c>
      <c r="E2437" s="111">
        <v>26496</v>
      </c>
      <c r="F2437" s="111"/>
      <c r="G2437" s="111"/>
      <c r="H2437" s="112"/>
      <c r="I2437" s="110">
        <v>24853</v>
      </c>
      <c r="J2437" s="111">
        <v>25309</v>
      </c>
      <c r="K2437" s="111"/>
      <c r="L2437" s="111"/>
      <c r="M2437" s="112"/>
    </row>
    <row r="2438" spans="1:13" x14ac:dyDescent="0.2">
      <c r="A2438" s="117" t="s">
        <v>61</v>
      </c>
      <c r="B2438" s="117" t="s">
        <v>70</v>
      </c>
      <c r="C2438" s="117" t="s">
        <v>225</v>
      </c>
      <c r="D2438" s="118">
        <v>21321.65</v>
      </c>
      <c r="E2438" s="119"/>
      <c r="F2438" s="119"/>
      <c r="G2438" s="119"/>
      <c r="H2438" s="120"/>
      <c r="I2438" s="118">
        <v>20885.650000000001</v>
      </c>
      <c r="J2438" s="119"/>
      <c r="K2438" s="119"/>
      <c r="L2438" s="119"/>
      <c r="M2438" s="120"/>
    </row>
    <row r="2439" spans="1:13" x14ac:dyDescent="0.2">
      <c r="A2439" t="s">
        <v>61</v>
      </c>
      <c r="B2439" t="s">
        <v>110</v>
      </c>
      <c r="C2439" t="s">
        <v>222</v>
      </c>
      <c r="D2439" s="110">
        <v>168844.2</v>
      </c>
      <c r="E2439" s="111">
        <v>160077.85</v>
      </c>
      <c r="F2439" s="111">
        <v>160077.85</v>
      </c>
      <c r="G2439" s="111">
        <v>160077.85</v>
      </c>
      <c r="H2439" s="112"/>
      <c r="I2439" s="110">
        <v>62325.1</v>
      </c>
      <c r="J2439" s="111">
        <v>122987</v>
      </c>
      <c r="K2439" s="111">
        <v>131043.16</v>
      </c>
      <c r="L2439" s="111">
        <v>138186.35</v>
      </c>
      <c r="M2439" s="112"/>
    </row>
    <row r="2440" spans="1:13" x14ac:dyDescent="0.2">
      <c r="A2440" s="113" t="s">
        <v>61</v>
      </c>
      <c r="B2440" s="113" t="s">
        <v>110</v>
      </c>
      <c r="C2440" s="113" t="s">
        <v>223</v>
      </c>
      <c r="D2440" s="114">
        <v>166153.79999999999</v>
      </c>
      <c r="E2440" s="115">
        <v>166011.35</v>
      </c>
      <c r="F2440" s="115">
        <v>165322.85</v>
      </c>
      <c r="G2440" s="115"/>
      <c r="H2440" s="116"/>
      <c r="I2440" s="114">
        <v>74232.55</v>
      </c>
      <c r="J2440" s="115">
        <v>105173.53</v>
      </c>
      <c r="K2440" s="115">
        <v>127003.87</v>
      </c>
      <c r="L2440" s="115"/>
      <c r="M2440" s="116"/>
    </row>
    <row r="2441" spans="1:13" x14ac:dyDescent="0.2">
      <c r="A2441" t="s">
        <v>61</v>
      </c>
      <c r="B2441" t="s">
        <v>110</v>
      </c>
      <c r="C2441" t="s">
        <v>224</v>
      </c>
      <c r="D2441" s="110">
        <v>117220.5</v>
      </c>
      <c r="E2441" s="111">
        <v>117220.5</v>
      </c>
      <c r="F2441" s="111"/>
      <c r="G2441" s="111"/>
      <c r="H2441" s="112"/>
      <c r="I2441" s="110">
        <v>41005.089999999997</v>
      </c>
      <c r="J2441" s="111">
        <v>79167.7</v>
      </c>
      <c r="K2441" s="111"/>
      <c r="L2441" s="111"/>
      <c r="M2441" s="112"/>
    </row>
    <row r="2442" spans="1:13" ht="13.5" thickBot="1" x14ac:dyDescent="0.25">
      <c r="A2442" s="128" t="s">
        <v>61</v>
      </c>
      <c r="B2442" s="128" t="s">
        <v>110</v>
      </c>
      <c r="C2442" s="128" t="s">
        <v>225</v>
      </c>
      <c r="D2442" s="129">
        <v>139697.75</v>
      </c>
      <c r="E2442" s="130"/>
      <c r="F2442" s="130"/>
      <c r="G2442" s="130"/>
      <c r="H2442" s="131"/>
      <c r="I2442" s="129">
        <v>52986.35</v>
      </c>
      <c r="J2442" s="130"/>
      <c r="K2442" s="130"/>
      <c r="L2442" s="130"/>
      <c r="M2442" s="131"/>
    </row>
    <row r="2443" spans="1:13" x14ac:dyDescent="0.2">
      <c r="A2443" s="132" t="s">
        <v>62</v>
      </c>
      <c r="B2443" s="132" t="s">
        <v>104</v>
      </c>
      <c r="C2443" s="132" t="s">
        <v>222</v>
      </c>
      <c r="D2443" s="133">
        <v>62639.5</v>
      </c>
      <c r="E2443" s="134">
        <v>62939.5</v>
      </c>
      <c r="F2443" s="134">
        <v>63139.5</v>
      </c>
      <c r="G2443" s="134">
        <v>63139.5</v>
      </c>
      <c r="H2443" s="135"/>
      <c r="I2443" s="133">
        <v>2723.23</v>
      </c>
      <c r="J2443" s="134">
        <v>2723.23</v>
      </c>
      <c r="K2443" s="134">
        <v>7924.68</v>
      </c>
      <c r="L2443" s="134">
        <v>10234.41</v>
      </c>
      <c r="M2443" s="135"/>
    </row>
    <row r="2444" spans="1:13" x14ac:dyDescent="0.2">
      <c r="A2444" s="113" t="s">
        <v>62</v>
      </c>
      <c r="B2444" s="113" t="s">
        <v>104</v>
      </c>
      <c r="C2444" s="113" t="s">
        <v>223</v>
      </c>
      <c r="D2444" s="114">
        <v>75918.55</v>
      </c>
      <c r="E2444" s="115">
        <v>75993.55</v>
      </c>
      <c r="F2444" s="115">
        <v>75993.55</v>
      </c>
      <c r="G2444" s="115"/>
      <c r="H2444" s="116"/>
      <c r="I2444" s="114">
        <v>1845</v>
      </c>
      <c r="J2444" s="115">
        <v>3601.2</v>
      </c>
      <c r="K2444" s="115">
        <v>4055.78</v>
      </c>
      <c r="L2444" s="115"/>
      <c r="M2444" s="116"/>
    </row>
    <row r="2445" spans="1:13" x14ac:dyDescent="0.2">
      <c r="A2445" t="s">
        <v>62</v>
      </c>
      <c r="B2445" t="s">
        <v>104</v>
      </c>
      <c r="C2445" t="s">
        <v>224</v>
      </c>
      <c r="D2445" s="110">
        <v>30431.29</v>
      </c>
      <c r="E2445" s="111">
        <v>30531.29</v>
      </c>
      <c r="F2445" s="111"/>
      <c r="G2445" s="111"/>
      <c r="H2445" s="112"/>
      <c r="I2445" s="110">
        <v>1704.89</v>
      </c>
      <c r="J2445" s="111">
        <v>2077.2399999999998</v>
      </c>
      <c r="K2445" s="111"/>
      <c r="L2445" s="111"/>
      <c r="M2445" s="112"/>
    </row>
    <row r="2446" spans="1:13" x14ac:dyDescent="0.2">
      <c r="A2446" s="117" t="s">
        <v>62</v>
      </c>
      <c r="B2446" s="117" t="s">
        <v>104</v>
      </c>
      <c r="C2446" s="117" t="s">
        <v>225</v>
      </c>
      <c r="D2446" s="118">
        <v>38432.75</v>
      </c>
      <c r="E2446" s="119"/>
      <c r="F2446" s="119"/>
      <c r="G2446" s="119"/>
      <c r="H2446" s="120"/>
      <c r="I2446" s="118">
        <v>731.5</v>
      </c>
      <c r="J2446" s="119"/>
      <c r="K2446" s="119"/>
      <c r="L2446" s="119"/>
      <c r="M2446" s="120"/>
    </row>
    <row r="2447" spans="1:13" x14ac:dyDescent="0.2">
      <c r="A2447" t="s">
        <v>62</v>
      </c>
      <c r="B2447" t="s">
        <v>140</v>
      </c>
      <c r="C2447" t="s">
        <v>222</v>
      </c>
      <c r="D2447" s="110">
        <v>250</v>
      </c>
      <c r="E2447" s="111">
        <v>250</v>
      </c>
      <c r="F2447" s="111">
        <v>250</v>
      </c>
      <c r="G2447" s="111">
        <v>250</v>
      </c>
      <c r="H2447" s="112"/>
      <c r="I2447" s="110"/>
      <c r="J2447" s="111">
        <v>0</v>
      </c>
      <c r="K2447" s="111">
        <v>0</v>
      </c>
      <c r="L2447" s="111">
        <v>0</v>
      </c>
      <c r="M2447" s="112"/>
    </row>
    <row r="2448" spans="1:13" x14ac:dyDescent="0.2">
      <c r="A2448" s="113" t="s">
        <v>62</v>
      </c>
      <c r="B2448" s="113" t="s">
        <v>140</v>
      </c>
      <c r="C2448" s="113" t="s">
        <v>223</v>
      </c>
      <c r="D2448" s="114">
        <v>250</v>
      </c>
      <c r="E2448" s="115">
        <v>250</v>
      </c>
      <c r="F2448" s="115">
        <v>250</v>
      </c>
      <c r="G2448" s="115"/>
      <c r="H2448" s="116"/>
      <c r="I2448" s="114">
        <v>0</v>
      </c>
      <c r="J2448" s="115"/>
      <c r="K2448" s="115">
        <v>0</v>
      </c>
      <c r="L2448" s="115"/>
      <c r="M2448" s="116"/>
    </row>
    <row r="2449" spans="1:13" x14ac:dyDescent="0.2">
      <c r="A2449" t="s">
        <v>62</v>
      </c>
      <c r="B2449" t="s">
        <v>140</v>
      </c>
      <c r="C2449" t="s">
        <v>224</v>
      </c>
      <c r="D2449" s="110">
        <v>500</v>
      </c>
      <c r="E2449" s="111">
        <v>500</v>
      </c>
      <c r="F2449" s="111"/>
      <c r="G2449" s="111"/>
      <c r="H2449" s="112"/>
      <c r="I2449" s="110">
        <v>0</v>
      </c>
      <c r="J2449" s="111">
        <v>17.72</v>
      </c>
      <c r="K2449" s="111"/>
      <c r="L2449" s="111"/>
      <c r="M2449" s="112"/>
    </row>
    <row r="2450" spans="1:13" x14ac:dyDescent="0.2">
      <c r="A2450" s="117" t="s">
        <v>62</v>
      </c>
      <c r="B2450" s="117" t="s">
        <v>140</v>
      </c>
      <c r="C2450" s="117" t="s">
        <v>225</v>
      </c>
      <c r="D2450" s="118">
        <v>0</v>
      </c>
      <c r="E2450" s="119"/>
      <c r="F2450" s="119"/>
      <c r="G2450" s="119"/>
      <c r="H2450" s="120"/>
      <c r="I2450" s="118">
        <v>0</v>
      </c>
      <c r="J2450" s="119"/>
      <c r="K2450" s="119"/>
      <c r="L2450" s="119"/>
      <c r="M2450" s="120"/>
    </row>
    <row r="2451" spans="1:13" x14ac:dyDescent="0.2">
      <c r="A2451" t="s">
        <v>62</v>
      </c>
      <c r="B2451" t="s">
        <v>105</v>
      </c>
      <c r="C2451" t="s">
        <v>222</v>
      </c>
      <c r="D2451" s="110">
        <v>28229</v>
      </c>
      <c r="E2451" s="111">
        <v>28229</v>
      </c>
      <c r="F2451" s="111">
        <v>28229</v>
      </c>
      <c r="G2451" s="111">
        <v>28229</v>
      </c>
      <c r="H2451" s="112"/>
      <c r="I2451" s="110">
        <v>3692</v>
      </c>
      <c r="J2451" s="111">
        <v>3692</v>
      </c>
      <c r="K2451" s="111">
        <v>12498.67</v>
      </c>
      <c r="L2451" s="111">
        <v>14896.17</v>
      </c>
      <c r="M2451" s="112"/>
    </row>
    <row r="2452" spans="1:13" x14ac:dyDescent="0.2">
      <c r="A2452" s="113" t="s">
        <v>62</v>
      </c>
      <c r="B2452" s="113" t="s">
        <v>105</v>
      </c>
      <c r="C2452" s="113" t="s">
        <v>223</v>
      </c>
      <c r="D2452" s="114">
        <v>23378.5</v>
      </c>
      <c r="E2452" s="115">
        <v>23109.5</v>
      </c>
      <c r="F2452" s="115">
        <v>23009.5</v>
      </c>
      <c r="G2452" s="115"/>
      <c r="H2452" s="116"/>
      <c r="I2452" s="114">
        <v>1871.5</v>
      </c>
      <c r="J2452" s="115">
        <v>4453.5</v>
      </c>
      <c r="K2452" s="115">
        <v>7217.67</v>
      </c>
      <c r="L2452" s="115"/>
      <c r="M2452" s="116"/>
    </row>
    <row r="2453" spans="1:13" x14ac:dyDescent="0.2">
      <c r="A2453" t="s">
        <v>62</v>
      </c>
      <c r="B2453" t="s">
        <v>105</v>
      </c>
      <c r="C2453" t="s">
        <v>224</v>
      </c>
      <c r="D2453" s="110">
        <v>19794.5</v>
      </c>
      <c r="E2453" s="111">
        <v>20680.5</v>
      </c>
      <c r="F2453" s="111"/>
      <c r="G2453" s="111"/>
      <c r="H2453" s="112"/>
      <c r="I2453" s="110">
        <v>2077</v>
      </c>
      <c r="J2453" s="111">
        <v>4906.1499999999996</v>
      </c>
      <c r="K2453" s="111"/>
      <c r="L2453" s="111"/>
      <c r="M2453" s="112"/>
    </row>
    <row r="2454" spans="1:13" x14ac:dyDescent="0.2">
      <c r="A2454" s="117" t="s">
        <v>62</v>
      </c>
      <c r="B2454" s="117" t="s">
        <v>105</v>
      </c>
      <c r="C2454" s="117" t="s">
        <v>225</v>
      </c>
      <c r="D2454" s="118">
        <v>28503.5</v>
      </c>
      <c r="E2454" s="119"/>
      <c r="F2454" s="119"/>
      <c r="G2454" s="119"/>
      <c r="H2454" s="120"/>
      <c r="I2454" s="118">
        <v>3930.37</v>
      </c>
      <c r="J2454" s="119"/>
      <c r="K2454" s="119"/>
      <c r="L2454" s="119"/>
      <c r="M2454" s="120"/>
    </row>
    <row r="2455" spans="1:13" x14ac:dyDescent="0.2">
      <c r="A2455" t="s">
        <v>62</v>
      </c>
      <c r="B2455" t="s">
        <v>111</v>
      </c>
      <c r="C2455" t="s">
        <v>222</v>
      </c>
      <c r="D2455" s="110">
        <v>568</v>
      </c>
      <c r="E2455" s="111">
        <v>568</v>
      </c>
      <c r="F2455" s="111">
        <v>568</v>
      </c>
      <c r="G2455" s="111">
        <v>568</v>
      </c>
      <c r="H2455" s="112"/>
      <c r="I2455" s="110">
        <v>0</v>
      </c>
      <c r="J2455" s="111">
        <v>0</v>
      </c>
      <c r="K2455" s="111">
        <v>0</v>
      </c>
      <c r="L2455" s="111">
        <v>0</v>
      </c>
      <c r="M2455" s="112"/>
    </row>
    <row r="2456" spans="1:13" x14ac:dyDescent="0.2">
      <c r="A2456" s="113" t="s">
        <v>62</v>
      </c>
      <c r="B2456" s="113" t="s">
        <v>111</v>
      </c>
      <c r="C2456" s="113" t="s">
        <v>223</v>
      </c>
      <c r="D2456" s="114">
        <v>795</v>
      </c>
      <c r="E2456" s="115">
        <v>795</v>
      </c>
      <c r="F2456" s="115">
        <v>795</v>
      </c>
      <c r="G2456" s="115"/>
      <c r="H2456" s="116"/>
      <c r="I2456" s="114">
        <v>77</v>
      </c>
      <c r="J2456" s="115">
        <v>77</v>
      </c>
      <c r="K2456" s="115">
        <v>77</v>
      </c>
      <c r="L2456" s="115"/>
      <c r="M2456" s="116"/>
    </row>
    <row r="2457" spans="1:13" x14ac:dyDescent="0.2">
      <c r="A2457" t="s">
        <v>62</v>
      </c>
      <c r="B2457" t="s">
        <v>111</v>
      </c>
      <c r="C2457" t="s">
        <v>224</v>
      </c>
      <c r="D2457" s="110">
        <v>2312</v>
      </c>
      <c r="E2457" s="111">
        <v>2312</v>
      </c>
      <c r="F2457" s="111"/>
      <c r="G2457" s="111"/>
      <c r="H2457" s="112"/>
      <c r="I2457" s="110">
        <v>0</v>
      </c>
      <c r="J2457" s="111">
        <v>0</v>
      </c>
      <c r="K2457" s="111"/>
      <c r="L2457" s="111"/>
      <c r="M2457" s="112"/>
    </row>
    <row r="2458" spans="1:13" x14ac:dyDescent="0.2">
      <c r="A2458" s="117" t="s">
        <v>62</v>
      </c>
      <c r="B2458" s="117" t="s">
        <v>111</v>
      </c>
      <c r="C2458" s="117" t="s">
        <v>225</v>
      </c>
      <c r="D2458" s="118">
        <v>322</v>
      </c>
      <c r="E2458" s="119"/>
      <c r="F2458" s="119"/>
      <c r="G2458" s="119"/>
      <c r="H2458" s="120"/>
      <c r="I2458" s="118">
        <v>212</v>
      </c>
      <c r="J2458" s="119"/>
      <c r="K2458" s="119"/>
      <c r="L2458" s="119"/>
      <c r="M2458" s="120"/>
    </row>
    <row r="2459" spans="1:13" x14ac:dyDescent="0.2">
      <c r="A2459" s="124" t="s">
        <v>62</v>
      </c>
      <c r="B2459" s="124" t="s">
        <v>109</v>
      </c>
      <c r="C2459" s="124" t="s">
        <v>222</v>
      </c>
      <c r="D2459" s="125">
        <v>45043.5</v>
      </c>
      <c r="E2459" s="126">
        <v>45043.5</v>
      </c>
      <c r="F2459" s="126">
        <v>45043.5</v>
      </c>
      <c r="G2459" s="126">
        <v>45043.5</v>
      </c>
      <c r="H2459" s="127"/>
      <c r="I2459" s="125">
        <v>7397.25</v>
      </c>
      <c r="J2459" s="126">
        <v>17176.349999999999</v>
      </c>
      <c r="K2459" s="126">
        <v>22011.25</v>
      </c>
      <c r="L2459" s="126">
        <v>23539.25</v>
      </c>
      <c r="M2459" s="127"/>
    </row>
    <row r="2460" spans="1:13" x14ac:dyDescent="0.2">
      <c r="A2460" s="113" t="s">
        <v>62</v>
      </c>
      <c r="B2460" s="113" t="s">
        <v>109</v>
      </c>
      <c r="C2460" s="113" t="s">
        <v>223</v>
      </c>
      <c r="D2460" s="114">
        <v>27032</v>
      </c>
      <c r="E2460" s="115">
        <v>27473</v>
      </c>
      <c r="F2460" s="115">
        <v>27498</v>
      </c>
      <c r="G2460" s="115"/>
      <c r="H2460" s="116"/>
      <c r="I2460" s="114">
        <v>671.95</v>
      </c>
      <c r="J2460" s="115">
        <v>4491.1000000000004</v>
      </c>
      <c r="K2460" s="115">
        <v>7749.7</v>
      </c>
      <c r="L2460" s="115"/>
      <c r="M2460" s="116"/>
    </row>
    <row r="2461" spans="1:13" x14ac:dyDescent="0.2">
      <c r="A2461" t="s">
        <v>62</v>
      </c>
      <c r="B2461" t="s">
        <v>109</v>
      </c>
      <c r="C2461" t="s">
        <v>224</v>
      </c>
      <c r="D2461" s="110">
        <v>14237.5</v>
      </c>
      <c r="E2461" s="111">
        <v>14678.5</v>
      </c>
      <c r="F2461" s="111"/>
      <c r="G2461" s="111"/>
      <c r="H2461" s="112"/>
      <c r="I2461" s="110">
        <v>1036.9000000000001</v>
      </c>
      <c r="J2461" s="111">
        <v>2961.55</v>
      </c>
      <c r="K2461" s="111"/>
      <c r="L2461" s="111"/>
      <c r="M2461" s="112"/>
    </row>
    <row r="2462" spans="1:13" x14ac:dyDescent="0.2">
      <c r="A2462" s="117" t="s">
        <v>62</v>
      </c>
      <c r="B2462" s="117" t="s">
        <v>109</v>
      </c>
      <c r="C2462" s="117" t="s">
        <v>225</v>
      </c>
      <c r="D2462" s="118">
        <v>21973.279999999999</v>
      </c>
      <c r="E2462" s="119"/>
      <c r="F2462" s="119"/>
      <c r="G2462" s="119"/>
      <c r="H2462" s="120"/>
      <c r="I2462" s="118">
        <v>1495.85</v>
      </c>
      <c r="J2462" s="119"/>
      <c r="K2462" s="119"/>
      <c r="L2462" s="119"/>
      <c r="M2462" s="120"/>
    </row>
    <row r="2463" spans="1:13" x14ac:dyDescent="0.2">
      <c r="A2463" t="s">
        <v>62</v>
      </c>
      <c r="B2463" t="s">
        <v>106</v>
      </c>
      <c r="C2463" t="s">
        <v>222</v>
      </c>
      <c r="D2463" s="110">
        <v>23439.15</v>
      </c>
      <c r="E2463" s="111">
        <v>23439.15</v>
      </c>
      <c r="F2463" s="111">
        <v>23439.15</v>
      </c>
      <c r="G2463" s="111">
        <v>23439.15</v>
      </c>
      <c r="H2463" s="112"/>
      <c r="I2463" s="110">
        <v>23039.15</v>
      </c>
      <c r="J2463" s="111">
        <v>23439.15</v>
      </c>
      <c r="K2463" s="111">
        <v>23439.15</v>
      </c>
      <c r="L2463" s="111">
        <v>23439.15</v>
      </c>
      <c r="M2463" s="112"/>
    </row>
    <row r="2464" spans="1:13" x14ac:dyDescent="0.2">
      <c r="A2464" s="113" t="s">
        <v>62</v>
      </c>
      <c r="B2464" s="113" t="s">
        <v>106</v>
      </c>
      <c r="C2464" s="113" t="s">
        <v>223</v>
      </c>
      <c r="D2464" s="114">
        <v>19214.8</v>
      </c>
      <c r="E2464" s="115">
        <v>19214.8</v>
      </c>
      <c r="F2464" s="115">
        <v>19214.8</v>
      </c>
      <c r="G2464" s="115"/>
      <c r="H2464" s="116"/>
      <c r="I2464" s="114">
        <v>18430.8</v>
      </c>
      <c r="J2464" s="115">
        <v>18804.8</v>
      </c>
      <c r="K2464" s="115">
        <v>18804.8</v>
      </c>
      <c r="L2464" s="115"/>
      <c r="M2464" s="116"/>
    </row>
    <row r="2465" spans="1:13" x14ac:dyDescent="0.2">
      <c r="A2465" t="s">
        <v>62</v>
      </c>
      <c r="B2465" t="s">
        <v>106</v>
      </c>
      <c r="C2465" t="s">
        <v>224</v>
      </c>
      <c r="D2465" s="110">
        <v>7430</v>
      </c>
      <c r="E2465" s="111">
        <v>7410</v>
      </c>
      <c r="F2465" s="111"/>
      <c r="G2465" s="111"/>
      <c r="H2465" s="112"/>
      <c r="I2465" s="110">
        <v>7010</v>
      </c>
      <c r="J2465" s="111">
        <v>7410</v>
      </c>
      <c r="K2465" s="111"/>
      <c r="L2465" s="111"/>
      <c r="M2465" s="112"/>
    </row>
    <row r="2466" spans="1:13" x14ac:dyDescent="0.2">
      <c r="A2466" s="117" t="s">
        <v>62</v>
      </c>
      <c r="B2466" s="117" t="s">
        <v>106</v>
      </c>
      <c r="C2466" s="117" t="s">
        <v>225</v>
      </c>
      <c r="D2466" s="118">
        <v>10927</v>
      </c>
      <c r="E2466" s="119"/>
      <c r="F2466" s="119"/>
      <c r="G2466" s="119"/>
      <c r="H2466" s="120"/>
      <c r="I2466" s="118">
        <v>9727</v>
      </c>
      <c r="J2466" s="119"/>
      <c r="K2466" s="119"/>
      <c r="L2466" s="119"/>
      <c r="M2466" s="120"/>
    </row>
    <row r="2467" spans="1:13" x14ac:dyDescent="0.2">
      <c r="A2467" t="s">
        <v>62</v>
      </c>
      <c r="B2467" t="s">
        <v>107</v>
      </c>
      <c r="C2467" t="s">
        <v>222</v>
      </c>
      <c r="D2467" s="110">
        <v>22643.1</v>
      </c>
      <c r="E2467" s="111">
        <v>22643.1</v>
      </c>
      <c r="F2467" s="111">
        <v>22643.1</v>
      </c>
      <c r="G2467" s="111">
        <v>22643.1</v>
      </c>
      <c r="H2467" s="112"/>
      <c r="I2467" s="110">
        <v>21533.1</v>
      </c>
      <c r="J2467" s="111">
        <v>22548.1</v>
      </c>
      <c r="K2467" s="111">
        <v>22548.1</v>
      </c>
      <c r="L2467" s="111">
        <v>22548.1</v>
      </c>
      <c r="M2467" s="112"/>
    </row>
    <row r="2468" spans="1:13" x14ac:dyDescent="0.2">
      <c r="A2468" s="113" t="s">
        <v>62</v>
      </c>
      <c r="B2468" s="113" t="s">
        <v>107</v>
      </c>
      <c r="C2468" s="113" t="s">
        <v>223</v>
      </c>
      <c r="D2468" s="114">
        <v>19088.330000000002</v>
      </c>
      <c r="E2468" s="115">
        <v>19078.330000000002</v>
      </c>
      <c r="F2468" s="115">
        <v>19078.330000000002</v>
      </c>
      <c r="G2468" s="115"/>
      <c r="H2468" s="116"/>
      <c r="I2468" s="114">
        <v>18003.330000000002</v>
      </c>
      <c r="J2468" s="115">
        <v>18683.330000000002</v>
      </c>
      <c r="K2468" s="115">
        <v>18683.330000000002</v>
      </c>
      <c r="L2468" s="115"/>
      <c r="M2468" s="116"/>
    </row>
    <row r="2469" spans="1:13" x14ac:dyDescent="0.2">
      <c r="A2469" t="s">
        <v>62</v>
      </c>
      <c r="B2469" t="s">
        <v>107</v>
      </c>
      <c r="C2469" t="s">
        <v>224</v>
      </c>
      <c r="D2469" s="110">
        <v>7671</v>
      </c>
      <c r="E2469" s="111">
        <v>7671</v>
      </c>
      <c r="F2469" s="111"/>
      <c r="G2469" s="111"/>
      <c r="H2469" s="112"/>
      <c r="I2469" s="110">
        <v>6101</v>
      </c>
      <c r="J2469" s="111">
        <v>6691</v>
      </c>
      <c r="K2469" s="111"/>
      <c r="L2469" s="111"/>
      <c r="M2469" s="112"/>
    </row>
    <row r="2470" spans="1:13" x14ac:dyDescent="0.2">
      <c r="A2470" s="117" t="s">
        <v>62</v>
      </c>
      <c r="B2470" s="117" t="s">
        <v>107</v>
      </c>
      <c r="C2470" s="117" t="s">
        <v>225</v>
      </c>
      <c r="D2470" s="118">
        <v>11927</v>
      </c>
      <c r="E2470" s="119"/>
      <c r="F2470" s="119"/>
      <c r="G2470" s="119"/>
      <c r="H2470" s="120"/>
      <c r="I2470" s="118">
        <v>11007</v>
      </c>
      <c r="J2470" s="119"/>
      <c r="K2470" s="119"/>
      <c r="L2470" s="119"/>
      <c r="M2470" s="120"/>
    </row>
    <row r="2471" spans="1:13" x14ac:dyDescent="0.2">
      <c r="A2471" t="s">
        <v>62</v>
      </c>
      <c r="B2471" t="s">
        <v>108</v>
      </c>
      <c r="C2471" t="s">
        <v>222</v>
      </c>
      <c r="D2471" s="110">
        <v>5998</v>
      </c>
      <c r="E2471" s="111">
        <v>6083</v>
      </c>
      <c r="F2471" s="111">
        <v>6083</v>
      </c>
      <c r="G2471" s="111">
        <v>6083</v>
      </c>
      <c r="H2471" s="112"/>
      <c r="I2471" s="110">
        <v>5998</v>
      </c>
      <c r="J2471" s="111">
        <v>5998</v>
      </c>
      <c r="K2471" s="111">
        <v>5998</v>
      </c>
      <c r="L2471" s="111">
        <v>5998</v>
      </c>
      <c r="M2471" s="112"/>
    </row>
    <row r="2472" spans="1:13" x14ac:dyDescent="0.2">
      <c r="A2472" s="113" t="s">
        <v>62</v>
      </c>
      <c r="B2472" s="113" t="s">
        <v>108</v>
      </c>
      <c r="C2472" s="113" t="s">
        <v>223</v>
      </c>
      <c r="D2472" s="114">
        <v>8954</v>
      </c>
      <c r="E2472" s="115">
        <v>8954</v>
      </c>
      <c r="F2472" s="115">
        <v>8954</v>
      </c>
      <c r="G2472" s="115"/>
      <c r="H2472" s="116"/>
      <c r="I2472" s="114">
        <v>8954</v>
      </c>
      <c r="J2472" s="115">
        <v>8954</v>
      </c>
      <c r="K2472" s="115">
        <v>8954</v>
      </c>
      <c r="L2472" s="115"/>
      <c r="M2472" s="116"/>
    </row>
    <row r="2473" spans="1:13" x14ac:dyDescent="0.2">
      <c r="A2473" t="s">
        <v>62</v>
      </c>
      <c r="B2473" t="s">
        <v>108</v>
      </c>
      <c r="C2473" t="s">
        <v>224</v>
      </c>
      <c r="D2473" s="110">
        <v>9149</v>
      </c>
      <c r="E2473" s="111">
        <v>9149</v>
      </c>
      <c r="F2473" s="111"/>
      <c r="G2473" s="111"/>
      <c r="H2473" s="112"/>
      <c r="I2473" s="110">
        <v>8354</v>
      </c>
      <c r="J2473" s="111">
        <v>8749</v>
      </c>
      <c r="K2473" s="111"/>
      <c r="L2473" s="111"/>
      <c r="M2473" s="112"/>
    </row>
    <row r="2474" spans="1:13" x14ac:dyDescent="0.2">
      <c r="A2474" s="117" t="s">
        <v>62</v>
      </c>
      <c r="B2474" s="117" t="s">
        <v>108</v>
      </c>
      <c r="C2474" s="117" t="s">
        <v>225</v>
      </c>
      <c r="D2474" s="118">
        <v>8016</v>
      </c>
      <c r="E2474" s="119"/>
      <c r="F2474" s="119"/>
      <c r="G2474" s="119"/>
      <c r="H2474" s="120"/>
      <c r="I2474" s="118">
        <v>7326</v>
      </c>
      <c r="J2474" s="119"/>
      <c r="K2474" s="119"/>
      <c r="L2474" s="119"/>
      <c r="M2474" s="120"/>
    </row>
    <row r="2475" spans="1:13" x14ac:dyDescent="0.2">
      <c r="A2475" t="s">
        <v>62</v>
      </c>
      <c r="B2475" t="s">
        <v>70</v>
      </c>
      <c r="C2475" t="s">
        <v>222</v>
      </c>
      <c r="D2475" s="110">
        <v>12258</v>
      </c>
      <c r="E2475" s="111">
        <v>12258</v>
      </c>
      <c r="F2475" s="111">
        <v>12258</v>
      </c>
      <c r="G2475" s="111">
        <v>12258</v>
      </c>
      <c r="H2475" s="112"/>
      <c r="I2475" s="110">
        <v>10728</v>
      </c>
      <c r="J2475" s="111">
        <v>10728</v>
      </c>
      <c r="K2475" s="111">
        <v>10728</v>
      </c>
      <c r="L2475" s="111">
        <v>10728</v>
      </c>
      <c r="M2475" s="112"/>
    </row>
    <row r="2476" spans="1:13" x14ac:dyDescent="0.2">
      <c r="A2476" s="113" t="s">
        <v>62</v>
      </c>
      <c r="B2476" s="113" t="s">
        <v>70</v>
      </c>
      <c r="C2476" s="113" t="s">
        <v>223</v>
      </c>
      <c r="D2476" s="114">
        <v>11140</v>
      </c>
      <c r="E2476" s="115">
        <v>11140</v>
      </c>
      <c r="F2476" s="115">
        <v>11140</v>
      </c>
      <c r="G2476" s="115"/>
      <c r="H2476" s="116"/>
      <c r="I2476" s="114">
        <v>8500</v>
      </c>
      <c r="J2476" s="115">
        <v>8500</v>
      </c>
      <c r="K2476" s="115">
        <v>8500</v>
      </c>
      <c r="L2476" s="115"/>
      <c r="M2476" s="116"/>
    </row>
    <row r="2477" spans="1:13" x14ac:dyDescent="0.2">
      <c r="A2477" t="s">
        <v>62</v>
      </c>
      <c r="B2477" t="s">
        <v>70</v>
      </c>
      <c r="C2477" t="s">
        <v>224</v>
      </c>
      <c r="D2477" s="110">
        <v>7307</v>
      </c>
      <c r="E2477" s="111">
        <v>7307</v>
      </c>
      <c r="F2477" s="111"/>
      <c r="G2477" s="111"/>
      <c r="H2477" s="112"/>
      <c r="I2477" s="110">
        <v>6977</v>
      </c>
      <c r="J2477" s="111">
        <v>7287</v>
      </c>
      <c r="K2477" s="111"/>
      <c r="L2477" s="111"/>
      <c r="M2477" s="112"/>
    </row>
    <row r="2478" spans="1:13" x14ac:dyDescent="0.2">
      <c r="A2478" s="117" t="s">
        <v>62</v>
      </c>
      <c r="B2478" s="117" t="s">
        <v>70</v>
      </c>
      <c r="C2478" s="117" t="s">
        <v>225</v>
      </c>
      <c r="D2478" s="118">
        <v>9543</v>
      </c>
      <c r="E2478" s="119"/>
      <c r="F2478" s="119"/>
      <c r="G2478" s="119"/>
      <c r="H2478" s="120"/>
      <c r="I2478" s="118">
        <v>8047</v>
      </c>
      <c r="J2478" s="119"/>
      <c r="K2478" s="119"/>
      <c r="L2478" s="119"/>
      <c r="M2478" s="120"/>
    </row>
    <row r="2479" spans="1:13" x14ac:dyDescent="0.2">
      <c r="A2479" t="s">
        <v>62</v>
      </c>
      <c r="B2479" t="s">
        <v>110</v>
      </c>
      <c r="C2479" t="s">
        <v>222</v>
      </c>
      <c r="D2479" s="110">
        <v>80418.399999999994</v>
      </c>
      <c r="E2479" s="111">
        <v>75720</v>
      </c>
      <c r="F2479" s="111">
        <v>75042</v>
      </c>
      <c r="G2479" s="111">
        <v>75042</v>
      </c>
      <c r="H2479" s="112"/>
      <c r="I2479" s="110">
        <v>34769.050000000003</v>
      </c>
      <c r="J2479" s="111">
        <v>58642.5</v>
      </c>
      <c r="K2479" s="111">
        <v>61357.5</v>
      </c>
      <c r="L2479" s="111">
        <v>63604.5</v>
      </c>
      <c r="M2479" s="112"/>
    </row>
    <row r="2480" spans="1:13" x14ac:dyDescent="0.2">
      <c r="A2480" s="113" t="s">
        <v>62</v>
      </c>
      <c r="B2480" s="113" t="s">
        <v>110</v>
      </c>
      <c r="C2480" s="113" t="s">
        <v>223</v>
      </c>
      <c r="D2480" s="114">
        <v>74377.95</v>
      </c>
      <c r="E2480" s="115">
        <v>69722.95</v>
      </c>
      <c r="F2480" s="115">
        <v>68083.95</v>
      </c>
      <c r="G2480" s="115"/>
      <c r="H2480" s="116"/>
      <c r="I2480" s="114">
        <v>32016.25</v>
      </c>
      <c r="J2480" s="115">
        <v>45428.95</v>
      </c>
      <c r="K2480" s="115">
        <v>47656.95</v>
      </c>
      <c r="L2480" s="115"/>
      <c r="M2480" s="116"/>
    </row>
    <row r="2481" spans="1:13" x14ac:dyDescent="0.2">
      <c r="A2481" t="s">
        <v>62</v>
      </c>
      <c r="B2481" t="s">
        <v>110</v>
      </c>
      <c r="C2481" t="s">
        <v>224</v>
      </c>
      <c r="D2481" s="110">
        <v>45990.3</v>
      </c>
      <c r="E2481" s="111">
        <v>40423.1</v>
      </c>
      <c r="F2481" s="111"/>
      <c r="G2481" s="111"/>
      <c r="H2481" s="112"/>
      <c r="I2481" s="110">
        <v>11967.8</v>
      </c>
      <c r="J2481" s="111">
        <v>21161</v>
      </c>
      <c r="K2481" s="111"/>
      <c r="L2481" s="111"/>
      <c r="M2481" s="112"/>
    </row>
    <row r="2482" spans="1:13" ht="13.5" thickBot="1" x14ac:dyDescent="0.25">
      <c r="A2482" s="128" t="s">
        <v>62</v>
      </c>
      <c r="B2482" s="128" t="s">
        <v>110</v>
      </c>
      <c r="C2482" s="128" t="s">
        <v>225</v>
      </c>
      <c r="D2482" s="129">
        <v>73014.2</v>
      </c>
      <c r="E2482" s="130"/>
      <c r="F2482" s="130"/>
      <c r="G2482" s="130"/>
      <c r="H2482" s="131"/>
      <c r="I2482" s="129">
        <v>24419.84</v>
      </c>
      <c r="J2482" s="130"/>
      <c r="K2482" s="130"/>
      <c r="L2482" s="130"/>
      <c r="M2482" s="131"/>
    </row>
    <row r="2483" spans="1:13" x14ac:dyDescent="0.2">
      <c r="A2483" s="132" t="s">
        <v>63</v>
      </c>
      <c r="B2483" s="132" t="s">
        <v>104</v>
      </c>
      <c r="C2483" s="132" t="s">
        <v>222</v>
      </c>
      <c r="D2483" s="133">
        <v>72511</v>
      </c>
      <c r="E2483" s="134">
        <v>72411</v>
      </c>
      <c r="F2483" s="134">
        <v>72361</v>
      </c>
      <c r="G2483" s="134">
        <v>72361</v>
      </c>
      <c r="H2483" s="135"/>
      <c r="I2483" s="133">
        <v>420.15</v>
      </c>
      <c r="J2483" s="134">
        <v>1423.87</v>
      </c>
      <c r="K2483" s="134">
        <v>1678.4</v>
      </c>
      <c r="L2483" s="134">
        <v>1828.4</v>
      </c>
      <c r="M2483" s="135"/>
    </row>
    <row r="2484" spans="1:13" x14ac:dyDescent="0.2">
      <c r="A2484" s="113" t="s">
        <v>63</v>
      </c>
      <c r="B2484" s="113" t="s">
        <v>104</v>
      </c>
      <c r="C2484" s="113" t="s">
        <v>223</v>
      </c>
      <c r="D2484" s="114">
        <v>19089.25</v>
      </c>
      <c r="E2484" s="115">
        <v>19139.25</v>
      </c>
      <c r="F2484" s="115">
        <v>19089.25</v>
      </c>
      <c r="G2484" s="115"/>
      <c r="H2484" s="116"/>
      <c r="I2484" s="114">
        <v>690.3</v>
      </c>
      <c r="J2484" s="115">
        <v>2018.04</v>
      </c>
      <c r="K2484" s="115">
        <v>2899.72</v>
      </c>
      <c r="L2484" s="115"/>
      <c r="M2484" s="116"/>
    </row>
    <row r="2485" spans="1:13" x14ac:dyDescent="0.2">
      <c r="A2485" t="s">
        <v>63</v>
      </c>
      <c r="B2485" t="s">
        <v>104</v>
      </c>
      <c r="C2485" t="s">
        <v>224</v>
      </c>
      <c r="D2485" s="110">
        <v>7969.5</v>
      </c>
      <c r="E2485" s="111">
        <v>7819.5</v>
      </c>
      <c r="F2485" s="111"/>
      <c r="G2485" s="111"/>
      <c r="H2485" s="112"/>
      <c r="I2485" s="110">
        <v>0</v>
      </c>
      <c r="J2485" s="111">
        <v>50</v>
      </c>
      <c r="K2485" s="111"/>
      <c r="L2485" s="111"/>
      <c r="M2485" s="112"/>
    </row>
    <row r="2486" spans="1:13" x14ac:dyDescent="0.2">
      <c r="A2486" s="117" t="s">
        <v>63</v>
      </c>
      <c r="B2486" s="117" t="s">
        <v>104</v>
      </c>
      <c r="C2486" s="117" t="s">
        <v>225</v>
      </c>
      <c r="D2486" s="118">
        <v>18010.25</v>
      </c>
      <c r="E2486" s="119"/>
      <c r="F2486" s="119"/>
      <c r="G2486" s="119"/>
      <c r="H2486" s="120"/>
      <c r="I2486" s="118">
        <v>201.92</v>
      </c>
      <c r="J2486" s="119"/>
      <c r="K2486" s="119"/>
      <c r="L2486" s="119"/>
      <c r="M2486" s="120"/>
    </row>
    <row r="2487" spans="1:13" x14ac:dyDescent="0.2">
      <c r="A2487" t="s">
        <v>63</v>
      </c>
      <c r="B2487" t="s">
        <v>140</v>
      </c>
      <c r="C2487" t="s">
        <v>222</v>
      </c>
      <c r="D2487" s="110">
        <v>53098.75</v>
      </c>
      <c r="E2487" s="111">
        <v>53098.75</v>
      </c>
      <c r="F2487" s="111">
        <v>53098.75</v>
      </c>
      <c r="G2487" s="111">
        <v>53098.75</v>
      </c>
      <c r="H2487" s="112"/>
      <c r="I2487" s="110">
        <v>0</v>
      </c>
      <c r="J2487" s="111">
        <v>0</v>
      </c>
      <c r="K2487" s="111">
        <v>0</v>
      </c>
      <c r="L2487" s="111">
        <v>0</v>
      </c>
      <c r="M2487" s="112"/>
    </row>
    <row r="2488" spans="1:13" x14ac:dyDescent="0.2">
      <c r="A2488" s="113" t="s">
        <v>63</v>
      </c>
      <c r="B2488" s="113" t="s">
        <v>140</v>
      </c>
      <c r="C2488" s="113" t="s">
        <v>223</v>
      </c>
      <c r="D2488" s="114">
        <v>0</v>
      </c>
      <c r="E2488" s="115"/>
      <c r="F2488" s="115">
        <v>0</v>
      </c>
      <c r="G2488" s="115"/>
      <c r="H2488" s="116"/>
      <c r="I2488" s="114">
        <v>0</v>
      </c>
      <c r="J2488" s="115"/>
      <c r="K2488" s="115">
        <v>0</v>
      </c>
      <c r="L2488" s="115"/>
      <c r="M2488" s="116"/>
    </row>
    <row r="2489" spans="1:13" x14ac:dyDescent="0.2">
      <c r="A2489" t="s">
        <v>63</v>
      </c>
      <c r="B2489" t="s">
        <v>140</v>
      </c>
      <c r="C2489" t="s">
        <v>224</v>
      </c>
      <c r="D2489" s="110">
        <v>0</v>
      </c>
      <c r="E2489" s="111">
        <v>0</v>
      </c>
      <c r="F2489" s="111"/>
      <c r="G2489" s="111"/>
      <c r="H2489" s="112"/>
      <c r="I2489" s="110">
        <v>0</v>
      </c>
      <c r="J2489" s="111">
        <v>0</v>
      </c>
      <c r="K2489" s="111"/>
      <c r="L2489" s="111"/>
      <c r="M2489" s="112"/>
    </row>
    <row r="2490" spans="1:13" x14ac:dyDescent="0.2">
      <c r="A2490" s="117" t="s">
        <v>63</v>
      </c>
      <c r="B2490" s="117" t="s">
        <v>140</v>
      </c>
      <c r="C2490" s="117" t="s">
        <v>225</v>
      </c>
      <c r="D2490" s="118">
        <v>0</v>
      </c>
      <c r="E2490" s="119"/>
      <c r="F2490" s="119"/>
      <c r="G2490" s="119"/>
      <c r="H2490" s="120"/>
      <c r="I2490" s="118">
        <v>0</v>
      </c>
      <c r="J2490" s="119"/>
      <c r="K2490" s="119"/>
      <c r="L2490" s="119"/>
      <c r="M2490" s="120"/>
    </row>
    <row r="2491" spans="1:13" x14ac:dyDescent="0.2">
      <c r="A2491" t="s">
        <v>63</v>
      </c>
      <c r="B2491" t="s">
        <v>105</v>
      </c>
      <c r="C2491" t="s">
        <v>222</v>
      </c>
      <c r="D2491" s="110">
        <v>4482.75</v>
      </c>
      <c r="E2491" s="111">
        <v>4382.75</v>
      </c>
      <c r="F2491" s="111">
        <v>4382.75</v>
      </c>
      <c r="G2491" s="111">
        <v>4332.75</v>
      </c>
      <c r="H2491" s="112"/>
      <c r="I2491" s="110">
        <v>442</v>
      </c>
      <c r="J2491" s="111">
        <v>1329.5</v>
      </c>
      <c r="K2491" s="111">
        <v>1687</v>
      </c>
      <c r="L2491" s="111">
        <v>1687</v>
      </c>
      <c r="M2491" s="112"/>
    </row>
    <row r="2492" spans="1:13" x14ac:dyDescent="0.2">
      <c r="A2492" s="113" t="s">
        <v>63</v>
      </c>
      <c r="B2492" s="113" t="s">
        <v>105</v>
      </c>
      <c r="C2492" s="113" t="s">
        <v>223</v>
      </c>
      <c r="D2492" s="114">
        <v>3849.25</v>
      </c>
      <c r="E2492" s="115">
        <v>3799.25</v>
      </c>
      <c r="F2492" s="115">
        <v>3799.25</v>
      </c>
      <c r="G2492" s="115"/>
      <c r="H2492" s="116"/>
      <c r="I2492" s="114">
        <v>323</v>
      </c>
      <c r="J2492" s="115">
        <v>323</v>
      </c>
      <c r="K2492" s="115">
        <v>1176.75</v>
      </c>
      <c r="L2492" s="115"/>
      <c r="M2492" s="116"/>
    </row>
    <row r="2493" spans="1:13" x14ac:dyDescent="0.2">
      <c r="A2493" t="s">
        <v>63</v>
      </c>
      <c r="B2493" t="s">
        <v>105</v>
      </c>
      <c r="C2493" t="s">
        <v>224</v>
      </c>
      <c r="D2493" s="110">
        <v>1302.75</v>
      </c>
      <c r="E2493" s="111">
        <v>1252.75</v>
      </c>
      <c r="F2493" s="111"/>
      <c r="G2493" s="111"/>
      <c r="H2493" s="112"/>
      <c r="I2493" s="110">
        <v>147</v>
      </c>
      <c r="J2493" s="111">
        <v>197</v>
      </c>
      <c r="K2493" s="111"/>
      <c r="L2493" s="111"/>
      <c r="M2493" s="112"/>
    </row>
    <row r="2494" spans="1:13" x14ac:dyDescent="0.2">
      <c r="A2494" s="117" t="s">
        <v>63</v>
      </c>
      <c r="B2494" s="117" t="s">
        <v>105</v>
      </c>
      <c r="C2494" s="117" t="s">
        <v>225</v>
      </c>
      <c r="D2494" s="118">
        <v>3314.5</v>
      </c>
      <c r="E2494" s="119"/>
      <c r="F2494" s="119"/>
      <c r="G2494" s="119"/>
      <c r="H2494" s="120"/>
      <c r="I2494" s="118">
        <v>493.75</v>
      </c>
      <c r="J2494" s="119"/>
      <c r="K2494" s="119"/>
      <c r="L2494" s="119"/>
      <c r="M2494" s="120"/>
    </row>
    <row r="2495" spans="1:13" x14ac:dyDescent="0.2">
      <c r="A2495" t="s">
        <v>63</v>
      </c>
      <c r="B2495" t="s">
        <v>111</v>
      </c>
      <c r="C2495" t="s">
        <v>222</v>
      </c>
      <c r="D2495" s="110">
        <v>1163.5</v>
      </c>
      <c r="E2495" s="111">
        <v>1163.5</v>
      </c>
      <c r="F2495" s="111">
        <v>993.5</v>
      </c>
      <c r="G2495" s="111">
        <v>693.5</v>
      </c>
      <c r="H2495" s="112"/>
      <c r="I2495" s="110">
        <v>3.5</v>
      </c>
      <c r="J2495" s="111">
        <v>3.5</v>
      </c>
      <c r="K2495" s="111">
        <v>3.5</v>
      </c>
      <c r="L2495" s="111">
        <v>3.5</v>
      </c>
      <c r="M2495" s="112"/>
    </row>
    <row r="2496" spans="1:13" x14ac:dyDescent="0.2">
      <c r="A2496" s="113" t="s">
        <v>63</v>
      </c>
      <c r="B2496" s="113" t="s">
        <v>111</v>
      </c>
      <c r="C2496" s="113" t="s">
        <v>223</v>
      </c>
      <c r="D2496" s="114">
        <v>830.5</v>
      </c>
      <c r="E2496" s="115">
        <v>730.5</v>
      </c>
      <c r="F2496" s="115">
        <v>730.5</v>
      </c>
      <c r="G2496" s="115"/>
      <c r="H2496" s="116"/>
      <c r="I2496" s="114">
        <v>7</v>
      </c>
      <c r="J2496" s="115">
        <v>30.5</v>
      </c>
      <c r="K2496" s="115">
        <v>30.5</v>
      </c>
      <c r="L2496" s="115"/>
      <c r="M2496" s="116"/>
    </row>
    <row r="2497" spans="1:13" x14ac:dyDescent="0.2">
      <c r="A2497" t="s">
        <v>63</v>
      </c>
      <c r="B2497" t="s">
        <v>111</v>
      </c>
      <c r="C2497" t="s">
        <v>224</v>
      </c>
      <c r="D2497" s="110">
        <v>250</v>
      </c>
      <c r="E2497" s="111">
        <v>250</v>
      </c>
      <c r="F2497" s="111"/>
      <c r="G2497" s="111"/>
      <c r="H2497" s="112"/>
      <c r="I2497" s="110">
        <v>0</v>
      </c>
      <c r="J2497" s="111">
        <v>0</v>
      </c>
      <c r="K2497" s="111"/>
      <c r="L2497" s="111"/>
      <c r="M2497" s="112"/>
    </row>
    <row r="2498" spans="1:13" x14ac:dyDescent="0.2">
      <c r="A2498" s="117" t="s">
        <v>63</v>
      </c>
      <c r="B2498" s="117" t="s">
        <v>111</v>
      </c>
      <c r="C2498" s="117" t="s">
        <v>225</v>
      </c>
      <c r="D2498" s="118">
        <v>350</v>
      </c>
      <c r="E2498" s="119"/>
      <c r="F2498" s="119"/>
      <c r="G2498" s="119"/>
      <c r="H2498" s="120"/>
      <c r="I2498" s="118">
        <v>350</v>
      </c>
      <c r="J2498" s="119"/>
      <c r="K2498" s="119"/>
      <c r="L2498" s="119"/>
      <c r="M2498" s="120"/>
    </row>
    <row r="2499" spans="1:13" x14ac:dyDescent="0.2">
      <c r="A2499" s="124" t="s">
        <v>63</v>
      </c>
      <c r="B2499" s="124" t="s">
        <v>109</v>
      </c>
      <c r="C2499" s="124" t="s">
        <v>222</v>
      </c>
      <c r="D2499" s="125">
        <v>13084.75</v>
      </c>
      <c r="E2499" s="126">
        <v>13034.75</v>
      </c>
      <c r="F2499" s="126">
        <v>13034.75</v>
      </c>
      <c r="G2499" s="126">
        <v>13034.75</v>
      </c>
      <c r="H2499" s="127"/>
      <c r="I2499" s="125">
        <v>2038.5</v>
      </c>
      <c r="J2499" s="126">
        <v>3942.75</v>
      </c>
      <c r="K2499" s="126">
        <v>6110.25</v>
      </c>
      <c r="L2499" s="126">
        <v>7510.75</v>
      </c>
      <c r="M2499" s="127"/>
    </row>
    <row r="2500" spans="1:13" x14ac:dyDescent="0.2">
      <c r="A2500" s="113" t="s">
        <v>63</v>
      </c>
      <c r="B2500" s="113" t="s">
        <v>109</v>
      </c>
      <c r="C2500" s="113" t="s">
        <v>223</v>
      </c>
      <c r="D2500" s="114">
        <v>10667.5</v>
      </c>
      <c r="E2500" s="115">
        <v>10657.5</v>
      </c>
      <c r="F2500" s="115">
        <v>10657.5</v>
      </c>
      <c r="G2500" s="115"/>
      <c r="H2500" s="116"/>
      <c r="I2500" s="114">
        <v>2346.25</v>
      </c>
      <c r="J2500" s="115">
        <v>4389</v>
      </c>
      <c r="K2500" s="115">
        <v>5407.5</v>
      </c>
      <c r="L2500" s="115"/>
      <c r="M2500" s="116"/>
    </row>
    <row r="2501" spans="1:13" x14ac:dyDescent="0.2">
      <c r="A2501" t="s">
        <v>63</v>
      </c>
      <c r="B2501" t="s">
        <v>109</v>
      </c>
      <c r="C2501" t="s">
        <v>224</v>
      </c>
      <c r="D2501" s="110">
        <v>4731.75</v>
      </c>
      <c r="E2501" s="111">
        <v>4731.75</v>
      </c>
      <c r="F2501" s="111"/>
      <c r="G2501" s="111"/>
      <c r="H2501" s="112"/>
      <c r="I2501" s="110">
        <v>1299.75</v>
      </c>
      <c r="J2501" s="111">
        <v>1680.75</v>
      </c>
      <c r="K2501" s="111"/>
      <c r="L2501" s="111"/>
      <c r="M2501" s="112"/>
    </row>
    <row r="2502" spans="1:13" x14ac:dyDescent="0.2">
      <c r="A2502" s="117" t="s">
        <v>63</v>
      </c>
      <c r="B2502" s="117" t="s">
        <v>109</v>
      </c>
      <c r="C2502" s="117" t="s">
        <v>225</v>
      </c>
      <c r="D2502" s="118">
        <v>2523.25</v>
      </c>
      <c r="E2502" s="119"/>
      <c r="F2502" s="119"/>
      <c r="G2502" s="119"/>
      <c r="H2502" s="120"/>
      <c r="I2502" s="118">
        <v>1516.75</v>
      </c>
      <c r="J2502" s="119"/>
      <c r="K2502" s="119"/>
      <c r="L2502" s="119"/>
      <c r="M2502" s="120"/>
    </row>
    <row r="2503" spans="1:13" x14ac:dyDescent="0.2">
      <c r="A2503" t="s">
        <v>63</v>
      </c>
      <c r="B2503" t="s">
        <v>106</v>
      </c>
      <c r="C2503" t="s">
        <v>222</v>
      </c>
      <c r="D2503" s="110">
        <v>14548.25</v>
      </c>
      <c r="E2503" s="111">
        <v>14548.25</v>
      </c>
      <c r="F2503" s="111">
        <v>14548.25</v>
      </c>
      <c r="G2503" s="111">
        <v>14548.25</v>
      </c>
      <c r="H2503" s="112"/>
      <c r="I2503" s="110">
        <v>11748.25</v>
      </c>
      <c r="J2503" s="111">
        <v>11748.25</v>
      </c>
      <c r="K2503" s="111">
        <v>11748.25</v>
      </c>
      <c r="L2503" s="111">
        <v>11748.25</v>
      </c>
      <c r="M2503" s="112"/>
    </row>
    <row r="2504" spans="1:13" x14ac:dyDescent="0.2">
      <c r="A2504" s="113" t="s">
        <v>63</v>
      </c>
      <c r="B2504" s="113" t="s">
        <v>106</v>
      </c>
      <c r="C2504" s="113" t="s">
        <v>223</v>
      </c>
      <c r="D2504" s="114">
        <v>14061.07</v>
      </c>
      <c r="E2504" s="115">
        <v>14061.07</v>
      </c>
      <c r="F2504" s="115">
        <v>14061.07</v>
      </c>
      <c r="G2504" s="115"/>
      <c r="H2504" s="116"/>
      <c r="I2504" s="114">
        <v>12861.07</v>
      </c>
      <c r="J2504" s="115">
        <v>13261.07</v>
      </c>
      <c r="K2504" s="115">
        <v>13261.07</v>
      </c>
      <c r="L2504" s="115"/>
      <c r="M2504" s="116"/>
    </row>
    <row r="2505" spans="1:13" x14ac:dyDescent="0.2">
      <c r="A2505" t="s">
        <v>63</v>
      </c>
      <c r="B2505" t="s">
        <v>106</v>
      </c>
      <c r="C2505" t="s">
        <v>224</v>
      </c>
      <c r="D2505" s="110">
        <v>4897</v>
      </c>
      <c r="E2505" s="111">
        <v>4897</v>
      </c>
      <c r="F2505" s="111"/>
      <c r="G2505" s="111"/>
      <c r="H2505" s="112"/>
      <c r="I2505" s="110">
        <v>4047</v>
      </c>
      <c r="J2505" s="111">
        <v>4097</v>
      </c>
      <c r="K2505" s="111"/>
      <c r="L2505" s="111"/>
      <c r="M2505" s="112"/>
    </row>
    <row r="2506" spans="1:13" x14ac:dyDescent="0.2">
      <c r="A2506" s="117" t="s">
        <v>63</v>
      </c>
      <c r="B2506" s="117" t="s">
        <v>106</v>
      </c>
      <c r="C2506" s="117" t="s">
        <v>225</v>
      </c>
      <c r="D2506" s="118">
        <v>6063.75</v>
      </c>
      <c r="E2506" s="119"/>
      <c r="F2506" s="119"/>
      <c r="G2506" s="119"/>
      <c r="H2506" s="120"/>
      <c r="I2506" s="118">
        <v>4863.75</v>
      </c>
      <c r="J2506" s="119"/>
      <c r="K2506" s="119"/>
      <c r="L2506" s="119"/>
      <c r="M2506" s="120"/>
    </row>
    <row r="2507" spans="1:13" x14ac:dyDescent="0.2">
      <c r="A2507" t="s">
        <v>63</v>
      </c>
      <c r="B2507" t="s">
        <v>107</v>
      </c>
      <c r="C2507" t="s">
        <v>222</v>
      </c>
      <c r="D2507" s="110">
        <v>15496.76</v>
      </c>
      <c r="E2507" s="111">
        <v>15496.76</v>
      </c>
      <c r="F2507" s="111">
        <v>15496.76</v>
      </c>
      <c r="G2507" s="111">
        <v>15496.76</v>
      </c>
      <c r="H2507" s="112"/>
      <c r="I2507" s="110">
        <v>15496.76</v>
      </c>
      <c r="J2507" s="111">
        <v>15496.76</v>
      </c>
      <c r="K2507" s="111">
        <v>15496.76</v>
      </c>
      <c r="L2507" s="111">
        <v>15496.76</v>
      </c>
      <c r="M2507" s="112"/>
    </row>
    <row r="2508" spans="1:13" x14ac:dyDescent="0.2">
      <c r="A2508" s="113" t="s">
        <v>63</v>
      </c>
      <c r="B2508" s="113" t="s">
        <v>107</v>
      </c>
      <c r="C2508" s="113" t="s">
        <v>223</v>
      </c>
      <c r="D2508" s="114">
        <v>16922.5</v>
      </c>
      <c r="E2508" s="115">
        <v>16922.5</v>
      </c>
      <c r="F2508" s="115">
        <v>16922.5</v>
      </c>
      <c r="G2508" s="115"/>
      <c r="H2508" s="116"/>
      <c r="I2508" s="114">
        <v>16912.5</v>
      </c>
      <c r="J2508" s="115">
        <v>16912.5</v>
      </c>
      <c r="K2508" s="115">
        <v>16922.5</v>
      </c>
      <c r="L2508" s="115"/>
      <c r="M2508" s="116"/>
    </row>
    <row r="2509" spans="1:13" x14ac:dyDescent="0.2">
      <c r="A2509" t="s">
        <v>63</v>
      </c>
      <c r="B2509" t="s">
        <v>107</v>
      </c>
      <c r="C2509" t="s">
        <v>224</v>
      </c>
      <c r="D2509" s="110">
        <v>7228</v>
      </c>
      <c r="E2509" s="111">
        <v>7228</v>
      </c>
      <c r="F2509" s="111"/>
      <c r="G2509" s="111"/>
      <c r="H2509" s="112"/>
      <c r="I2509" s="110">
        <v>7058</v>
      </c>
      <c r="J2509" s="111">
        <v>7228</v>
      </c>
      <c r="K2509" s="111"/>
      <c r="L2509" s="111"/>
      <c r="M2509" s="112"/>
    </row>
    <row r="2510" spans="1:13" x14ac:dyDescent="0.2">
      <c r="A2510" s="117" t="s">
        <v>63</v>
      </c>
      <c r="B2510" s="117" t="s">
        <v>107</v>
      </c>
      <c r="C2510" s="117" t="s">
        <v>225</v>
      </c>
      <c r="D2510" s="118">
        <v>11475</v>
      </c>
      <c r="E2510" s="119"/>
      <c r="F2510" s="119"/>
      <c r="G2510" s="119"/>
      <c r="H2510" s="120"/>
      <c r="I2510" s="118">
        <v>11280</v>
      </c>
      <c r="J2510" s="119"/>
      <c r="K2510" s="119"/>
      <c r="L2510" s="119"/>
      <c r="M2510" s="120"/>
    </row>
    <row r="2511" spans="1:13" x14ac:dyDescent="0.2">
      <c r="A2511" t="s">
        <v>63</v>
      </c>
      <c r="B2511" t="s">
        <v>108</v>
      </c>
      <c r="C2511" t="s">
        <v>222</v>
      </c>
      <c r="D2511" s="110">
        <v>2696</v>
      </c>
      <c r="E2511" s="111">
        <v>2696</v>
      </c>
      <c r="F2511" s="111">
        <v>2696</v>
      </c>
      <c r="G2511" s="111">
        <v>2696</v>
      </c>
      <c r="H2511" s="112"/>
      <c r="I2511" s="110">
        <v>2696</v>
      </c>
      <c r="J2511" s="111">
        <v>2696</v>
      </c>
      <c r="K2511" s="111">
        <v>2696</v>
      </c>
      <c r="L2511" s="111">
        <v>2696</v>
      </c>
      <c r="M2511" s="112"/>
    </row>
    <row r="2512" spans="1:13" x14ac:dyDescent="0.2">
      <c r="A2512" s="113" t="s">
        <v>63</v>
      </c>
      <c r="B2512" s="113" t="s">
        <v>108</v>
      </c>
      <c r="C2512" s="113" t="s">
        <v>223</v>
      </c>
      <c r="D2512" s="114">
        <v>2529</v>
      </c>
      <c r="E2512" s="115">
        <v>2529</v>
      </c>
      <c r="F2512" s="115">
        <v>2529</v>
      </c>
      <c r="G2512" s="115"/>
      <c r="H2512" s="116"/>
      <c r="I2512" s="114">
        <v>2529</v>
      </c>
      <c r="J2512" s="115">
        <v>2529</v>
      </c>
      <c r="K2512" s="115">
        <v>2529</v>
      </c>
      <c r="L2512" s="115"/>
      <c r="M2512" s="116"/>
    </row>
    <row r="2513" spans="1:13" x14ac:dyDescent="0.2">
      <c r="A2513" t="s">
        <v>63</v>
      </c>
      <c r="B2513" t="s">
        <v>108</v>
      </c>
      <c r="C2513" t="s">
        <v>224</v>
      </c>
      <c r="D2513" s="110">
        <v>1793</v>
      </c>
      <c r="E2513" s="111">
        <v>1793</v>
      </c>
      <c r="F2513" s="111"/>
      <c r="G2513" s="111"/>
      <c r="H2513" s="112"/>
      <c r="I2513" s="110">
        <v>1793</v>
      </c>
      <c r="J2513" s="111">
        <v>1793</v>
      </c>
      <c r="K2513" s="111"/>
      <c r="L2513" s="111"/>
      <c r="M2513" s="112"/>
    </row>
    <row r="2514" spans="1:13" x14ac:dyDescent="0.2">
      <c r="A2514" s="117" t="s">
        <v>63</v>
      </c>
      <c r="B2514" s="117" t="s">
        <v>108</v>
      </c>
      <c r="C2514" s="117" t="s">
        <v>225</v>
      </c>
      <c r="D2514" s="118">
        <v>576.82000000000005</v>
      </c>
      <c r="E2514" s="119"/>
      <c r="F2514" s="119"/>
      <c r="G2514" s="119"/>
      <c r="H2514" s="120"/>
      <c r="I2514" s="118">
        <v>576.82000000000005</v>
      </c>
      <c r="J2514" s="119"/>
      <c r="K2514" s="119"/>
      <c r="L2514" s="119"/>
      <c r="M2514" s="120"/>
    </row>
    <row r="2515" spans="1:13" x14ac:dyDescent="0.2">
      <c r="A2515" t="s">
        <v>63</v>
      </c>
      <c r="B2515" t="s">
        <v>70</v>
      </c>
      <c r="C2515" t="s">
        <v>222</v>
      </c>
      <c r="D2515" s="110">
        <v>7367</v>
      </c>
      <c r="E2515" s="111">
        <v>7377</v>
      </c>
      <c r="F2515" s="111">
        <v>7377</v>
      </c>
      <c r="G2515" s="111">
        <v>7377</v>
      </c>
      <c r="H2515" s="112"/>
      <c r="I2515" s="110">
        <v>6601</v>
      </c>
      <c r="J2515" s="111">
        <v>6846</v>
      </c>
      <c r="K2515" s="111">
        <v>6846</v>
      </c>
      <c r="L2515" s="111">
        <v>6846</v>
      </c>
      <c r="M2515" s="112"/>
    </row>
    <row r="2516" spans="1:13" x14ac:dyDescent="0.2">
      <c r="A2516" s="113" t="s">
        <v>63</v>
      </c>
      <c r="B2516" s="113" t="s">
        <v>70</v>
      </c>
      <c r="C2516" s="113" t="s">
        <v>223</v>
      </c>
      <c r="D2516" s="114">
        <v>7338</v>
      </c>
      <c r="E2516" s="115">
        <v>7338</v>
      </c>
      <c r="F2516" s="115">
        <v>7338</v>
      </c>
      <c r="G2516" s="115"/>
      <c r="H2516" s="116"/>
      <c r="I2516" s="114">
        <v>7038</v>
      </c>
      <c r="J2516" s="115">
        <v>7338</v>
      </c>
      <c r="K2516" s="115">
        <v>7338</v>
      </c>
      <c r="L2516" s="115"/>
      <c r="M2516" s="116"/>
    </row>
    <row r="2517" spans="1:13" x14ac:dyDescent="0.2">
      <c r="A2517" t="s">
        <v>63</v>
      </c>
      <c r="B2517" t="s">
        <v>70</v>
      </c>
      <c r="C2517" t="s">
        <v>224</v>
      </c>
      <c r="D2517" s="110">
        <v>7277</v>
      </c>
      <c r="E2517" s="111">
        <v>7277</v>
      </c>
      <c r="F2517" s="111"/>
      <c r="G2517" s="111"/>
      <c r="H2517" s="112"/>
      <c r="I2517" s="110">
        <v>7217</v>
      </c>
      <c r="J2517" s="111">
        <v>7217</v>
      </c>
      <c r="K2517" s="111"/>
      <c r="L2517" s="111"/>
      <c r="M2517" s="112"/>
    </row>
    <row r="2518" spans="1:13" x14ac:dyDescent="0.2">
      <c r="A2518" s="117" t="s">
        <v>63</v>
      </c>
      <c r="B2518" s="117" t="s">
        <v>70</v>
      </c>
      <c r="C2518" s="117" t="s">
        <v>225</v>
      </c>
      <c r="D2518" s="118">
        <v>6757</v>
      </c>
      <c r="E2518" s="119"/>
      <c r="F2518" s="119"/>
      <c r="G2518" s="119"/>
      <c r="H2518" s="120"/>
      <c r="I2518" s="118">
        <v>5148</v>
      </c>
      <c r="J2518" s="119"/>
      <c r="K2518" s="119"/>
      <c r="L2518" s="119"/>
      <c r="M2518" s="120"/>
    </row>
    <row r="2519" spans="1:13" x14ac:dyDescent="0.2">
      <c r="A2519" t="s">
        <v>63</v>
      </c>
      <c r="B2519" t="s">
        <v>110</v>
      </c>
      <c r="C2519" t="s">
        <v>222</v>
      </c>
      <c r="D2519" s="110">
        <v>15207.4</v>
      </c>
      <c r="E2519" s="111">
        <v>13950.6</v>
      </c>
      <c r="F2519" s="111">
        <v>13950.6</v>
      </c>
      <c r="G2519" s="111">
        <v>14113.6</v>
      </c>
      <c r="H2519" s="112"/>
      <c r="I2519" s="110">
        <v>6015.4</v>
      </c>
      <c r="J2519" s="111">
        <v>11284.35</v>
      </c>
      <c r="K2519" s="111">
        <v>11832.35</v>
      </c>
      <c r="L2519" s="111">
        <v>12843.35</v>
      </c>
      <c r="M2519" s="112"/>
    </row>
    <row r="2520" spans="1:13" x14ac:dyDescent="0.2">
      <c r="A2520" s="113" t="s">
        <v>63</v>
      </c>
      <c r="B2520" s="113" t="s">
        <v>110</v>
      </c>
      <c r="C2520" s="113" t="s">
        <v>223</v>
      </c>
      <c r="D2520" s="114">
        <v>17376.95</v>
      </c>
      <c r="E2520" s="115">
        <v>16918.849999999999</v>
      </c>
      <c r="F2520" s="115">
        <v>16250.85</v>
      </c>
      <c r="G2520" s="115"/>
      <c r="H2520" s="116"/>
      <c r="I2520" s="114">
        <v>10566.45</v>
      </c>
      <c r="J2520" s="115">
        <v>12893.85</v>
      </c>
      <c r="K2520" s="115">
        <v>14822.85</v>
      </c>
      <c r="L2520" s="115"/>
      <c r="M2520" s="116"/>
    </row>
    <row r="2521" spans="1:13" x14ac:dyDescent="0.2">
      <c r="A2521" t="s">
        <v>63</v>
      </c>
      <c r="B2521" t="s">
        <v>110</v>
      </c>
      <c r="C2521" t="s">
        <v>224</v>
      </c>
      <c r="D2521" s="110">
        <v>8997.2000000000007</v>
      </c>
      <c r="E2521" s="111">
        <v>9376</v>
      </c>
      <c r="F2521" s="111"/>
      <c r="G2521" s="111"/>
      <c r="H2521" s="112"/>
      <c r="I2521" s="110">
        <v>4272.2</v>
      </c>
      <c r="J2521" s="111">
        <v>6738</v>
      </c>
      <c r="K2521" s="111"/>
      <c r="L2521" s="111"/>
      <c r="M2521" s="112"/>
    </row>
    <row r="2522" spans="1:13" ht="13.5" thickBot="1" x14ac:dyDescent="0.25">
      <c r="A2522" s="128" t="s">
        <v>63</v>
      </c>
      <c r="B2522" s="128" t="s">
        <v>110</v>
      </c>
      <c r="C2522" s="128" t="s">
        <v>225</v>
      </c>
      <c r="D2522" s="129">
        <v>13432.6</v>
      </c>
      <c r="E2522" s="130"/>
      <c r="F2522" s="130"/>
      <c r="G2522" s="130"/>
      <c r="H2522" s="131"/>
      <c r="I2522" s="129">
        <v>6687.1</v>
      </c>
      <c r="J2522" s="130"/>
      <c r="K2522" s="130"/>
      <c r="L2522" s="130"/>
      <c r="M2522" s="131"/>
    </row>
    <row r="2523" spans="1:13" x14ac:dyDescent="0.2">
      <c r="A2523" s="132" t="s">
        <v>64</v>
      </c>
      <c r="B2523" s="132" t="s">
        <v>104</v>
      </c>
      <c r="C2523" s="132" t="s">
        <v>222</v>
      </c>
      <c r="D2523" s="133">
        <v>1987512.27</v>
      </c>
      <c r="E2523" s="134">
        <v>1982231</v>
      </c>
      <c r="F2523" s="134">
        <v>1978954.18</v>
      </c>
      <c r="G2523" s="134">
        <v>1977466.18</v>
      </c>
      <c r="H2523" s="135"/>
      <c r="I2523" s="133">
        <v>38035.410000000003</v>
      </c>
      <c r="J2523" s="134">
        <v>65649.88</v>
      </c>
      <c r="K2523" s="134">
        <v>83335.23</v>
      </c>
      <c r="L2523" s="134">
        <v>104668.32</v>
      </c>
      <c r="M2523" s="135"/>
    </row>
    <row r="2524" spans="1:13" x14ac:dyDescent="0.2">
      <c r="A2524" s="113" t="s">
        <v>64</v>
      </c>
      <c r="B2524" s="113" t="s">
        <v>104</v>
      </c>
      <c r="C2524" s="113" t="s">
        <v>223</v>
      </c>
      <c r="D2524" s="114">
        <v>1478667.05</v>
      </c>
      <c r="E2524" s="115">
        <v>1474539.07</v>
      </c>
      <c r="F2524" s="115">
        <v>1469734.38</v>
      </c>
      <c r="G2524" s="115"/>
      <c r="H2524" s="116"/>
      <c r="I2524" s="114">
        <v>32279.63</v>
      </c>
      <c r="J2524" s="115">
        <v>48495.22</v>
      </c>
      <c r="K2524" s="115">
        <v>67937.3</v>
      </c>
      <c r="L2524" s="115"/>
      <c r="M2524" s="116"/>
    </row>
    <row r="2525" spans="1:13" x14ac:dyDescent="0.2">
      <c r="A2525" t="s">
        <v>64</v>
      </c>
      <c r="B2525" t="s">
        <v>104</v>
      </c>
      <c r="C2525" t="s">
        <v>224</v>
      </c>
      <c r="D2525" s="110">
        <v>435605.89</v>
      </c>
      <c r="E2525" s="111">
        <v>434723.51</v>
      </c>
      <c r="F2525" s="111"/>
      <c r="G2525" s="111"/>
      <c r="H2525" s="112"/>
      <c r="I2525" s="110">
        <v>12492.96</v>
      </c>
      <c r="J2525" s="111">
        <v>23496.01</v>
      </c>
      <c r="K2525" s="111"/>
      <c r="L2525" s="111"/>
      <c r="M2525" s="112"/>
    </row>
    <row r="2526" spans="1:13" x14ac:dyDescent="0.2">
      <c r="A2526" s="117" t="s">
        <v>64</v>
      </c>
      <c r="B2526" s="117" t="s">
        <v>104</v>
      </c>
      <c r="C2526" s="117" t="s">
        <v>225</v>
      </c>
      <c r="D2526" s="118">
        <v>1242667.1100000001</v>
      </c>
      <c r="E2526" s="119"/>
      <c r="F2526" s="119"/>
      <c r="G2526" s="119"/>
      <c r="H2526" s="120"/>
      <c r="I2526" s="118">
        <v>42171.81</v>
      </c>
      <c r="J2526" s="119"/>
      <c r="K2526" s="119"/>
      <c r="L2526" s="119"/>
      <c r="M2526" s="120"/>
    </row>
    <row r="2527" spans="1:13" x14ac:dyDescent="0.2">
      <c r="A2527" t="s">
        <v>64</v>
      </c>
      <c r="B2527" t="s">
        <v>140</v>
      </c>
      <c r="C2527" t="s">
        <v>222</v>
      </c>
      <c r="D2527" s="110">
        <v>969632.99</v>
      </c>
      <c r="E2527" s="111">
        <v>969732.99</v>
      </c>
      <c r="F2527" s="111">
        <v>970350.99</v>
      </c>
      <c r="G2527" s="111">
        <v>970450.99</v>
      </c>
      <c r="H2527" s="112"/>
      <c r="I2527" s="110">
        <v>0</v>
      </c>
      <c r="J2527" s="111">
        <v>0</v>
      </c>
      <c r="K2527" s="111">
        <v>13.88</v>
      </c>
      <c r="L2527" s="111">
        <v>13.88</v>
      </c>
      <c r="M2527" s="112"/>
    </row>
    <row r="2528" spans="1:13" x14ac:dyDescent="0.2">
      <c r="A2528" s="113" t="s">
        <v>64</v>
      </c>
      <c r="B2528" s="113" t="s">
        <v>140</v>
      </c>
      <c r="C2528" s="113" t="s">
        <v>223</v>
      </c>
      <c r="D2528" s="114">
        <v>122058</v>
      </c>
      <c r="E2528" s="115">
        <v>122058</v>
      </c>
      <c r="F2528" s="115">
        <v>122108</v>
      </c>
      <c r="G2528" s="115"/>
      <c r="H2528" s="116"/>
      <c r="I2528" s="114">
        <v>0</v>
      </c>
      <c r="J2528" s="115">
        <v>0</v>
      </c>
      <c r="K2528" s="115">
        <v>226.82</v>
      </c>
      <c r="L2528" s="115"/>
      <c r="M2528" s="116"/>
    </row>
    <row r="2529" spans="1:13" x14ac:dyDescent="0.2">
      <c r="A2529" t="s">
        <v>64</v>
      </c>
      <c r="B2529" t="s">
        <v>140</v>
      </c>
      <c r="C2529" t="s">
        <v>224</v>
      </c>
      <c r="D2529" s="110">
        <v>7067.92</v>
      </c>
      <c r="E2529" s="111">
        <v>7067.92</v>
      </c>
      <c r="F2529" s="111"/>
      <c r="G2529" s="111"/>
      <c r="H2529" s="112"/>
      <c r="I2529" s="110">
        <v>0</v>
      </c>
      <c r="J2529" s="111">
        <v>0</v>
      </c>
      <c r="K2529" s="111"/>
      <c r="L2529" s="111"/>
      <c r="M2529" s="112"/>
    </row>
    <row r="2530" spans="1:13" x14ac:dyDescent="0.2">
      <c r="A2530" s="117" t="s">
        <v>64</v>
      </c>
      <c r="B2530" s="117" t="s">
        <v>140</v>
      </c>
      <c r="C2530" s="117" t="s">
        <v>225</v>
      </c>
      <c r="D2530" s="118">
        <v>402099.89</v>
      </c>
      <c r="E2530" s="119"/>
      <c r="F2530" s="119"/>
      <c r="G2530" s="119"/>
      <c r="H2530" s="120"/>
      <c r="I2530" s="118">
        <v>0</v>
      </c>
      <c r="J2530" s="119"/>
      <c r="K2530" s="119"/>
      <c r="L2530" s="119"/>
      <c r="M2530" s="120"/>
    </row>
    <row r="2531" spans="1:13" x14ac:dyDescent="0.2">
      <c r="A2531" t="s">
        <v>64</v>
      </c>
      <c r="B2531" t="s">
        <v>105</v>
      </c>
      <c r="C2531" t="s">
        <v>222</v>
      </c>
      <c r="D2531" s="110">
        <v>679431.95</v>
      </c>
      <c r="E2531" s="111">
        <v>671608.95</v>
      </c>
      <c r="F2531" s="111">
        <v>666927.94999999995</v>
      </c>
      <c r="G2531" s="111">
        <v>662830.94999999995</v>
      </c>
      <c r="H2531" s="112"/>
      <c r="I2531" s="110">
        <v>103209.33</v>
      </c>
      <c r="J2531" s="111">
        <v>146973.75</v>
      </c>
      <c r="K2531" s="111">
        <v>168852.74</v>
      </c>
      <c r="L2531" s="111">
        <v>192552.42</v>
      </c>
      <c r="M2531" s="112"/>
    </row>
    <row r="2532" spans="1:13" x14ac:dyDescent="0.2">
      <c r="A2532" s="113" t="s">
        <v>64</v>
      </c>
      <c r="B2532" s="113" t="s">
        <v>105</v>
      </c>
      <c r="C2532" s="113" t="s">
        <v>223</v>
      </c>
      <c r="D2532" s="114">
        <v>615909.82999999996</v>
      </c>
      <c r="E2532" s="115">
        <v>604664.82999999996</v>
      </c>
      <c r="F2532" s="115">
        <v>597460.82999999996</v>
      </c>
      <c r="G2532" s="115"/>
      <c r="H2532" s="116"/>
      <c r="I2532" s="114">
        <v>124988.63</v>
      </c>
      <c r="J2532" s="115">
        <v>153197.03</v>
      </c>
      <c r="K2532" s="115">
        <v>181202.04</v>
      </c>
      <c r="L2532" s="115"/>
      <c r="M2532" s="116"/>
    </row>
    <row r="2533" spans="1:13" x14ac:dyDescent="0.2">
      <c r="A2533" t="s">
        <v>64</v>
      </c>
      <c r="B2533" t="s">
        <v>105</v>
      </c>
      <c r="C2533" t="s">
        <v>224</v>
      </c>
      <c r="D2533" s="110">
        <v>329237.28999999998</v>
      </c>
      <c r="E2533" s="111">
        <v>325766.28999999998</v>
      </c>
      <c r="F2533" s="111"/>
      <c r="G2533" s="111"/>
      <c r="H2533" s="112"/>
      <c r="I2533" s="110">
        <v>78851.509999999995</v>
      </c>
      <c r="J2533" s="111">
        <v>94430.64</v>
      </c>
      <c r="K2533" s="111"/>
      <c r="L2533" s="111"/>
      <c r="M2533" s="112"/>
    </row>
    <row r="2534" spans="1:13" x14ac:dyDescent="0.2">
      <c r="A2534" s="117" t="s">
        <v>64</v>
      </c>
      <c r="B2534" s="117" t="s">
        <v>105</v>
      </c>
      <c r="C2534" s="117" t="s">
        <v>225</v>
      </c>
      <c r="D2534" s="118">
        <v>613760.69999999995</v>
      </c>
      <c r="E2534" s="119"/>
      <c r="F2534" s="119"/>
      <c r="G2534" s="119"/>
      <c r="H2534" s="120"/>
      <c r="I2534" s="118">
        <v>119669.57</v>
      </c>
      <c r="J2534" s="119"/>
      <c r="K2534" s="119"/>
      <c r="L2534" s="119"/>
      <c r="M2534" s="120"/>
    </row>
    <row r="2535" spans="1:13" x14ac:dyDescent="0.2">
      <c r="A2535" t="s">
        <v>64</v>
      </c>
      <c r="B2535" t="s">
        <v>111</v>
      </c>
      <c r="C2535" t="s">
        <v>222</v>
      </c>
      <c r="D2535" s="110">
        <v>29712</v>
      </c>
      <c r="E2535" s="111">
        <v>29712</v>
      </c>
      <c r="F2535" s="111">
        <v>29712</v>
      </c>
      <c r="G2535" s="111">
        <v>29712</v>
      </c>
      <c r="H2535" s="112"/>
      <c r="I2535" s="110">
        <v>862</v>
      </c>
      <c r="J2535" s="111">
        <v>1527</v>
      </c>
      <c r="K2535" s="111">
        <v>1527</v>
      </c>
      <c r="L2535" s="111">
        <v>1680</v>
      </c>
      <c r="M2535" s="112"/>
    </row>
    <row r="2536" spans="1:13" x14ac:dyDescent="0.2">
      <c r="A2536" s="113" t="s">
        <v>64</v>
      </c>
      <c r="B2536" s="113" t="s">
        <v>111</v>
      </c>
      <c r="C2536" s="113" t="s">
        <v>223</v>
      </c>
      <c r="D2536" s="114">
        <v>22491.5</v>
      </c>
      <c r="E2536" s="115">
        <v>22491.5</v>
      </c>
      <c r="F2536" s="115">
        <v>22491.5</v>
      </c>
      <c r="G2536" s="115"/>
      <c r="H2536" s="116"/>
      <c r="I2536" s="114">
        <v>907.5</v>
      </c>
      <c r="J2536" s="115">
        <v>949.5</v>
      </c>
      <c r="K2536" s="115">
        <v>1558.5</v>
      </c>
      <c r="L2536" s="115"/>
      <c r="M2536" s="116"/>
    </row>
    <row r="2537" spans="1:13" x14ac:dyDescent="0.2">
      <c r="A2537" t="s">
        <v>64</v>
      </c>
      <c r="B2537" t="s">
        <v>111</v>
      </c>
      <c r="C2537" t="s">
        <v>224</v>
      </c>
      <c r="D2537" s="110">
        <v>9384.5</v>
      </c>
      <c r="E2537" s="111">
        <v>9384.5</v>
      </c>
      <c r="F2537" s="111"/>
      <c r="G2537" s="111"/>
      <c r="H2537" s="112"/>
      <c r="I2537" s="110">
        <v>392.5</v>
      </c>
      <c r="J2537" s="111">
        <v>954.5</v>
      </c>
      <c r="K2537" s="111"/>
      <c r="L2537" s="111"/>
      <c r="M2537" s="112"/>
    </row>
    <row r="2538" spans="1:13" x14ac:dyDescent="0.2">
      <c r="A2538" s="117" t="s">
        <v>64</v>
      </c>
      <c r="B2538" s="117" t="s">
        <v>111</v>
      </c>
      <c r="C2538" s="117" t="s">
        <v>225</v>
      </c>
      <c r="D2538" s="118">
        <v>33786.5</v>
      </c>
      <c r="E2538" s="119"/>
      <c r="F2538" s="119"/>
      <c r="G2538" s="119"/>
      <c r="H2538" s="120"/>
      <c r="I2538" s="118">
        <v>473.5</v>
      </c>
      <c r="J2538" s="119"/>
      <c r="K2538" s="119"/>
      <c r="L2538" s="119"/>
      <c r="M2538" s="120"/>
    </row>
    <row r="2539" spans="1:13" x14ac:dyDescent="0.2">
      <c r="A2539" s="124" t="s">
        <v>64</v>
      </c>
      <c r="B2539" s="124" t="s">
        <v>109</v>
      </c>
      <c r="C2539" s="124" t="s">
        <v>222</v>
      </c>
      <c r="D2539" s="125">
        <v>732502.05</v>
      </c>
      <c r="E2539" s="126">
        <v>579343.1</v>
      </c>
      <c r="F2539" s="126">
        <v>565636.1</v>
      </c>
      <c r="G2539" s="126">
        <v>542974.1</v>
      </c>
      <c r="H2539" s="127"/>
      <c r="I2539" s="125">
        <v>125919.25</v>
      </c>
      <c r="J2539" s="126">
        <v>231986.38</v>
      </c>
      <c r="K2539" s="126">
        <v>285333.59000000003</v>
      </c>
      <c r="L2539" s="126">
        <v>319409.93</v>
      </c>
      <c r="M2539" s="127"/>
    </row>
    <row r="2540" spans="1:13" x14ac:dyDescent="0.2">
      <c r="A2540" s="113" t="s">
        <v>64</v>
      </c>
      <c r="B2540" s="113" t="s">
        <v>109</v>
      </c>
      <c r="C2540" s="113" t="s">
        <v>223</v>
      </c>
      <c r="D2540" s="114">
        <v>754911.75</v>
      </c>
      <c r="E2540" s="115">
        <v>645766</v>
      </c>
      <c r="F2540" s="115">
        <v>593753.1</v>
      </c>
      <c r="G2540" s="115"/>
      <c r="H2540" s="116"/>
      <c r="I2540" s="114">
        <v>224164.92</v>
      </c>
      <c r="J2540" s="115">
        <v>296563.09999999998</v>
      </c>
      <c r="K2540" s="115">
        <v>349231.07</v>
      </c>
      <c r="L2540" s="115"/>
      <c r="M2540" s="116"/>
    </row>
    <row r="2541" spans="1:13" x14ac:dyDescent="0.2">
      <c r="A2541" t="s">
        <v>64</v>
      </c>
      <c r="B2541" t="s">
        <v>109</v>
      </c>
      <c r="C2541" t="s">
        <v>224</v>
      </c>
      <c r="D2541" s="110">
        <v>407464.9</v>
      </c>
      <c r="E2541" s="111">
        <v>315766.90000000002</v>
      </c>
      <c r="F2541" s="111"/>
      <c r="G2541" s="111"/>
      <c r="H2541" s="112"/>
      <c r="I2541" s="110">
        <v>83290.850000000006</v>
      </c>
      <c r="J2541" s="111">
        <v>153041</v>
      </c>
      <c r="K2541" s="111"/>
      <c r="L2541" s="111"/>
      <c r="M2541" s="112"/>
    </row>
    <row r="2542" spans="1:13" x14ac:dyDescent="0.2">
      <c r="A2542" s="117" t="s">
        <v>64</v>
      </c>
      <c r="B2542" s="117" t="s">
        <v>109</v>
      </c>
      <c r="C2542" s="117" t="s">
        <v>225</v>
      </c>
      <c r="D2542" s="118">
        <v>768810.28</v>
      </c>
      <c r="E2542" s="119"/>
      <c r="F2542" s="119"/>
      <c r="G2542" s="119"/>
      <c r="H2542" s="120"/>
      <c r="I2542" s="118">
        <v>194955.6</v>
      </c>
      <c r="J2542" s="119"/>
      <c r="K2542" s="119"/>
      <c r="L2542" s="119"/>
      <c r="M2542" s="120"/>
    </row>
    <row r="2543" spans="1:13" x14ac:dyDescent="0.2">
      <c r="A2543" t="s">
        <v>64</v>
      </c>
      <c r="B2543" t="s">
        <v>106</v>
      </c>
      <c r="C2543" t="s">
        <v>222</v>
      </c>
      <c r="D2543" s="110">
        <v>805295.15</v>
      </c>
      <c r="E2543" s="111">
        <v>802304.65</v>
      </c>
      <c r="F2543" s="111">
        <v>802194.65</v>
      </c>
      <c r="G2543" s="111">
        <v>799222.15</v>
      </c>
      <c r="H2543" s="112"/>
      <c r="I2543" s="110">
        <v>743084.39</v>
      </c>
      <c r="J2543" s="111">
        <v>795284.65</v>
      </c>
      <c r="K2543" s="111">
        <v>796050.65</v>
      </c>
      <c r="L2543" s="111">
        <v>793897.15</v>
      </c>
      <c r="M2543" s="112"/>
    </row>
    <row r="2544" spans="1:13" x14ac:dyDescent="0.2">
      <c r="A2544" s="113" t="s">
        <v>64</v>
      </c>
      <c r="B2544" s="113" t="s">
        <v>106</v>
      </c>
      <c r="C2544" s="113" t="s">
        <v>223</v>
      </c>
      <c r="D2544" s="114">
        <v>747127.98</v>
      </c>
      <c r="E2544" s="115">
        <v>744571.98</v>
      </c>
      <c r="F2544" s="115">
        <v>743981.98</v>
      </c>
      <c r="G2544" s="115"/>
      <c r="H2544" s="116"/>
      <c r="I2544" s="114">
        <v>690654.66</v>
      </c>
      <c r="J2544" s="115">
        <v>735960.98</v>
      </c>
      <c r="K2544" s="115">
        <v>736650.98</v>
      </c>
      <c r="L2544" s="115"/>
      <c r="M2544" s="116"/>
    </row>
    <row r="2545" spans="1:13" x14ac:dyDescent="0.2">
      <c r="A2545" t="s">
        <v>64</v>
      </c>
      <c r="B2545" t="s">
        <v>106</v>
      </c>
      <c r="C2545" t="s">
        <v>224</v>
      </c>
      <c r="D2545" s="110">
        <v>389486.52</v>
      </c>
      <c r="E2545" s="111">
        <v>387076.52</v>
      </c>
      <c r="F2545" s="111"/>
      <c r="G2545" s="111"/>
      <c r="H2545" s="112"/>
      <c r="I2545" s="110">
        <v>362948.84</v>
      </c>
      <c r="J2545" s="111">
        <v>384360.52</v>
      </c>
      <c r="K2545" s="111"/>
      <c r="L2545" s="111"/>
      <c r="M2545" s="112"/>
    </row>
    <row r="2546" spans="1:13" x14ac:dyDescent="0.2">
      <c r="A2546" s="117" t="s">
        <v>64</v>
      </c>
      <c r="B2546" s="117" t="s">
        <v>106</v>
      </c>
      <c r="C2546" s="117" t="s">
        <v>225</v>
      </c>
      <c r="D2546" s="118">
        <v>469074.52</v>
      </c>
      <c r="E2546" s="119"/>
      <c r="F2546" s="119"/>
      <c r="G2546" s="119"/>
      <c r="H2546" s="120"/>
      <c r="I2546" s="118">
        <v>453127.92</v>
      </c>
      <c r="J2546" s="119"/>
      <c r="K2546" s="119"/>
      <c r="L2546" s="119"/>
      <c r="M2546" s="120"/>
    </row>
    <row r="2547" spans="1:13" x14ac:dyDescent="0.2">
      <c r="A2547" t="s">
        <v>64</v>
      </c>
      <c r="B2547" t="s">
        <v>107</v>
      </c>
      <c r="C2547" t="s">
        <v>222</v>
      </c>
      <c r="D2547" s="110">
        <v>932708.43</v>
      </c>
      <c r="E2547" s="111">
        <v>919341.32</v>
      </c>
      <c r="F2547" s="111">
        <v>919251.32</v>
      </c>
      <c r="G2547" s="111">
        <v>918302.82</v>
      </c>
      <c r="H2547" s="112"/>
      <c r="I2547" s="110">
        <v>848617.53</v>
      </c>
      <c r="J2547" s="111">
        <v>917912.52</v>
      </c>
      <c r="K2547" s="111">
        <v>917872.52</v>
      </c>
      <c r="L2547" s="111">
        <v>917262.52</v>
      </c>
      <c r="M2547" s="112"/>
    </row>
    <row r="2548" spans="1:13" x14ac:dyDescent="0.2">
      <c r="A2548" s="113" t="s">
        <v>64</v>
      </c>
      <c r="B2548" s="113" t="s">
        <v>107</v>
      </c>
      <c r="C2548" s="113" t="s">
        <v>223</v>
      </c>
      <c r="D2548" s="114">
        <v>1016819.37</v>
      </c>
      <c r="E2548" s="115">
        <v>1014639.37</v>
      </c>
      <c r="F2548" s="115">
        <v>1013834.37</v>
      </c>
      <c r="G2548" s="115"/>
      <c r="H2548" s="116"/>
      <c r="I2548" s="114">
        <v>949470.92</v>
      </c>
      <c r="J2548" s="115">
        <v>1011575.92</v>
      </c>
      <c r="K2548" s="115">
        <v>1010914.42</v>
      </c>
      <c r="L2548" s="115"/>
      <c r="M2548" s="116"/>
    </row>
    <row r="2549" spans="1:13" x14ac:dyDescent="0.2">
      <c r="A2549" t="s">
        <v>64</v>
      </c>
      <c r="B2549" t="s">
        <v>107</v>
      </c>
      <c r="C2549" t="s">
        <v>224</v>
      </c>
      <c r="D2549" s="110">
        <v>797914.88</v>
      </c>
      <c r="E2549" s="111">
        <v>796919.88</v>
      </c>
      <c r="F2549" s="111"/>
      <c r="G2549" s="111"/>
      <c r="H2549" s="112"/>
      <c r="I2549" s="110">
        <v>742526.38</v>
      </c>
      <c r="J2549" s="111">
        <v>795454.88</v>
      </c>
      <c r="K2549" s="111"/>
      <c r="L2549" s="111"/>
      <c r="M2549" s="112"/>
    </row>
    <row r="2550" spans="1:13" x14ac:dyDescent="0.2">
      <c r="A2550" s="117" t="s">
        <v>64</v>
      </c>
      <c r="B2550" s="117" t="s">
        <v>107</v>
      </c>
      <c r="C2550" s="117" t="s">
        <v>225</v>
      </c>
      <c r="D2550" s="118">
        <v>855227.07</v>
      </c>
      <c r="E2550" s="119"/>
      <c r="F2550" s="119"/>
      <c r="G2550" s="119"/>
      <c r="H2550" s="120"/>
      <c r="I2550" s="118">
        <v>808111.57</v>
      </c>
      <c r="J2550" s="119"/>
      <c r="K2550" s="119"/>
      <c r="L2550" s="119"/>
      <c r="M2550" s="120"/>
    </row>
    <row r="2551" spans="1:13" x14ac:dyDescent="0.2">
      <c r="A2551" t="s">
        <v>64</v>
      </c>
      <c r="B2551" t="s">
        <v>108</v>
      </c>
      <c r="C2551" t="s">
        <v>222</v>
      </c>
      <c r="D2551" s="110">
        <v>225692.86</v>
      </c>
      <c r="E2551" s="111">
        <v>225347.86</v>
      </c>
      <c r="F2551" s="111">
        <v>225347.86</v>
      </c>
      <c r="G2551" s="111">
        <v>225347.86</v>
      </c>
      <c r="H2551" s="112"/>
      <c r="I2551" s="110">
        <v>213867.86</v>
      </c>
      <c r="J2551" s="111">
        <v>224758.86</v>
      </c>
      <c r="K2551" s="111">
        <v>224758.86</v>
      </c>
      <c r="L2551" s="111">
        <v>224758.86</v>
      </c>
      <c r="M2551" s="112"/>
    </row>
    <row r="2552" spans="1:13" x14ac:dyDescent="0.2">
      <c r="A2552" s="113" t="s">
        <v>64</v>
      </c>
      <c r="B2552" s="113" t="s">
        <v>108</v>
      </c>
      <c r="C2552" s="113" t="s">
        <v>223</v>
      </c>
      <c r="D2552" s="114">
        <v>259378.66</v>
      </c>
      <c r="E2552" s="115">
        <v>258567.66</v>
      </c>
      <c r="F2552" s="115">
        <v>257642.66</v>
      </c>
      <c r="G2552" s="115"/>
      <c r="H2552" s="116"/>
      <c r="I2552" s="114">
        <v>245824.66</v>
      </c>
      <c r="J2552" s="115">
        <v>257065.66</v>
      </c>
      <c r="K2552" s="115">
        <v>256305.66</v>
      </c>
      <c r="L2552" s="115"/>
      <c r="M2552" s="116"/>
    </row>
    <row r="2553" spans="1:13" x14ac:dyDescent="0.2">
      <c r="A2553" t="s">
        <v>64</v>
      </c>
      <c r="B2553" t="s">
        <v>108</v>
      </c>
      <c r="C2553" t="s">
        <v>224</v>
      </c>
      <c r="D2553" s="110">
        <v>253505.2</v>
      </c>
      <c r="E2553" s="111">
        <v>252864.2</v>
      </c>
      <c r="F2553" s="111"/>
      <c r="G2553" s="111"/>
      <c r="H2553" s="112"/>
      <c r="I2553" s="110">
        <v>237994.2</v>
      </c>
      <c r="J2553" s="111">
        <v>251554.2</v>
      </c>
      <c r="K2553" s="111"/>
      <c r="L2553" s="111"/>
      <c r="M2553" s="112"/>
    </row>
    <row r="2554" spans="1:13" x14ac:dyDescent="0.2">
      <c r="A2554" s="117" t="s">
        <v>64</v>
      </c>
      <c r="B2554" s="117" t="s">
        <v>108</v>
      </c>
      <c r="C2554" s="117" t="s">
        <v>225</v>
      </c>
      <c r="D2554" s="118">
        <v>267030.46000000002</v>
      </c>
      <c r="E2554" s="119"/>
      <c r="F2554" s="119"/>
      <c r="G2554" s="119"/>
      <c r="H2554" s="120"/>
      <c r="I2554" s="118">
        <v>250798.46</v>
      </c>
      <c r="J2554" s="119"/>
      <c r="K2554" s="119"/>
      <c r="L2554" s="119"/>
      <c r="M2554" s="120"/>
    </row>
    <row r="2555" spans="1:13" x14ac:dyDescent="0.2">
      <c r="A2555" t="s">
        <v>64</v>
      </c>
      <c r="B2555" t="s">
        <v>70</v>
      </c>
      <c r="C2555" t="s">
        <v>222</v>
      </c>
      <c r="D2555" s="110">
        <v>246137.35</v>
      </c>
      <c r="E2555" s="111">
        <v>241365.85</v>
      </c>
      <c r="F2555" s="111">
        <v>242141.85</v>
      </c>
      <c r="G2555" s="111">
        <v>241523.85</v>
      </c>
      <c r="H2555" s="112"/>
      <c r="I2555" s="110">
        <v>219566.5</v>
      </c>
      <c r="J2555" s="111">
        <v>231043.65</v>
      </c>
      <c r="K2555" s="111">
        <v>231335.94</v>
      </c>
      <c r="L2555" s="111">
        <v>231581.48</v>
      </c>
      <c r="M2555" s="112"/>
    </row>
    <row r="2556" spans="1:13" x14ac:dyDescent="0.2">
      <c r="A2556" s="113" t="s">
        <v>64</v>
      </c>
      <c r="B2556" s="113" t="s">
        <v>70</v>
      </c>
      <c r="C2556" s="113" t="s">
        <v>223</v>
      </c>
      <c r="D2556" s="114">
        <v>243820.78</v>
      </c>
      <c r="E2556" s="115">
        <v>240437.78</v>
      </c>
      <c r="F2556" s="115">
        <v>239444.28</v>
      </c>
      <c r="G2556" s="115"/>
      <c r="H2556" s="116"/>
      <c r="I2556" s="114">
        <v>221197.78</v>
      </c>
      <c r="J2556" s="115">
        <v>231924.78</v>
      </c>
      <c r="K2556" s="115">
        <v>232092.78</v>
      </c>
      <c r="L2556" s="115"/>
      <c r="M2556" s="116"/>
    </row>
    <row r="2557" spans="1:13" x14ac:dyDescent="0.2">
      <c r="A2557" t="s">
        <v>64</v>
      </c>
      <c r="B2557" t="s">
        <v>70</v>
      </c>
      <c r="C2557" t="s">
        <v>224</v>
      </c>
      <c r="D2557" s="110">
        <v>189520.15</v>
      </c>
      <c r="E2557" s="111">
        <v>185288.15</v>
      </c>
      <c r="F2557" s="111"/>
      <c r="G2557" s="111"/>
      <c r="H2557" s="112"/>
      <c r="I2557" s="110">
        <v>173485.23</v>
      </c>
      <c r="J2557" s="111">
        <v>179134.23</v>
      </c>
      <c r="K2557" s="111"/>
      <c r="L2557" s="111"/>
      <c r="M2557" s="112"/>
    </row>
    <row r="2558" spans="1:13" x14ac:dyDescent="0.2">
      <c r="A2558" s="117" t="s">
        <v>64</v>
      </c>
      <c r="B2558" s="117" t="s">
        <v>70</v>
      </c>
      <c r="C2558" s="117" t="s">
        <v>225</v>
      </c>
      <c r="D2558" s="118">
        <v>264800.25</v>
      </c>
      <c r="E2558" s="119"/>
      <c r="F2558" s="119"/>
      <c r="G2558" s="119"/>
      <c r="H2558" s="120"/>
      <c r="I2558" s="118">
        <v>238736.75</v>
      </c>
      <c r="J2558" s="119"/>
      <c r="K2558" s="119"/>
      <c r="L2558" s="119"/>
      <c r="M2558" s="120"/>
    </row>
    <row r="2559" spans="1:13" x14ac:dyDescent="0.2">
      <c r="A2559" t="s">
        <v>64</v>
      </c>
      <c r="B2559" t="s">
        <v>110</v>
      </c>
      <c r="C2559" t="s">
        <v>222</v>
      </c>
      <c r="D2559" s="110">
        <v>1818226.5</v>
      </c>
      <c r="E2559" s="111">
        <v>1603881.69</v>
      </c>
      <c r="F2559" s="111">
        <v>1601863.69</v>
      </c>
      <c r="G2559" s="111">
        <v>1589146.99</v>
      </c>
      <c r="H2559" s="112"/>
      <c r="I2559" s="110">
        <v>779691.4</v>
      </c>
      <c r="J2559" s="111">
        <v>1173612.92</v>
      </c>
      <c r="K2559" s="111">
        <v>1279214.82</v>
      </c>
      <c r="L2559" s="111">
        <v>1341890.51</v>
      </c>
      <c r="M2559" s="112"/>
    </row>
    <row r="2560" spans="1:13" x14ac:dyDescent="0.2">
      <c r="A2560" s="113" t="s">
        <v>64</v>
      </c>
      <c r="B2560" s="113" t="s">
        <v>110</v>
      </c>
      <c r="C2560" s="113" t="s">
        <v>223</v>
      </c>
      <c r="D2560" s="114">
        <v>1749146.85</v>
      </c>
      <c r="E2560" s="115">
        <v>1601522.34</v>
      </c>
      <c r="F2560" s="115">
        <v>1567036.34</v>
      </c>
      <c r="G2560" s="115"/>
      <c r="H2560" s="116"/>
      <c r="I2560" s="114">
        <v>750892.27</v>
      </c>
      <c r="J2560" s="115">
        <v>998105.78</v>
      </c>
      <c r="K2560" s="115">
        <v>1134322.58</v>
      </c>
      <c r="L2560" s="115"/>
      <c r="M2560" s="116"/>
    </row>
    <row r="2561" spans="1:13" x14ac:dyDescent="0.2">
      <c r="A2561" t="s">
        <v>64</v>
      </c>
      <c r="B2561" t="s">
        <v>110</v>
      </c>
      <c r="C2561" t="s">
        <v>224</v>
      </c>
      <c r="D2561" s="110">
        <v>957625</v>
      </c>
      <c r="E2561" s="111">
        <v>883967.3</v>
      </c>
      <c r="F2561" s="111"/>
      <c r="G2561" s="111"/>
      <c r="H2561" s="112"/>
      <c r="I2561" s="110">
        <v>366055.65</v>
      </c>
      <c r="J2561" s="111">
        <v>612300.94999999995</v>
      </c>
      <c r="K2561" s="111"/>
      <c r="L2561" s="111"/>
      <c r="M2561" s="112"/>
    </row>
    <row r="2562" spans="1:13" ht="13.5" thickBot="1" x14ac:dyDescent="0.25">
      <c r="A2562" s="128" t="s">
        <v>64</v>
      </c>
      <c r="B2562" s="128" t="s">
        <v>110</v>
      </c>
      <c r="C2562" s="128" t="s">
        <v>225</v>
      </c>
      <c r="D2562" s="129">
        <v>1597714.75</v>
      </c>
      <c r="E2562" s="130"/>
      <c r="F2562" s="130"/>
      <c r="G2562" s="130"/>
      <c r="H2562" s="131"/>
      <c r="I2562" s="129">
        <v>833002.31</v>
      </c>
      <c r="J2562" s="130"/>
      <c r="K2562" s="130"/>
      <c r="L2562" s="130"/>
      <c r="M2562" s="131"/>
    </row>
    <row r="2563" spans="1:13" x14ac:dyDescent="0.2">
      <c r="A2563" s="132" t="s">
        <v>65</v>
      </c>
      <c r="B2563" s="132" t="s">
        <v>104</v>
      </c>
      <c r="C2563" s="132" t="s">
        <v>222</v>
      </c>
      <c r="D2563" s="133">
        <v>101151</v>
      </c>
      <c r="E2563" s="134">
        <v>101151</v>
      </c>
      <c r="F2563" s="134">
        <v>101151</v>
      </c>
      <c r="G2563" s="134">
        <v>101151</v>
      </c>
      <c r="H2563" s="135"/>
      <c r="I2563" s="133">
        <v>1655</v>
      </c>
      <c r="J2563" s="134">
        <v>6807</v>
      </c>
      <c r="K2563" s="134">
        <v>9405.41</v>
      </c>
      <c r="L2563" s="134">
        <v>15012.75</v>
      </c>
      <c r="M2563" s="135"/>
    </row>
    <row r="2564" spans="1:13" x14ac:dyDescent="0.2">
      <c r="A2564" s="113" t="s">
        <v>65</v>
      </c>
      <c r="B2564" s="113" t="s">
        <v>104</v>
      </c>
      <c r="C2564" s="113" t="s">
        <v>223</v>
      </c>
      <c r="D2564" s="114">
        <v>66600.639999999999</v>
      </c>
      <c r="E2564" s="115">
        <v>66600.639999999999</v>
      </c>
      <c r="F2564" s="115">
        <v>66600.639999999999</v>
      </c>
      <c r="G2564" s="115"/>
      <c r="H2564" s="116"/>
      <c r="I2564" s="114">
        <v>6043.64</v>
      </c>
      <c r="J2564" s="115">
        <v>7097.64</v>
      </c>
      <c r="K2564" s="115">
        <v>8528.64</v>
      </c>
      <c r="L2564" s="115"/>
      <c r="M2564" s="116"/>
    </row>
    <row r="2565" spans="1:13" x14ac:dyDescent="0.2">
      <c r="A2565" t="s">
        <v>65</v>
      </c>
      <c r="B2565" t="s">
        <v>104</v>
      </c>
      <c r="C2565" t="s">
        <v>224</v>
      </c>
      <c r="D2565" s="110">
        <v>3812.75</v>
      </c>
      <c r="E2565" s="111">
        <v>3812.75</v>
      </c>
      <c r="F2565" s="111"/>
      <c r="G2565" s="111"/>
      <c r="H2565" s="112"/>
      <c r="I2565" s="110">
        <v>321.5</v>
      </c>
      <c r="J2565" s="111">
        <v>321.5</v>
      </c>
      <c r="K2565" s="111"/>
      <c r="L2565" s="111"/>
      <c r="M2565" s="112"/>
    </row>
    <row r="2566" spans="1:13" x14ac:dyDescent="0.2">
      <c r="A2566" s="117" t="s">
        <v>65</v>
      </c>
      <c r="B2566" s="117" t="s">
        <v>104</v>
      </c>
      <c r="C2566" s="117" t="s">
        <v>225</v>
      </c>
      <c r="D2566" s="118">
        <v>38070</v>
      </c>
      <c r="E2566" s="119"/>
      <c r="F2566" s="119"/>
      <c r="G2566" s="119"/>
      <c r="H2566" s="120"/>
      <c r="I2566" s="118">
        <v>1813</v>
      </c>
      <c r="J2566" s="119"/>
      <c r="K2566" s="119"/>
      <c r="L2566" s="119"/>
      <c r="M2566" s="120"/>
    </row>
    <row r="2567" spans="1:13" x14ac:dyDescent="0.2">
      <c r="A2567" t="s">
        <v>65</v>
      </c>
      <c r="B2567" t="s">
        <v>140</v>
      </c>
      <c r="C2567" t="s">
        <v>222</v>
      </c>
      <c r="D2567" s="110">
        <v>7</v>
      </c>
      <c r="E2567" s="111">
        <v>7</v>
      </c>
      <c r="F2567" s="111">
        <v>7</v>
      </c>
      <c r="G2567" s="111">
        <v>7</v>
      </c>
      <c r="H2567" s="112"/>
      <c r="I2567" s="110">
        <v>7</v>
      </c>
      <c r="J2567" s="111">
        <v>7</v>
      </c>
      <c r="K2567" s="111">
        <v>7</v>
      </c>
      <c r="L2567" s="111">
        <v>7</v>
      </c>
      <c r="M2567" s="112"/>
    </row>
    <row r="2568" spans="1:13" x14ac:dyDescent="0.2">
      <c r="A2568" s="113" t="s">
        <v>65</v>
      </c>
      <c r="B2568" s="113" t="s">
        <v>140</v>
      </c>
      <c r="C2568" s="113" t="s">
        <v>223</v>
      </c>
      <c r="D2568" s="114">
        <v>0</v>
      </c>
      <c r="E2568" s="115">
        <v>0</v>
      </c>
      <c r="F2568" s="115">
        <v>0</v>
      </c>
      <c r="G2568" s="115"/>
      <c r="H2568" s="116"/>
      <c r="I2568" s="114">
        <v>0</v>
      </c>
      <c r="J2568" s="115">
        <v>0</v>
      </c>
      <c r="K2568" s="115">
        <v>0</v>
      </c>
      <c r="L2568" s="115"/>
      <c r="M2568" s="116"/>
    </row>
    <row r="2569" spans="1:13" x14ac:dyDescent="0.2">
      <c r="A2569" t="s">
        <v>65</v>
      </c>
      <c r="B2569" t="s">
        <v>140</v>
      </c>
      <c r="C2569" t="s">
        <v>224</v>
      </c>
      <c r="D2569" s="110">
        <v>0</v>
      </c>
      <c r="E2569" s="111">
        <v>0</v>
      </c>
      <c r="F2569" s="111"/>
      <c r="G2569" s="111"/>
      <c r="H2569" s="112"/>
      <c r="I2569" s="110">
        <v>0</v>
      </c>
      <c r="J2569" s="111">
        <v>0</v>
      </c>
      <c r="K2569" s="111"/>
      <c r="L2569" s="111"/>
      <c r="M2569" s="112"/>
    </row>
    <row r="2570" spans="1:13" x14ac:dyDescent="0.2">
      <c r="A2570" s="117" t="s">
        <v>65</v>
      </c>
      <c r="B2570" s="117" t="s">
        <v>140</v>
      </c>
      <c r="C2570" s="117" t="s">
        <v>225</v>
      </c>
      <c r="D2570" s="118">
        <v>0</v>
      </c>
      <c r="E2570" s="119"/>
      <c r="F2570" s="119"/>
      <c r="G2570" s="119"/>
      <c r="H2570" s="120"/>
      <c r="I2570" s="118">
        <v>0</v>
      </c>
      <c r="J2570" s="119"/>
      <c r="K2570" s="119"/>
      <c r="L2570" s="119"/>
      <c r="M2570" s="120"/>
    </row>
    <row r="2571" spans="1:13" x14ac:dyDescent="0.2">
      <c r="A2571" t="s">
        <v>65</v>
      </c>
      <c r="B2571" t="s">
        <v>105</v>
      </c>
      <c r="C2571" t="s">
        <v>222</v>
      </c>
      <c r="D2571" s="110">
        <v>20985</v>
      </c>
      <c r="E2571" s="111">
        <v>20595</v>
      </c>
      <c r="F2571" s="111">
        <v>20495</v>
      </c>
      <c r="G2571" s="111">
        <v>20465</v>
      </c>
      <c r="H2571" s="112"/>
      <c r="I2571" s="110">
        <v>3526</v>
      </c>
      <c r="J2571" s="111">
        <v>6449</v>
      </c>
      <c r="K2571" s="111">
        <v>7334</v>
      </c>
      <c r="L2571" s="111">
        <v>7891</v>
      </c>
      <c r="M2571" s="112"/>
    </row>
    <row r="2572" spans="1:13" x14ac:dyDescent="0.2">
      <c r="A2572" s="113" t="s">
        <v>65</v>
      </c>
      <c r="B2572" s="113" t="s">
        <v>105</v>
      </c>
      <c r="C2572" s="113" t="s">
        <v>223</v>
      </c>
      <c r="D2572" s="114">
        <v>16160.5</v>
      </c>
      <c r="E2572" s="115">
        <v>16110.5</v>
      </c>
      <c r="F2572" s="115">
        <v>16110.5</v>
      </c>
      <c r="G2572" s="115"/>
      <c r="H2572" s="116"/>
      <c r="I2572" s="114">
        <v>2929.5</v>
      </c>
      <c r="J2572" s="115">
        <v>5029.78</v>
      </c>
      <c r="K2572" s="115">
        <v>5911.42</v>
      </c>
      <c r="L2572" s="115"/>
      <c r="M2572" s="116"/>
    </row>
    <row r="2573" spans="1:13" x14ac:dyDescent="0.2">
      <c r="A2573" t="s">
        <v>65</v>
      </c>
      <c r="B2573" t="s">
        <v>105</v>
      </c>
      <c r="C2573" t="s">
        <v>224</v>
      </c>
      <c r="D2573" s="110">
        <v>7254</v>
      </c>
      <c r="E2573" s="111">
        <v>7053</v>
      </c>
      <c r="F2573" s="111"/>
      <c r="G2573" s="111"/>
      <c r="H2573" s="112"/>
      <c r="I2573" s="110">
        <v>2370</v>
      </c>
      <c r="J2573" s="111">
        <v>3531.79</v>
      </c>
      <c r="K2573" s="111"/>
      <c r="L2573" s="111"/>
      <c r="M2573" s="112"/>
    </row>
    <row r="2574" spans="1:13" x14ac:dyDescent="0.2">
      <c r="A2574" s="117" t="s">
        <v>65</v>
      </c>
      <c r="B2574" s="117" t="s">
        <v>105</v>
      </c>
      <c r="C2574" s="117" t="s">
        <v>225</v>
      </c>
      <c r="D2574" s="118">
        <v>16722.900000000001</v>
      </c>
      <c r="E2574" s="119"/>
      <c r="F2574" s="119"/>
      <c r="G2574" s="119"/>
      <c r="H2574" s="120"/>
      <c r="I2574" s="118">
        <v>5538.9</v>
      </c>
      <c r="J2574" s="119"/>
      <c r="K2574" s="119"/>
      <c r="L2574" s="119"/>
      <c r="M2574" s="120"/>
    </row>
    <row r="2575" spans="1:13" x14ac:dyDescent="0.2">
      <c r="A2575" t="s">
        <v>65</v>
      </c>
      <c r="B2575" t="s">
        <v>111</v>
      </c>
      <c r="C2575" t="s">
        <v>222</v>
      </c>
      <c r="D2575" s="110">
        <v>1474</v>
      </c>
      <c r="E2575" s="111">
        <v>1324</v>
      </c>
      <c r="F2575" s="111">
        <v>1324</v>
      </c>
      <c r="G2575" s="111">
        <v>1424</v>
      </c>
      <c r="H2575" s="112"/>
      <c r="I2575" s="110">
        <v>4</v>
      </c>
      <c r="J2575" s="111">
        <v>4</v>
      </c>
      <c r="K2575" s="111">
        <v>79</v>
      </c>
      <c r="L2575" s="111">
        <v>94</v>
      </c>
      <c r="M2575" s="112"/>
    </row>
    <row r="2576" spans="1:13" x14ac:dyDescent="0.2">
      <c r="A2576" s="113" t="s">
        <v>65</v>
      </c>
      <c r="B2576" s="113" t="s">
        <v>111</v>
      </c>
      <c r="C2576" s="113" t="s">
        <v>223</v>
      </c>
      <c r="D2576" s="114">
        <v>2376</v>
      </c>
      <c r="E2576" s="115">
        <v>2326</v>
      </c>
      <c r="F2576" s="115">
        <v>2426</v>
      </c>
      <c r="G2576" s="115"/>
      <c r="H2576" s="116"/>
      <c r="I2576" s="114">
        <v>14</v>
      </c>
      <c r="J2576" s="115">
        <v>14</v>
      </c>
      <c r="K2576" s="115">
        <v>64</v>
      </c>
      <c r="L2576" s="115"/>
      <c r="M2576" s="116"/>
    </row>
    <row r="2577" spans="1:13" x14ac:dyDescent="0.2">
      <c r="A2577" t="s">
        <v>65</v>
      </c>
      <c r="B2577" t="s">
        <v>111</v>
      </c>
      <c r="C2577" t="s">
        <v>224</v>
      </c>
      <c r="D2577" s="110">
        <v>350</v>
      </c>
      <c r="E2577" s="111">
        <v>700</v>
      </c>
      <c r="F2577" s="111"/>
      <c r="G2577" s="111"/>
      <c r="H2577" s="112"/>
      <c r="I2577" s="110">
        <v>0</v>
      </c>
      <c r="J2577" s="111">
        <v>0</v>
      </c>
      <c r="K2577" s="111"/>
      <c r="L2577" s="111"/>
      <c r="M2577" s="112"/>
    </row>
    <row r="2578" spans="1:13" x14ac:dyDescent="0.2">
      <c r="A2578" s="117" t="s">
        <v>65</v>
      </c>
      <c r="B2578" s="117" t="s">
        <v>111</v>
      </c>
      <c r="C2578" s="117" t="s">
        <v>225</v>
      </c>
      <c r="D2578" s="118">
        <v>616.5</v>
      </c>
      <c r="E2578" s="119"/>
      <c r="F2578" s="119"/>
      <c r="G2578" s="119"/>
      <c r="H2578" s="120"/>
      <c r="I2578" s="118">
        <v>66.5</v>
      </c>
      <c r="J2578" s="119"/>
      <c r="K2578" s="119"/>
      <c r="L2578" s="119"/>
      <c r="M2578" s="120"/>
    </row>
    <row r="2579" spans="1:13" x14ac:dyDescent="0.2">
      <c r="A2579" s="124" t="s">
        <v>65</v>
      </c>
      <c r="B2579" s="124" t="s">
        <v>109</v>
      </c>
      <c r="C2579" s="124" t="s">
        <v>222</v>
      </c>
      <c r="D2579" s="125">
        <v>12742</v>
      </c>
      <c r="E2579" s="126">
        <v>12642</v>
      </c>
      <c r="F2579" s="126">
        <v>12642</v>
      </c>
      <c r="G2579" s="126">
        <v>12642</v>
      </c>
      <c r="H2579" s="127"/>
      <c r="I2579" s="125">
        <v>1562</v>
      </c>
      <c r="J2579" s="126">
        <v>3192</v>
      </c>
      <c r="K2579" s="126">
        <v>4100</v>
      </c>
      <c r="L2579" s="126">
        <v>5008</v>
      </c>
      <c r="M2579" s="127"/>
    </row>
    <row r="2580" spans="1:13" x14ac:dyDescent="0.2">
      <c r="A2580" s="113" t="s">
        <v>65</v>
      </c>
      <c r="B2580" s="113" t="s">
        <v>109</v>
      </c>
      <c r="C2580" s="113" t="s">
        <v>223</v>
      </c>
      <c r="D2580" s="114">
        <v>9941</v>
      </c>
      <c r="E2580" s="115">
        <v>9891</v>
      </c>
      <c r="F2580" s="115">
        <v>9841</v>
      </c>
      <c r="G2580" s="115"/>
      <c r="H2580" s="116"/>
      <c r="I2580" s="114">
        <v>2619</v>
      </c>
      <c r="J2580" s="115">
        <v>3645</v>
      </c>
      <c r="K2580" s="115">
        <v>4060</v>
      </c>
      <c r="L2580" s="115"/>
      <c r="M2580" s="116"/>
    </row>
    <row r="2581" spans="1:13" x14ac:dyDescent="0.2">
      <c r="A2581" t="s">
        <v>65</v>
      </c>
      <c r="B2581" t="s">
        <v>109</v>
      </c>
      <c r="C2581" t="s">
        <v>224</v>
      </c>
      <c r="D2581" s="110">
        <v>2359</v>
      </c>
      <c r="E2581" s="111">
        <v>2309</v>
      </c>
      <c r="F2581" s="111"/>
      <c r="G2581" s="111"/>
      <c r="H2581" s="112"/>
      <c r="I2581" s="110">
        <v>366</v>
      </c>
      <c r="J2581" s="111">
        <v>416</v>
      </c>
      <c r="K2581" s="111"/>
      <c r="L2581" s="111"/>
      <c r="M2581" s="112"/>
    </row>
    <row r="2582" spans="1:13" x14ac:dyDescent="0.2">
      <c r="A2582" s="117" t="s">
        <v>65</v>
      </c>
      <c r="B2582" s="117" t="s">
        <v>109</v>
      </c>
      <c r="C2582" s="117" t="s">
        <v>225</v>
      </c>
      <c r="D2582" s="118">
        <v>20040</v>
      </c>
      <c r="E2582" s="119"/>
      <c r="F2582" s="119"/>
      <c r="G2582" s="119"/>
      <c r="H2582" s="120"/>
      <c r="I2582" s="118">
        <v>3330</v>
      </c>
      <c r="J2582" s="119"/>
      <c r="K2582" s="119"/>
      <c r="L2582" s="119"/>
      <c r="M2582" s="120"/>
    </row>
    <row r="2583" spans="1:13" x14ac:dyDescent="0.2">
      <c r="A2583" t="s">
        <v>65</v>
      </c>
      <c r="B2583" t="s">
        <v>106</v>
      </c>
      <c r="C2583" t="s">
        <v>222</v>
      </c>
      <c r="D2583" s="110">
        <v>36591.5</v>
      </c>
      <c r="E2583" s="111">
        <v>36591.5</v>
      </c>
      <c r="F2583" s="111">
        <v>36591.5</v>
      </c>
      <c r="G2583" s="111">
        <v>36591.5</v>
      </c>
      <c r="H2583" s="112"/>
      <c r="I2583" s="110">
        <v>36589.5</v>
      </c>
      <c r="J2583" s="111">
        <v>36589.5</v>
      </c>
      <c r="K2583" s="111">
        <v>36589.5</v>
      </c>
      <c r="L2583" s="111">
        <v>36589.5</v>
      </c>
      <c r="M2583" s="112"/>
    </row>
    <row r="2584" spans="1:13" x14ac:dyDescent="0.2">
      <c r="A2584" s="113" t="s">
        <v>65</v>
      </c>
      <c r="B2584" s="113" t="s">
        <v>106</v>
      </c>
      <c r="C2584" s="113" t="s">
        <v>223</v>
      </c>
      <c r="D2584" s="114">
        <v>42705</v>
      </c>
      <c r="E2584" s="115">
        <v>42705</v>
      </c>
      <c r="F2584" s="115">
        <v>42705</v>
      </c>
      <c r="G2584" s="115"/>
      <c r="H2584" s="116"/>
      <c r="I2584" s="114">
        <v>42305</v>
      </c>
      <c r="J2584" s="115">
        <v>42305</v>
      </c>
      <c r="K2584" s="115">
        <v>42305</v>
      </c>
      <c r="L2584" s="115"/>
      <c r="M2584" s="116"/>
    </row>
    <row r="2585" spans="1:13" x14ac:dyDescent="0.2">
      <c r="A2585" t="s">
        <v>65</v>
      </c>
      <c r="B2585" t="s">
        <v>106</v>
      </c>
      <c r="C2585" t="s">
        <v>224</v>
      </c>
      <c r="D2585" s="110">
        <v>14790</v>
      </c>
      <c r="E2585" s="111">
        <v>14790</v>
      </c>
      <c r="F2585" s="111"/>
      <c r="G2585" s="111"/>
      <c r="H2585" s="112"/>
      <c r="I2585" s="110">
        <v>14790</v>
      </c>
      <c r="J2585" s="111">
        <v>14790</v>
      </c>
      <c r="K2585" s="111"/>
      <c r="L2585" s="111"/>
      <c r="M2585" s="112"/>
    </row>
    <row r="2586" spans="1:13" x14ac:dyDescent="0.2">
      <c r="A2586" s="117" t="s">
        <v>65</v>
      </c>
      <c r="B2586" s="117" t="s">
        <v>106</v>
      </c>
      <c r="C2586" s="117" t="s">
        <v>225</v>
      </c>
      <c r="D2586" s="118">
        <v>15927.75</v>
      </c>
      <c r="E2586" s="119"/>
      <c r="F2586" s="119"/>
      <c r="G2586" s="119"/>
      <c r="H2586" s="120"/>
      <c r="I2586" s="118">
        <v>14727.75</v>
      </c>
      <c r="J2586" s="119"/>
      <c r="K2586" s="119"/>
      <c r="L2586" s="119"/>
      <c r="M2586" s="120"/>
    </row>
    <row r="2587" spans="1:13" x14ac:dyDescent="0.2">
      <c r="A2587" t="s">
        <v>65</v>
      </c>
      <c r="B2587" t="s">
        <v>107</v>
      </c>
      <c r="C2587" t="s">
        <v>222</v>
      </c>
      <c r="D2587" s="110">
        <v>35820.31</v>
      </c>
      <c r="E2587" s="111">
        <v>35820.31</v>
      </c>
      <c r="F2587" s="111">
        <v>35820.31</v>
      </c>
      <c r="G2587" s="111">
        <v>35820.31</v>
      </c>
      <c r="H2587" s="112"/>
      <c r="I2587" s="110">
        <v>34530.43</v>
      </c>
      <c r="J2587" s="111">
        <v>34530.43</v>
      </c>
      <c r="K2587" s="111">
        <v>34530.43</v>
      </c>
      <c r="L2587" s="111">
        <v>34530.43</v>
      </c>
      <c r="M2587" s="112"/>
    </row>
    <row r="2588" spans="1:13" x14ac:dyDescent="0.2">
      <c r="A2588" s="113" t="s">
        <v>65</v>
      </c>
      <c r="B2588" s="113" t="s">
        <v>107</v>
      </c>
      <c r="C2588" s="113" t="s">
        <v>223</v>
      </c>
      <c r="D2588" s="114">
        <v>36417</v>
      </c>
      <c r="E2588" s="115">
        <v>36737</v>
      </c>
      <c r="F2588" s="115">
        <v>36737</v>
      </c>
      <c r="G2588" s="115"/>
      <c r="H2588" s="116"/>
      <c r="I2588" s="114">
        <v>34807</v>
      </c>
      <c r="J2588" s="115">
        <v>35642</v>
      </c>
      <c r="K2588" s="115">
        <v>35642</v>
      </c>
      <c r="L2588" s="115"/>
      <c r="M2588" s="116"/>
    </row>
    <row r="2589" spans="1:13" x14ac:dyDescent="0.2">
      <c r="A2589" t="s">
        <v>65</v>
      </c>
      <c r="B2589" t="s">
        <v>107</v>
      </c>
      <c r="C2589" t="s">
        <v>224</v>
      </c>
      <c r="D2589" s="110">
        <v>16478</v>
      </c>
      <c r="E2589" s="111">
        <v>16293</v>
      </c>
      <c r="F2589" s="111"/>
      <c r="G2589" s="111"/>
      <c r="H2589" s="112"/>
      <c r="I2589" s="110">
        <v>16128</v>
      </c>
      <c r="J2589" s="111">
        <v>16128</v>
      </c>
      <c r="K2589" s="111"/>
      <c r="L2589" s="111"/>
      <c r="M2589" s="112"/>
    </row>
    <row r="2590" spans="1:13" x14ac:dyDescent="0.2">
      <c r="A2590" s="117" t="s">
        <v>65</v>
      </c>
      <c r="B2590" s="117" t="s">
        <v>107</v>
      </c>
      <c r="C2590" s="117" t="s">
        <v>225</v>
      </c>
      <c r="D2590" s="118">
        <v>29684.5</v>
      </c>
      <c r="E2590" s="119"/>
      <c r="F2590" s="119"/>
      <c r="G2590" s="119"/>
      <c r="H2590" s="120"/>
      <c r="I2590" s="118">
        <v>28744.5</v>
      </c>
      <c r="J2590" s="119"/>
      <c r="K2590" s="119"/>
      <c r="L2590" s="119"/>
      <c r="M2590" s="120"/>
    </row>
    <row r="2591" spans="1:13" x14ac:dyDescent="0.2">
      <c r="A2591" t="s">
        <v>65</v>
      </c>
      <c r="B2591" t="s">
        <v>108</v>
      </c>
      <c r="C2591" t="s">
        <v>222</v>
      </c>
      <c r="D2591" s="110">
        <v>6464</v>
      </c>
      <c r="E2591" s="111">
        <v>6464</v>
      </c>
      <c r="F2591" s="111">
        <v>6464</v>
      </c>
      <c r="G2591" s="111">
        <v>6464</v>
      </c>
      <c r="H2591" s="112"/>
      <c r="I2591" s="110">
        <v>5719</v>
      </c>
      <c r="J2591" s="111">
        <v>6119</v>
      </c>
      <c r="K2591" s="111">
        <v>6119</v>
      </c>
      <c r="L2591" s="111">
        <v>6119</v>
      </c>
      <c r="M2591" s="112"/>
    </row>
    <row r="2592" spans="1:13" x14ac:dyDescent="0.2">
      <c r="A2592" s="113" t="s">
        <v>65</v>
      </c>
      <c r="B2592" s="113" t="s">
        <v>108</v>
      </c>
      <c r="C2592" s="113" t="s">
        <v>223</v>
      </c>
      <c r="D2592" s="114">
        <v>9797</v>
      </c>
      <c r="E2592" s="115">
        <v>9797</v>
      </c>
      <c r="F2592" s="115">
        <v>9797</v>
      </c>
      <c r="G2592" s="115"/>
      <c r="H2592" s="116"/>
      <c r="I2592" s="114">
        <v>9311</v>
      </c>
      <c r="J2592" s="115">
        <v>9396</v>
      </c>
      <c r="K2592" s="115">
        <v>9566</v>
      </c>
      <c r="L2592" s="115"/>
      <c r="M2592" s="116"/>
    </row>
    <row r="2593" spans="1:13" x14ac:dyDescent="0.2">
      <c r="A2593" t="s">
        <v>65</v>
      </c>
      <c r="B2593" t="s">
        <v>108</v>
      </c>
      <c r="C2593" t="s">
        <v>224</v>
      </c>
      <c r="D2593" s="110">
        <v>12466</v>
      </c>
      <c r="E2593" s="111">
        <v>12466</v>
      </c>
      <c r="F2593" s="111"/>
      <c r="G2593" s="111"/>
      <c r="H2593" s="112"/>
      <c r="I2593" s="110">
        <v>11827</v>
      </c>
      <c r="J2593" s="111">
        <v>11827</v>
      </c>
      <c r="K2593" s="111"/>
      <c r="L2593" s="111"/>
      <c r="M2593" s="112"/>
    </row>
    <row r="2594" spans="1:13" x14ac:dyDescent="0.2">
      <c r="A2594" s="117" t="s">
        <v>65</v>
      </c>
      <c r="B2594" s="117" t="s">
        <v>108</v>
      </c>
      <c r="C2594" s="117" t="s">
        <v>225</v>
      </c>
      <c r="D2594" s="118">
        <v>12683</v>
      </c>
      <c r="E2594" s="119"/>
      <c r="F2594" s="119"/>
      <c r="G2594" s="119"/>
      <c r="H2594" s="120"/>
      <c r="I2594" s="118">
        <v>12221</v>
      </c>
      <c r="J2594" s="119"/>
      <c r="K2594" s="119"/>
      <c r="L2594" s="119"/>
      <c r="M2594" s="120"/>
    </row>
    <row r="2595" spans="1:13" x14ac:dyDescent="0.2">
      <c r="A2595" t="s">
        <v>65</v>
      </c>
      <c r="B2595" t="s">
        <v>70</v>
      </c>
      <c r="C2595" t="s">
        <v>222</v>
      </c>
      <c r="D2595" s="110">
        <v>17718.5</v>
      </c>
      <c r="E2595" s="111">
        <v>17118.5</v>
      </c>
      <c r="F2595" s="111">
        <v>17118.5</v>
      </c>
      <c r="G2595" s="111">
        <v>17118.5</v>
      </c>
      <c r="H2595" s="112"/>
      <c r="I2595" s="110">
        <v>14882</v>
      </c>
      <c r="J2595" s="111">
        <v>15274.5</v>
      </c>
      <c r="K2595" s="111">
        <v>15274.5</v>
      </c>
      <c r="L2595" s="111">
        <v>15274.5</v>
      </c>
      <c r="M2595" s="112"/>
    </row>
    <row r="2596" spans="1:13" x14ac:dyDescent="0.2">
      <c r="A2596" s="113" t="s">
        <v>65</v>
      </c>
      <c r="B2596" s="113" t="s">
        <v>70</v>
      </c>
      <c r="C2596" s="113" t="s">
        <v>223</v>
      </c>
      <c r="D2596" s="114">
        <v>15202.5</v>
      </c>
      <c r="E2596" s="115">
        <v>14977.5</v>
      </c>
      <c r="F2596" s="115">
        <v>14977.5</v>
      </c>
      <c r="G2596" s="115"/>
      <c r="H2596" s="116"/>
      <c r="I2596" s="114">
        <v>13753.5</v>
      </c>
      <c r="J2596" s="115">
        <v>13753.5</v>
      </c>
      <c r="K2596" s="115">
        <v>13753.5</v>
      </c>
      <c r="L2596" s="115"/>
      <c r="M2596" s="116"/>
    </row>
    <row r="2597" spans="1:13" x14ac:dyDescent="0.2">
      <c r="A2597" t="s">
        <v>65</v>
      </c>
      <c r="B2597" t="s">
        <v>70</v>
      </c>
      <c r="C2597" t="s">
        <v>224</v>
      </c>
      <c r="D2597" s="110">
        <v>19235.5</v>
      </c>
      <c r="E2597" s="111">
        <v>18827.5</v>
      </c>
      <c r="F2597" s="111"/>
      <c r="G2597" s="111"/>
      <c r="H2597" s="112"/>
      <c r="I2597" s="110">
        <v>17601.5</v>
      </c>
      <c r="J2597" s="111">
        <v>17601.5</v>
      </c>
      <c r="K2597" s="111"/>
      <c r="L2597" s="111"/>
      <c r="M2597" s="112"/>
    </row>
    <row r="2598" spans="1:13" x14ac:dyDescent="0.2">
      <c r="A2598" s="117" t="s">
        <v>65</v>
      </c>
      <c r="B2598" s="117" t="s">
        <v>70</v>
      </c>
      <c r="C2598" s="117" t="s">
        <v>225</v>
      </c>
      <c r="D2598" s="118">
        <v>11350</v>
      </c>
      <c r="E2598" s="119"/>
      <c r="F2598" s="119"/>
      <c r="G2598" s="119"/>
      <c r="H2598" s="120"/>
      <c r="I2598" s="118">
        <v>10116</v>
      </c>
      <c r="J2598" s="119"/>
      <c r="K2598" s="119"/>
      <c r="L2598" s="119"/>
      <c r="M2598" s="120"/>
    </row>
    <row r="2599" spans="1:13" x14ac:dyDescent="0.2">
      <c r="A2599" t="s">
        <v>65</v>
      </c>
      <c r="B2599" t="s">
        <v>110</v>
      </c>
      <c r="C2599" t="s">
        <v>222</v>
      </c>
      <c r="D2599" s="110">
        <v>103611.15</v>
      </c>
      <c r="E2599" s="111">
        <v>101292.45</v>
      </c>
      <c r="F2599" s="111">
        <v>101292.45</v>
      </c>
      <c r="G2599" s="111">
        <v>101292.45</v>
      </c>
      <c r="H2599" s="112"/>
      <c r="I2599" s="110">
        <v>59497.3</v>
      </c>
      <c r="J2599" s="111">
        <v>88798.25</v>
      </c>
      <c r="K2599" s="111">
        <v>91434.05</v>
      </c>
      <c r="L2599" s="111">
        <v>92386.05</v>
      </c>
      <c r="M2599" s="112"/>
    </row>
    <row r="2600" spans="1:13" x14ac:dyDescent="0.2">
      <c r="A2600" s="113" t="s">
        <v>65</v>
      </c>
      <c r="B2600" s="113" t="s">
        <v>110</v>
      </c>
      <c r="C2600" s="113" t="s">
        <v>223</v>
      </c>
      <c r="D2600" s="114">
        <v>106101.9</v>
      </c>
      <c r="E2600" s="115">
        <v>104316.4</v>
      </c>
      <c r="F2600" s="115">
        <v>104309.4</v>
      </c>
      <c r="G2600" s="115"/>
      <c r="H2600" s="116"/>
      <c r="I2600" s="114">
        <v>62008.2</v>
      </c>
      <c r="J2600" s="115">
        <v>84157.4</v>
      </c>
      <c r="K2600" s="115">
        <v>86823.9</v>
      </c>
      <c r="L2600" s="115"/>
      <c r="M2600" s="116"/>
    </row>
    <row r="2601" spans="1:13" x14ac:dyDescent="0.2">
      <c r="A2601" t="s">
        <v>65</v>
      </c>
      <c r="B2601" t="s">
        <v>110</v>
      </c>
      <c r="C2601" t="s">
        <v>224</v>
      </c>
      <c r="D2601" s="110">
        <v>69614.899999999994</v>
      </c>
      <c r="E2601" s="111">
        <v>69571.8</v>
      </c>
      <c r="F2601" s="111"/>
      <c r="G2601" s="111"/>
      <c r="H2601" s="112"/>
      <c r="I2601" s="110">
        <v>35764.9</v>
      </c>
      <c r="J2601" s="111">
        <v>53797.3</v>
      </c>
      <c r="K2601" s="111"/>
      <c r="L2601" s="111"/>
      <c r="M2601" s="112"/>
    </row>
    <row r="2602" spans="1:13" ht="13.5" thickBot="1" x14ac:dyDescent="0.25">
      <c r="A2602" s="128" t="s">
        <v>65</v>
      </c>
      <c r="B2602" s="128" t="s">
        <v>110</v>
      </c>
      <c r="C2602" s="128" t="s">
        <v>225</v>
      </c>
      <c r="D2602" s="129">
        <v>100326.35</v>
      </c>
      <c r="E2602" s="130"/>
      <c r="F2602" s="130"/>
      <c r="G2602" s="130"/>
      <c r="H2602" s="131"/>
      <c r="I2602" s="129">
        <v>54464.15</v>
      </c>
      <c r="J2602" s="130"/>
      <c r="K2602" s="130"/>
      <c r="L2602" s="130"/>
      <c r="M2602" s="131"/>
    </row>
    <row r="2603" spans="1:13" x14ac:dyDescent="0.2">
      <c r="A2603" s="132" t="s">
        <v>66</v>
      </c>
      <c r="B2603" s="132" t="s">
        <v>104</v>
      </c>
      <c r="C2603" s="132" t="s">
        <v>222</v>
      </c>
      <c r="D2603" s="133">
        <v>221278</v>
      </c>
      <c r="E2603" s="134">
        <v>221278</v>
      </c>
      <c r="F2603" s="134">
        <v>221278</v>
      </c>
      <c r="G2603" s="134">
        <v>221278</v>
      </c>
      <c r="H2603" s="135"/>
      <c r="I2603" s="133">
        <v>9156</v>
      </c>
      <c r="J2603" s="134">
        <v>19335</v>
      </c>
      <c r="K2603" s="134">
        <v>22452</v>
      </c>
      <c r="L2603" s="134">
        <v>25182</v>
      </c>
      <c r="M2603" s="135"/>
    </row>
    <row r="2604" spans="1:13" x14ac:dyDescent="0.2">
      <c r="A2604" s="113" t="s">
        <v>66</v>
      </c>
      <c r="B2604" s="113" t="s">
        <v>104</v>
      </c>
      <c r="C2604" s="113" t="s">
        <v>223</v>
      </c>
      <c r="D2604" s="114">
        <v>126190</v>
      </c>
      <c r="E2604" s="115">
        <v>126190</v>
      </c>
      <c r="F2604" s="115">
        <v>126190</v>
      </c>
      <c r="G2604" s="115"/>
      <c r="H2604" s="116"/>
      <c r="I2604" s="114">
        <v>8667</v>
      </c>
      <c r="J2604" s="115">
        <v>15344</v>
      </c>
      <c r="K2604" s="115">
        <v>22891</v>
      </c>
      <c r="L2604" s="115"/>
      <c r="M2604" s="116"/>
    </row>
    <row r="2605" spans="1:13" x14ac:dyDescent="0.2">
      <c r="A2605" t="s">
        <v>66</v>
      </c>
      <c r="B2605" t="s">
        <v>104</v>
      </c>
      <c r="C2605" t="s">
        <v>224</v>
      </c>
      <c r="D2605" s="110">
        <v>136458</v>
      </c>
      <c r="E2605" s="111">
        <v>136458</v>
      </c>
      <c r="F2605" s="111"/>
      <c r="G2605" s="111"/>
      <c r="H2605" s="112"/>
      <c r="I2605" s="110">
        <v>2612</v>
      </c>
      <c r="J2605" s="111">
        <v>7987</v>
      </c>
      <c r="K2605" s="111"/>
      <c r="L2605" s="111"/>
      <c r="M2605" s="112"/>
    </row>
    <row r="2606" spans="1:13" x14ac:dyDescent="0.2">
      <c r="A2606" s="117" t="s">
        <v>66</v>
      </c>
      <c r="B2606" s="117" t="s">
        <v>104</v>
      </c>
      <c r="C2606" s="117" t="s">
        <v>225</v>
      </c>
      <c r="D2606" s="118">
        <v>117962</v>
      </c>
      <c r="E2606" s="119"/>
      <c r="F2606" s="119"/>
      <c r="G2606" s="119"/>
      <c r="H2606" s="120"/>
      <c r="I2606" s="118">
        <v>8264</v>
      </c>
      <c r="J2606" s="119"/>
      <c r="K2606" s="119"/>
      <c r="L2606" s="119"/>
      <c r="M2606" s="120"/>
    </row>
    <row r="2607" spans="1:13" x14ac:dyDescent="0.2">
      <c r="A2607" t="s">
        <v>66</v>
      </c>
      <c r="B2607" t="s">
        <v>140</v>
      </c>
      <c r="C2607" t="s">
        <v>222</v>
      </c>
      <c r="D2607" s="110">
        <v>51275</v>
      </c>
      <c r="E2607" s="111">
        <v>51275</v>
      </c>
      <c r="F2607" s="111">
        <v>51275</v>
      </c>
      <c r="G2607" s="111">
        <v>51275</v>
      </c>
      <c r="H2607" s="112"/>
      <c r="I2607" s="110">
        <v>0</v>
      </c>
      <c r="J2607" s="111">
        <v>0</v>
      </c>
      <c r="K2607" s="111">
        <v>0</v>
      </c>
      <c r="L2607" s="111">
        <v>0</v>
      </c>
      <c r="M2607" s="112"/>
    </row>
    <row r="2608" spans="1:13" x14ac:dyDescent="0.2">
      <c r="A2608" s="113" t="s">
        <v>66</v>
      </c>
      <c r="B2608" s="113" t="s">
        <v>140</v>
      </c>
      <c r="C2608" s="113" t="s">
        <v>223</v>
      </c>
      <c r="D2608" s="114">
        <v>0</v>
      </c>
      <c r="E2608" s="115">
        <v>0</v>
      </c>
      <c r="F2608" s="115">
        <v>0</v>
      </c>
      <c r="G2608" s="115"/>
      <c r="H2608" s="116"/>
      <c r="I2608" s="114">
        <v>0</v>
      </c>
      <c r="J2608" s="115">
        <v>0</v>
      </c>
      <c r="K2608" s="115">
        <v>0</v>
      </c>
      <c r="L2608" s="115"/>
      <c r="M2608" s="116"/>
    </row>
    <row r="2609" spans="1:13" x14ac:dyDescent="0.2">
      <c r="A2609" t="s">
        <v>66</v>
      </c>
      <c r="B2609" t="s">
        <v>140</v>
      </c>
      <c r="C2609" t="s">
        <v>224</v>
      </c>
      <c r="D2609" s="110">
        <v>50983</v>
      </c>
      <c r="E2609" s="111">
        <v>50983</v>
      </c>
      <c r="F2609" s="111"/>
      <c r="G2609" s="111"/>
      <c r="H2609" s="112"/>
      <c r="I2609" s="110">
        <v>8</v>
      </c>
      <c r="J2609" s="111">
        <v>8</v>
      </c>
      <c r="K2609" s="111"/>
      <c r="L2609" s="111"/>
      <c r="M2609" s="112"/>
    </row>
    <row r="2610" spans="1:13" x14ac:dyDescent="0.2">
      <c r="A2610" s="117" t="s">
        <v>66</v>
      </c>
      <c r="B2610" s="117" t="s">
        <v>140</v>
      </c>
      <c r="C2610" s="117" t="s">
        <v>225</v>
      </c>
      <c r="D2610" s="118">
        <v>0</v>
      </c>
      <c r="E2610" s="119"/>
      <c r="F2610" s="119"/>
      <c r="G2610" s="119"/>
      <c r="H2610" s="120"/>
      <c r="I2610" s="118">
        <v>0</v>
      </c>
      <c r="J2610" s="119"/>
      <c r="K2610" s="119"/>
      <c r="L2610" s="119"/>
      <c r="M2610" s="120"/>
    </row>
    <row r="2611" spans="1:13" x14ac:dyDescent="0.2">
      <c r="A2611" t="s">
        <v>66</v>
      </c>
      <c r="B2611" t="s">
        <v>105</v>
      </c>
      <c r="C2611" t="s">
        <v>222</v>
      </c>
      <c r="D2611" s="110">
        <v>71154</v>
      </c>
      <c r="E2611" s="111">
        <v>71154</v>
      </c>
      <c r="F2611" s="111">
        <v>71154</v>
      </c>
      <c r="G2611" s="111">
        <v>71154</v>
      </c>
      <c r="H2611" s="112"/>
      <c r="I2611" s="110">
        <v>23165</v>
      </c>
      <c r="J2611" s="111">
        <v>32800</v>
      </c>
      <c r="K2611" s="111">
        <v>37935</v>
      </c>
      <c r="L2611" s="111">
        <v>38949</v>
      </c>
      <c r="M2611" s="112"/>
    </row>
    <row r="2612" spans="1:13" x14ac:dyDescent="0.2">
      <c r="A2612" s="113" t="s">
        <v>66</v>
      </c>
      <c r="B2612" s="113" t="s">
        <v>105</v>
      </c>
      <c r="C2612" s="113" t="s">
        <v>223</v>
      </c>
      <c r="D2612" s="114">
        <v>84716</v>
      </c>
      <c r="E2612" s="115">
        <v>84716</v>
      </c>
      <c r="F2612" s="115">
        <v>84716</v>
      </c>
      <c r="G2612" s="115"/>
      <c r="H2612" s="116"/>
      <c r="I2612" s="114">
        <v>23658</v>
      </c>
      <c r="J2612" s="115">
        <v>42092</v>
      </c>
      <c r="K2612" s="115">
        <v>47847</v>
      </c>
      <c r="L2612" s="115"/>
      <c r="M2612" s="116"/>
    </row>
    <row r="2613" spans="1:13" x14ac:dyDescent="0.2">
      <c r="A2613" t="s">
        <v>66</v>
      </c>
      <c r="B2613" t="s">
        <v>105</v>
      </c>
      <c r="C2613" t="s">
        <v>224</v>
      </c>
      <c r="D2613" s="110">
        <v>72790</v>
      </c>
      <c r="E2613" s="111">
        <v>72790</v>
      </c>
      <c r="F2613" s="111"/>
      <c r="G2613" s="111"/>
      <c r="H2613" s="112"/>
      <c r="I2613" s="110">
        <v>38451</v>
      </c>
      <c r="J2613" s="111">
        <v>49789</v>
      </c>
      <c r="K2613" s="111"/>
      <c r="L2613" s="111"/>
      <c r="M2613" s="112"/>
    </row>
    <row r="2614" spans="1:13" x14ac:dyDescent="0.2">
      <c r="A2614" s="117" t="s">
        <v>66</v>
      </c>
      <c r="B2614" s="117" t="s">
        <v>105</v>
      </c>
      <c r="C2614" s="117" t="s">
        <v>225</v>
      </c>
      <c r="D2614" s="118">
        <v>104115</v>
      </c>
      <c r="E2614" s="119"/>
      <c r="F2614" s="119"/>
      <c r="G2614" s="119"/>
      <c r="H2614" s="120"/>
      <c r="I2614" s="118">
        <v>52646</v>
      </c>
      <c r="J2614" s="119"/>
      <c r="K2614" s="119"/>
      <c r="L2614" s="119"/>
      <c r="M2614" s="120"/>
    </row>
    <row r="2615" spans="1:13" x14ac:dyDescent="0.2">
      <c r="A2615" t="s">
        <v>66</v>
      </c>
      <c r="B2615" t="s">
        <v>111</v>
      </c>
      <c r="C2615" t="s">
        <v>222</v>
      </c>
      <c r="D2615" s="110">
        <v>485</v>
      </c>
      <c r="E2615" s="111">
        <v>485</v>
      </c>
      <c r="F2615" s="111">
        <v>485</v>
      </c>
      <c r="G2615" s="111">
        <v>485</v>
      </c>
      <c r="H2615" s="112"/>
      <c r="I2615" s="110">
        <v>485</v>
      </c>
      <c r="J2615" s="111">
        <v>485</v>
      </c>
      <c r="K2615" s="111">
        <v>485</v>
      </c>
      <c r="L2615" s="111">
        <v>485</v>
      </c>
      <c r="M2615" s="112"/>
    </row>
    <row r="2616" spans="1:13" x14ac:dyDescent="0.2">
      <c r="A2616" s="113" t="s">
        <v>66</v>
      </c>
      <c r="B2616" s="113" t="s">
        <v>111</v>
      </c>
      <c r="C2616" s="113" t="s">
        <v>223</v>
      </c>
      <c r="D2616" s="114">
        <v>1898</v>
      </c>
      <c r="E2616" s="115">
        <v>1898</v>
      </c>
      <c r="F2616" s="115">
        <v>1898</v>
      </c>
      <c r="G2616" s="115"/>
      <c r="H2616" s="116"/>
      <c r="I2616" s="114">
        <v>1148</v>
      </c>
      <c r="J2616" s="115">
        <v>1698</v>
      </c>
      <c r="K2616" s="115">
        <v>1698</v>
      </c>
      <c r="L2616" s="115"/>
      <c r="M2616" s="116"/>
    </row>
    <row r="2617" spans="1:13" x14ac:dyDescent="0.2">
      <c r="A2617" t="s">
        <v>66</v>
      </c>
      <c r="B2617" t="s">
        <v>111</v>
      </c>
      <c r="C2617" t="s">
        <v>224</v>
      </c>
      <c r="D2617" s="110">
        <v>7371</v>
      </c>
      <c r="E2617" s="111">
        <v>7371</v>
      </c>
      <c r="F2617" s="111"/>
      <c r="G2617" s="111"/>
      <c r="H2617" s="112"/>
      <c r="I2617" s="110">
        <v>6871</v>
      </c>
      <c r="J2617" s="111">
        <v>7121</v>
      </c>
      <c r="K2617" s="111"/>
      <c r="L2617" s="111"/>
      <c r="M2617" s="112"/>
    </row>
    <row r="2618" spans="1:13" x14ac:dyDescent="0.2">
      <c r="A2618" s="117" t="s">
        <v>66</v>
      </c>
      <c r="B2618" s="117" t="s">
        <v>111</v>
      </c>
      <c r="C2618" s="117" t="s">
        <v>225</v>
      </c>
      <c r="D2618" s="118">
        <v>5296</v>
      </c>
      <c r="E2618" s="119"/>
      <c r="F2618" s="119"/>
      <c r="G2618" s="119"/>
      <c r="H2618" s="120"/>
      <c r="I2618" s="118">
        <v>5296</v>
      </c>
      <c r="J2618" s="119"/>
      <c r="K2618" s="119"/>
      <c r="L2618" s="119"/>
      <c r="M2618" s="120"/>
    </row>
    <row r="2619" spans="1:13" x14ac:dyDescent="0.2">
      <c r="A2619" s="124" t="s">
        <v>66</v>
      </c>
      <c r="B2619" s="124" t="s">
        <v>109</v>
      </c>
      <c r="C2619" s="124" t="s">
        <v>222</v>
      </c>
      <c r="D2619" s="125">
        <v>104046</v>
      </c>
      <c r="E2619" s="126">
        <v>104046</v>
      </c>
      <c r="F2619" s="126">
        <v>104046</v>
      </c>
      <c r="G2619" s="126">
        <v>104046</v>
      </c>
      <c r="H2619" s="127"/>
      <c r="I2619" s="125">
        <v>54370</v>
      </c>
      <c r="J2619" s="126">
        <v>66042</v>
      </c>
      <c r="K2619" s="126">
        <v>70842</v>
      </c>
      <c r="L2619" s="126">
        <v>73825</v>
      </c>
      <c r="M2619" s="127"/>
    </row>
    <row r="2620" spans="1:13" x14ac:dyDescent="0.2">
      <c r="A2620" s="113" t="s">
        <v>66</v>
      </c>
      <c r="B2620" s="113" t="s">
        <v>109</v>
      </c>
      <c r="C2620" s="113" t="s">
        <v>223</v>
      </c>
      <c r="D2620" s="114">
        <v>128835</v>
      </c>
      <c r="E2620" s="115">
        <v>128835</v>
      </c>
      <c r="F2620" s="115">
        <v>128835</v>
      </c>
      <c r="G2620" s="115"/>
      <c r="H2620" s="116"/>
      <c r="I2620" s="114">
        <v>61119</v>
      </c>
      <c r="J2620" s="115">
        <v>74223</v>
      </c>
      <c r="K2620" s="115">
        <v>84193</v>
      </c>
      <c r="L2620" s="115"/>
      <c r="M2620" s="116"/>
    </row>
    <row r="2621" spans="1:13" x14ac:dyDescent="0.2">
      <c r="A2621" t="s">
        <v>66</v>
      </c>
      <c r="B2621" t="s">
        <v>109</v>
      </c>
      <c r="C2621" t="s">
        <v>224</v>
      </c>
      <c r="D2621" s="110">
        <v>65945</v>
      </c>
      <c r="E2621" s="111">
        <v>65945</v>
      </c>
      <c r="F2621" s="111"/>
      <c r="G2621" s="111"/>
      <c r="H2621" s="112"/>
      <c r="I2621" s="110">
        <v>34017</v>
      </c>
      <c r="J2621" s="111">
        <v>45103</v>
      </c>
      <c r="K2621" s="111"/>
      <c r="L2621" s="111"/>
      <c r="M2621" s="112"/>
    </row>
    <row r="2622" spans="1:13" x14ac:dyDescent="0.2">
      <c r="A2622" s="117" t="s">
        <v>66</v>
      </c>
      <c r="B2622" s="117" t="s">
        <v>109</v>
      </c>
      <c r="C2622" s="117" t="s">
        <v>225</v>
      </c>
      <c r="D2622" s="118">
        <v>126350</v>
      </c>
      <c r="E2622" s="119"/>
      <c r="F2622" s="119"/>
      <c r="G2622" s="119"/>
      <c r="H2622" s="120"/>
      <c r="I2622" s="118">
        <v>66618</v>
      </c>
      <c r="J2622" s="119"/>
      <c r="K2622" s="119"/>
      <c r="L2622" s="119"/>
      <c r="M2622" s="120"/>
    </row>
    <row r="2623" spans="1:13" x14ac:dyDescent="0.2">
      <c r="A2623" t="s">
        <v>66</v>
      </c>
      <c r="B2623" t="s">
        <v>106</v>
      </c>
      <c r="C2623" t="s">
        <v>222</v>
      </c>
      <c r="D2623" s="110">
        <v>114836</v>
      </c>
      <c r="E2623" s="111">
        <v>114836</v>
      </c>
      <c r="F2623" s="111">
        <v>114836</v>
      </c>
      <c r="G2623" s="111">
        <v>114836</v>
      </c>
      <c r="H2623" s="112"/>
      <c r="I2623" s="110">
        <v>112599</v>
      </c>
      <c r="J2623" s="111">
        <v>114406</v>
      </c>
      <c r="K2623" s="111">
        <v>114406</v>
      </c>
      <c r="L2623" s="111">
        <v>114406</v>
      </c>
      <c r="M2623" s="112"/>
    </row>
    <row r="2624" spans="1:13" x14ac:dyDescent="0.2">
      <c r="A2624" s="113" t="s">
        <v>66</v>
      </c>
      <c r="B2624" s="113" t="s">
        <v>106</v>
      </c>
      <c r="C2624" s="113" t="s">
        <v>223</v>
      </c>
      <c r="D2624" s="114">
        <v>98515</v>
      </c>
      <c r="E2624" s="115">
        <v>98515</v>
      </c>
      <c r="F2624" s="115">
        <v>98515</v>
      </c>
      <c r="G2624" s="115"/>
      <c r="H2624" s="116"/>
      <c r="I2624" s="114">
        <v>98115</v>
      </c>
      <c r="J2624" s="115">
        <v>98115</v>
      </c>
      <c r="K2624" s="115">
        <v>98115</v>
      </c>
      <c r="L2624" s="115"/>
      <c r="M2624" s="116"/>
    </row>
    <row r="2625" spans="1:13" x14ac:dyDescent="0.2">
      <c r="A2625" t="s">
        <v>66</v>
      </c>
      <c r="B2625" t="s">
        <v>106</v>
      </c>
      <c r="C2625" t="s">
        <v>224</v>
      </c>
      <c r="D2625" s="110">
        <v>55662</v>
      </c>
      <c r="E2625" s="111">
        <v>55662</v>
      </c>
      <c r="F2625" s="111"/>
      <c r="G2625" s="111"/>
      <c r="H2625" s="112"/>
      <c r="I2625" s="110">
        <v>55162</v>
      </c>
      <c r="J2625" s="111">
        <v>55285</v>
      </c>
      <c r="K2625" s="111"/>
      <c r="L2625" s="111"/>
      <c r="M2625" s="112"/>
    </row>
    <row r="2626" spans="1:13" x14ac:dyDescent="0.2">
      <c r="A2626" s="117" t="s">
        <v>66</v>
      </c>
      <c r="B2626" s="117" t="s">
        <v>106</v>
      </c>
      <c r="C2626" s="117" t="s">
        <v>225</v>
      </c>
      <c r="D2626" s="118">
        <v>65016</v>
      </c>
      <c r="E2626" s="119"/>
      <c r="F2626" s="119"/>
      <c r="G2626" s="119"/>
      <c r="H2626" s="120"/>
      <c r="I2626" s="118">
        <v>62804</v>
      </c>
      <c r="J2626" s="119"/>
      <c r="K2626" s="119"/>
      <c r="L2626" s="119"/>
      <c r="M2626" s="120"/>
    </row>
    <row r="2627" spans="1:13" x14ac:dyDescent="0.2">
      <c r="A2627" t="s">
        <v>66</v>
      </c>
      <c r="B2627" t="s">
        <v>107</v>
      </c>
      <c r="C2627" t="s">
        <v>222</v>
      </c>
      <c r="D2627" s="110">
        <v>83842</v>
      </c>
      <c r="E2627" s="111">
        <v>83842</v>
      </c>
      <c r="F2627" s="111">
        <v>83842</v>
      </c>
      <c r="G2627" s="111">
        <v>83842</v>
      </c>
      <c r="H2627" s="112"/>
      <c r="I2627" s="110">
        <v>83067</v>
      </c>
      <c r="J2627" s="111">
        <v>83377</v>
      </c>
      <c r="K2627" s="111">
        <v>83377</v>
      </c>
      <c r="L2627" s="111">
        <v>83398</v>
      </c>
      <c r="M2627" s="112"/>
    </row>
    <row r="2628" spans="1:13" x14ac:dyDescent="0.2">
      <c r="A2628" s="113" t="s">
        <v>66</v>
      </c>
      <c r="B2628" s="113" t="s">
        <v>107</v>
      </c>
      <c r="C2628" s="113" t="s">
        <v>223</v>
      </c>
      <c r="D2628" s="114">
        <v>100298</v>
      </c>
      <c r="E2628" s="115">
        <v>100298</v>
      </c>
      <c r="F2628" s="115">
        <v>100298</v>
      </c>
      <c r="G2628" s="115"/>
      <c r="H2628" s="116"/>
      <c r="I2628" s="114">
        <v>100298</v>
      </c>
      <c r="J2628" s="115">
        <v>100298</v>
      </c>
      <c r="K2628" s="115">
        <v>100298</v>
      </c>
      <c r="L2628" s="115"/>
      <c r="M2628" s="116"/>
    </row>
    <row r="2629" spans="1:13" x14ac:dyDescent="0.2">
      <c r="A2629" t="s">
        <v>66</v>
      </c>
      <c r="B2629" t="s">
        <v>107</v>
      </c>
      <c r="C2629" t="s">
        <v>224</v>
      </c>
      <c r="D2629" s="110">
        <v>45820</v>
      </c>
      <c r="E2629" s="111">
        <v>45820</v>
      </c>
      <c r="F2629" s="111"/>
      <c r="G2629" s="111"/>
      <c r="H2629" s="112"/>
      <c r="I2629" s="110">
        <v>45110</v>
      </c>
      <c r="J2629" s="111">
        <v>45520</v>
      </c>
      <c r="K2629" s="111"/>
      <c r="L2629" s="111"/>
      <c r="M2629" s="112"/>
    </row>
    <row r="2630" spans="1:13" x14ac:dyDescent="0.2">
      <c r="A2630" s="117" t="s">
        <v>66</v>
      </c>
      <c r="B2630" s="117" t="s">
        <v>107</v>
      </c>
      <c r="C2630" s="117" t="s">
        <v>225</v>
      </c>
      <c r="D2630" s="118">
        <v>64235</v>
      </c>
      <c r="E2630" s="119"/>
      <c r="F2630" s="119"/>
      <c r="G2630" s="119"/>
      <c r="H2630" s="120"/>
      <c r="I2630" s="118">
        <v>63530</v>
      </c>
      <c r="J2630" s="119"/>
      <c r="K2630" s="119"/>
      <c r="L2630" s="119"/>
      <c r="M2630" s="120"/>
    </row>
    <row r="2631" spans="1:13" x14ac:dyDescent="0.2">
      <c r="A2631" t="s">
        <v>66</v>
      </c>
      <c r="B2631" t="s">
        <v>108</v>
      </c>
      <c r="C2631" t="s">
        <v>222</v>
      </c>
      <c r="D2631" s="110">
        <v>24881</v>
      </c>
      <c r="E2631" s="111">
        <v>24881</v>
      </c>
      <c r="F2631" s="111">
        <v>24881</v>
      </c>
      <c r="G2631" s="111">
        <v>24881</v>
      </c>
      <c r="H2631" s="112"/>
      <c r="I2631" s="110">
        <v>24881</v>
      </c>
      <c r="J2631" s="111">
        <v>24881</v>
      </c>
      <c r="K2631" s="111">
        <v>24881</v>
      </c>
      <c r="L2631" s="111">
        <v>24881</v>
      </c>
      <c r="M2631" s="112"/>
    </row>
    <row r="2632" spans="1:13" x14ac:dyDescent="0.2">
      <c r="A2632" s="113" t="s">
        <v>66</v>
      </c>
      <c r="B2632" s="113" t="s">
        <v>108</v>
      </c>
      <c r="C2632" s="113" t="s">
        <v>223</v>
      </c>
      <c r="D2632" s="114">
        <v>44159</v>
      </c>
      <c r="E2632" s="115">
        <v>44159</v>
      </c>
      <c r="F2632" s="115">
        <v>44159</v>
      </c>
      <c r="G2632" s="115"/>
      <c r="H2632" s="116"/>
      <c r="I2632" s="114">
        <v>44159</v>
      </c>
      <c r="J2632" s="115">
        <v>44159</v>
      </c>
      <c r="K2632" s="115">
        <v>44159</v>
      </c>
      <c r="L2632" s="115"/>
      <c r="M2632" s="116"/>
    </row>
    <row r="2633" spans="1:13" x14ac:dyDescent="0.2">
      <c r="A2633" t="s">
        <v>66</v>
      </c>
      <c r="B2633" t="s">
        <v>108</v>
      </c>
      <c r="C2633" t="s">
        <v>224</v>
      </c>
      <c r="D2633" s="110">
        <v>31610</v>
      </c>
      <c r="E2633" s="111">
        <v>31610</v>
      </c>
      <c r="F2633" s="111"/>
      <c r="G2633" s="111"/>
      <c r="H2633" s="112"/>
      <c r="I2633" s="110">
        <v>31610</v>
      </c>
      <c r="J2633" s="111">
        <v>31610</v>
      </c>
      <c r="K2633" s="111"/>
      <c r="L2633" s="111"/>
      <c r="M2633" s="112"/>
    </row>
    <row r="2634" spans="1:13" x14ac:dyDescent="0.2">
      <c r="A2634" s="117" t="s">
        <v>66</v>
      </c>
      <c r="B2634" s="117" t="s">
        <v>108</v>
      </c>
      <c r="C2634" s="117" t="s">
        <v>225</v>
      </c>
      <c r="D2634" s="118">
        <v>33891</v>
      </c>
      <c r="E2634" s="119"/>
      <c r="F2634" s="119"/>
      <c r="G2634" s="119"/>
      <c r="H2634" s="120"/>
      <c r="I2634" s="118">
        <v>33505</v>
      </c>
      <c r="J2634" s="119"/>
      <c r="K2634" s="119"/>
      <c r="L2634" s="119"/>
      <c r="M2634" s="120"/>
    </row>
    <row r="2635" spans="1:13" x14ac:dyDescent="0.2">
      <c r="A2635" t="s">
        <v>66</v>
      </c>
      <c r="B2635" t="s">
        <v>70</v>
      </c>
      <c r="C2635" t="s">
        <v>222</v>
      </c>
      <c r="D2635" s="110">
        <v>39306</v>
      </c>
      <c r="E2635" s="111">
        <v>39306</v>
      </c>
      <c r="F2635" s="111">
        <v>39306</v>
      </c>
      <c r="G2635" s="111">
        <v>39306</v>
      </c>
      <c r="H2635" s="112"/>
      <c r="I2635" s="110">
        <v>39265</v>
      </c>
      <c r="J2635" s="111">
        <v>39306</v>
      </c>
      <c r="K2635" s="111">
        <v>39306</v>
      </c>
      <c r="L2635" s="111">
        <v>39306</v>
      </c>
      <c r="M2635" s="112"/>
    </row>
    <row r="2636" spans="1:13" x14ac:dyDescent="0.2">
      <c r="A2636" s="113" t="s">
        <v>66</v>
      </c>
      <c r="B2636" s="113" t="s">
        <v>70</v>
      </c>
      <c r="C2636" s="113" t="s">
        <v>223</v>
      </c>
      <c r="D2636" s="114">
        <v>43407</v>
      </c>
      <c r="E2636" s="115">
        <v>43407</v>
      </c>
      <c r="F2636" s="115">
        <v>43407</v>
      </c>
      <c r="G2636" s="115"/>
      <c r="H2636" s="116"/>
      <c r="I2636" s="114">
        <v>43407</v>
      </c>
      <c r="J2636" s="115">
        <v>43407</v>
      </c>
      <c r="K2636" s="115">
        <v>43407</v>
      </c>
      <c r="L2636" s="115"/>
      <c r="M2636" s="116"/>
    </row>
    <row r="2637" spans="1:13" x14ac:dyDescent="0.2">
      <c r="A2637" t="s">
        <v>66</v>
      </c>
      <c r="B2637" t="s">
        <v>70</v>
      </c>
      <c r="C2637" t="s">
        <v>224</v>
      </c>
      <c r="D2637" s="110">
        <v>40087</v>
      </c>
      <c r="E2637" s="111">
        <v>40087</v>
      </c>
      <c r="F2637" s="111"/>
      <c r="G2637" s="111"/>
      <c r="H2637" s="112"/>
      <c r="I2637" s="110">
        <v>40087</v>
      </c>
      <c r="J2637" s="111">
        <v>40087</v>
      </c>
      <c r="K2637" s="111"/>
      <c r="L2637" s="111"/>
      <c r="M2637" s="112"/>
    </row>
    <row r="2638" spans="1:13" x14ac:dyDescent="0.2">
      <c r="A2638" s="117" t="s">
        <v>66</v>
      </c>
      <c r="B2638" s="117" t="s">
        <v>70</v>
      </c>
      <c r="C2638" s="117" t="s">
        <v>225</v>
      </c>
      <c r="D2638" s="118">
        <v>41734</v>
      </c>
      <c r="E2638" s="119"/>
      <c r="F2638" s="119"/>
      <c r="G2638" s="119"/>
      <c r="H2638" s="120"/>
      <c r="I2638" s="118">
        <v>40526</v>
      </c>
      <c r="J2638" s="119"/>
      <c r="K2638" s="119"/>
      <c r="L2638" s="119"/>
      <c r="M2638" s="120"/>
    </row>
    <row r="2639" spans="1:13" x14ac:dyDescent="0.2">
      <c r="A2639" t="s">
        <v>66</v>
      </c>
      <c r="B2639" t="s">
        <v>110</v>
      </c>
      <c r="C2639" t="s">
        <v>222</v>
      </c>
      <c r="D2639" s="110">
        <v>161768</v>
      </c>
      <c r="E2639" s="111">
        <v>161768</v>
      </c>
      <c r="F2639" s="111">
        <v>161768</v>
      </c>
      <c r="G2639" s="111">
        <v>161768</v>
      </c>
      <c r="H2639" s="112"/>
      <c r="I2639" s="110">
        <v>90861</v>
      </c>
      <c r="J2639" s="111">
        <v>141118</v>
      </c>
      <c r="K2639" s="111">
        <v>145190</v>
      </c>
      <c r="L2639" s="111">
        <v>147687</v>
      </c>
      <c r="M2639" s="112"/>
    </row>
    <row r="2640" spans="1:13" x14ac:dyDescent="0.2">
      <c r="A2640" s="113" t="s">
        <v>66</v>
      </c>
      <c r="B2640" s="113" t="s">
        <v>110</v>
      </c>
      <c r="C2640" s="113" t="s">
        <v>223</v>
      </c>
      <c r="D2640" s="114">
        <v>140309</v>
      </c>
      <c r="E2640" s="115">
        <v>140309</v>
      </c>
      <c r="F2640" s="115">
        <v>140309</v>
      </c>
      <c r="G2640" s="115"/>
      <c r="H2640" s="116"/>
      <c r="I2640" s="114">
        <v>79498</v>
      </c>
      <c r="J2640" s="115">
        <v>113682</v>
      </c>
      <c r="K2640" s="115">
        <v>126042</v>
      </c>
      <c r="L2640" s="115"/>
      <c r="M2640" s="116"/>
    </row>
    <row r="2641" spans="1:13" x14ac:dyDescent="0.2">
      <c r="A2641" t="s">
        <v>66</v>
      </c>
      <c r="B2641" t="s">
        <v>110</v>
      </c>
      <c r="C2641" t="s">
        <v>224</v>
      </c>
      <c r="D2641" s="110">
        <v>132433</v>
      </c>
      <c r="E2641" s="111">
        <v>132433</v>
      </c>
      <c r="F2641" s="111"/>
      <c r="G2641" s="111"/>
      <c r="H2641" s="112"/>
      <c r="I2641" s="110">
        <v>55028</v>
      </c>
      <c r="J2641" s="111">
        <v>111043</v>
      </c>
      <c r="K2641" s="111"/>
      <c r="L2641" s="111"/>
      <c r="M2641" s="112"/>
    </row>
    <row r="2642" spans="1:13" ht="13.5" thickBot="1" x14ac:dyDescent="0.25">
      <c r="A2642" s="128" t="s">
        <v>66</v>
      </c>
      <c r="B2642" s="128" t="s">
        <v>110</v>
      </c>
      <c r="C2642" s="128" t="s">
        <v>225</v>
      </c>
      <c r="D2642" s="129">
        <v>162172</v>
      </c>
      <c r="E2642" s="130"/>
      <c r="F2642" s="130"/>
      <c r="G2642" s="130"/>
      <c r="H2642" s="131"/>
      <c r="I2642" s="129">
        <v>92686</v>
      </c>
      <c r="J2642" s="130"/>
      <c r="K2642" s="130"/>
      <c r="L2642" s="130"/>
      <c r="M2642" s="131"/>
    </row>
    <row r="2643" spans="1:13" x14ac:dyDescent="0.2">
      <c r="A2643" s="132" t="s">
        <v>67</v>
      </c>
      <c r="B2643" s="132" t="s">
        <v>104</v>
      </c>
      <c r="C2643" s="132" t="s">
        <v>222</v>
      </c>
      <c r="D2643" s="133">
        <v>387752.3</v>
      </c>
      <c r="E2643" s="134">
        <v>388262.5</v>
      </c>
      <c r="F2643" s="134">
        <v>388262.5</v>
      </c>
      <c r="G2643" s="134">
        <v>388062.5</v>
      </c>
      <c r="H2643" s="135"/>
      <c r="I2643" s="133">
        <v>8059.1</v>
      </c>
      <c r="J2643" s="134">
        <v>16808.689999999999</v>
      </c>
      <c r="K2643" s="134">
        <v>22359.79</v>
      </c>
      <c r="L2643" s="134">
        <v>28576.54</v>
      </c>
      <c r="M2643" s="135"/>
    </row>
    <row r="2644" spans="1:13" x14ac:dyDescent="0.2">
      <c r="A2644" s="113" t="s">
        <v>67</v>
      </c>
      <c r="B2644" s="113" t="s">
        <v>104</v>
      </c>
      <c r="C2644" s="113" t="s">
        <v>223</v>
      </c>
      <c r="D2644" s="114">
        <v>227074</v>
      </c>
      <c r="E2644" s="115">
        <v>226374</v>
      </c>
      <c r="F2644" s="115">
        <v>226374</v>
      </c>
      <c r="G2644" s="115"/>
      <c r="H2644" s="116"/>
      <c r="I2644" s="114">
        <v>9360.0300000000007</v>
      </c>
      <c r="J2644" s="115">
        <v>18385.59</v>
      </c>
      <c r="K2644" s="115">
        <v>21442.42</v>
      </c>
      <c r="L2644" s="115"/>
      <c r="M2644" s="116"/>
    </row>
    <row r="2645" spans="1:13" x14ac:dyDescent="0.2">
      <c r="A2645" t="s">
        <v>67</v>
      </c>
      <c r="B2645" t="s">
        <v>104</v>
      </c>
      <c r="C2645" t="s">
        <v>224</v>
      </c>
      <c r="D2645" s="110">
        <v>114257.5</v>
      </c>
      <c r="E2645" s="111">
        <v>114057.5</v>
      </c>
      <c r="F2645" s="111"/>
      <c r="G2645" s="111"/>
      <c r="H2645" s="112"/>
      <c r="I2645" s="110">
        <v>1594.37</v>
      </c>
      <c r="J2645" s="111">
        <v>3428.55</v>
      </c>
      <c r="K2645" s="111"/>
      <c r="L2645" s="111"/>
      <c r="M2645" s="112"/>
    </row>
    <row r="2646" spans="1:13" x14ac:dyDescent="0.2">
      <c r="A2646" s="117" t="s">
        <v>67</v>
      </c>
      <c r="B2646" s="117" t="s">
        <v>104</v>
      </c>
      <c r="C2646" s="117" t="s">
        <v>225</v>
      </c>
      <c r="D2646" s="118">
        <v>144915.01</v>
      </c>
      <c r="E2646" s="119"/>
      <c r="F2646" s="119"/>
      <c r="G2646" s="119"/>
      <c r="H2646" s="120"/>
      <c r="I2646" s="118">
        <v>4325.5600000000004</v>
      </c>
      <c r="J2646" s="119"/>
      <c r="K2646" s="119"/>
      <c r="L2646" s="119"/>
      <c r="M2646" s="120"/>
    </row>
    <row r="2647" spans="1:13" x14ac:dyDescent="0.2">
      <c r="A2647" t="s">
        <v>67</v>
      </c>
      <c r="B2647" t="s">
        <v>140</v>
      </c>
      <c r="C2647" t="s">
        <v>222</v>
      </c>
      <c r="D2647" s="110">
        <v>107000</v>
      </c>
      <c r="E2647" s="111">
        <v>107000</v>
      </c>
      <c r="F2647" s="111">
        <v>107000</v>
      </c>
      <c r="G2647" s="111">
        <v>107000</v>
      </c>
      <c r="H2647" s="112"/>
      <c r="I2647" s="110">
        <v>0</v>
      </c>
      <c r="J2647" s="111"/>
      <c r="K2647" s="111">
        <v>0</v>
      </c>
      <c r="L2647" s="111">
        <v>0</v>
      </c>
      <c r="M2647" s="112"/>
    </row>
    <row r="2648" spans="1:13" x14ac:dyDescent="0.2">
      <c r="A2648" s="113" t="s">
        <v>67</v>
      </c>
      <c r="B2648" s="113" t="s">
        <v>140</v>
      </c>
      <c r="C2648" s="113" t="s">
        <v>223</v>
      </c>
      <c r="D2648" s="114">
        <v>0</v>
      </c>
      <c r="E2648" s="115">
        <v>0</v>
      </c>
      <c r="F2648" s="115">
        <v>0</v>
      </c>
      <c r="G2648" s="115"/>
      <c r="H2648" s="116"/>
      <c r="I2648" s="114">
        <v>0</v>
      </c>
      <c r="J2648" s="115">
        <v>0</v>
      </c>
      <c r="K2648" s="115">
        <v>0</v>
      </c>
      <c r="L2648" s="115"/>
      <c r="M2648" s="116"/>
    </row>
    <row r="2649" spans="1:13" x14ac:dyDescent="0.2">
      <c r="A2649" t="s">
        <v>67</v>
      </c>
      <c r="B2649" t="s">
        <v>140</v>
      </c>
      <c r="C2649" t="s">
        <v>224</v>
      </c>
      <c r="D2649" s="110">
        <v>0</v>
      </c>
      <c r="E2649" s="111">
        <v>0</v>
      </c>
      <c r="F2649" s="111"/>
      <c r="G2649" s="111"/>
      <c r="H2649" s="112"/>
      <c r="I2649" s="110">
        <v>0</v>
      </c>
      <c r="J2649" s="111">
        <v>0</v>
      </c>
      <c r="K2649" s="111"/>
      <c r="L2649" s="111"/>
      <c r="M2649" s="112"/>
    </row>
    <row r="2650" spans="1:13" x14ac:dyDescent="0.2">
      <c r="A2650" s="117" t="s">
        <v>67</v>
      </c>
      <c r="B2650" s="117" t="s">
        <v>140</v>
      </c>
      <c r="C2650" s="117" t="s">
        <v>225</v>
      </c>
      <c r="D2650" s="118">
        <v>0</v>
      </c>
      <c r="E2650" s="119"/>
      <c r="F2650" s="119"/>
      <c r="G2650" s="119"/>
      <c r="H2650" s="120"/>
      <c r="I2650" s="118">
        <v>0</v>
      </c>
      <c r="J2650" s="119"/>
      <c r="K2650" s="119"/>
      <c r="L2650" s="119"/>
      <c r="M2650" s="120"/>
    </row>
    <row r="2651" spans="1:13" x14ac:dyDescent="0.2">
      <c r="A2651" t="s">
        <v>67</v>
      </c>
      <c r="B2651" t="s">
        <v>105</v>
      </c>
      <c r="C2651" t="s">
        <v>222</v>
      </c>
      <c r="D2651" s="110">
        <v>21415.47</v>
      </c>
      <c r="E2651" s="111">
        <v>25915</v>
      </c>
      <c r="F2651" s="111">
        <v>25915</v>
      </c>
      <c r="G2651" s="111">
        <v>25905</v>
      </c>
      <c r="H2651" s="112"/>
      <c r="I2651" s="110">
        <v>5230.08</v>
      </c>
      <c r="J2651" s="111">
        <v>9909.5499999999993</v>
      </c>
      <c r="K2651" s="111">
        <v>12038.8</v>
      </c>
      <c r="L2651" s="111">
        <v>12741</v>
      </c>
      <c r="M2651" s="112"/>
    </row>
    <row r="2652" spans="1:13" x14ac:dyDescent="0.2">
      <c r="A2652" s="113" t="s">
        <v>67</v>
      </c>
      <c r="B2652" s="113" t="s">
        <v>105</v>
      </c>
      <c r="C2652" s="113" t="s">
        <v>223</v>
      </c>
      <c r="D2652" s="114">
        <v>30604</v>
      </c>
      <c r="E2652" s="115">
        <v>30340.959999999999</v>
      </c>
      <c r="F2652" s="115">
        <v>30330.959999999999</v>
      </c>
      <c r="G2652" s="115"/>
      <c r="H2652" s="116"/>
      <c r="I2652" s="114">
        <v>6742.24</v>
      </c>
      <c r="J2652" s="115">
        <v>11018.85</v>
      </c>
      <c r="K2652" s="115">
        <v>12169.5</v>
      </c>
      <c r="L2652" s="115"/>
      <c r="M2652" s="116"/>
    </row>
    <row r="2653" spans="1:13" x14ac:dyDescent="0.2">
      <c r="A2653" t="s">
        <v>67</v>
      </c>
      <c r="B2653" t="s">
        <v>105</v>
      </c>
      <c r="C2653" t="s">
        <v>224</v>
      </c>
      <c r="D2653" s="110">
        <v>12234</v>
      </c>
      <c r="E2653" s="111">
        <v>11734</v>
      </c>
      <c r="F2653" s="111"/>
      <c r="G2653" s="111"/>
      <c r="H2653" s="112"/>
      <c r="I2653" s="110">
        <v>2705</v>
      </c>
      <c r="J2653" s="111">
        <v>4087</v>
      </c>
      <c r="K2653" s="111"/>
      <c r="L2653" s="111"/>
      <c r="M2653" s="112"/>
    </row>
    <row r="2654" spans="1:13" x14ac:dyDescent="0.2">
      <c r="A2654" s="117" t="s">
        <v>67</v>
      </c>
      <c r="B2654" s="117" t="s">
        <v>105</v>
      </c>
      <c r="C2654" s="117" t="s">
        <v>225</v>
      </c>
      <c r="D2654" s="118">
        <v>32486</v>
      </c>
      <c r="E2654" s="119"/>
      <c r="F2654" s="119"/>
      <c r="G2654" s="119"/>
      <c r="H2654" s="120"/>
      <c r="I2654" s="118">
        <v>7111.14</v>
      </c>
      <c r="J2654" s="119"/>
      <c r="K2654" s="119"/>
      <c r="L2654" s="119"/>
      <c r="M2654" s="120"/>
    </row>
    <row r="2655" spans="1:13" x14ac:dyDescent="0.2">
      <c r="A2655" t="s">
        <v>67</v>
      </c>
      <c r="B2655" t="s">
        <v>111</v>
      </c>
      <c r="C2655" t="s">
        <v>222</v>
      </c>
      <c r="D2655" s="110">
        <v>473.5</v>
      </c>
      <c r="E2655" s="111">
        <v>473.5</v>
      </c>
      <c r="F2655" s="111">
        <v>473.5</v>
      </c>
      <c r="G2655" s="111">
        <v>473.5</v>
      </c>
      <c r="H2655" s="112"/>
      <c r="I2655" s="110">
        <v>420</v>
      </c>
      <c r="J2655" s="111">
        <v>423.5</v>
      </c>
      <c r="K2655" s="111">
        <v>423.5</v>
      </c>
      <c r="L2655" s="111">
        <v>423.5</v>
      </c>
      <c r="M2655" s="112"/>
    </row>
    <row r="2656" spans="1:13" x14ac:dyDescent="0.2">
      <c r="A2656" s="113" t="s">
        <v>67</v>
      </c>
      <c r="B2656" s="113" t="s">
        <v>111</v>
      </c>
      <c r="C2656" s="113" t="s">
        <v>223</v>
      </c>
      <c r="D2656" s="114">
        <v>64</v>
      </c>
      <c r="E2656" s="115">
        <v>64</v>
      </c>
      <c r="F2656" s="115">
        <v>64</v>
      </c>
      <c r="G2656" s="115"/>
      <c r="H2656" s="116"/>
      <c r="I2656" s="114">
        <v>14</v>
      </c>
      <c r="J2656" s="115">
        <v>14</v>
      </c>
      <c r="K2656" s="115">
        <v>14</v>
      </c>
      <c r="L2656" s="115"/>
      <c r="M2656" s="116"/>
    </row>
    <row r="2657" spans="1:13" x14ac:dyDescent="0.2">
      <c r="A2657" t="s">
        <v>67</v>
      </c>
      <c r="B2657" t="s">
        <v>111</v>
      </c>
      <c r="C2657" t="s">
        <v>224</v>
      </c>
      <c r="D2657" s="110">
        <v>393</v>
      </c>
      <c r="E2657" s="111">
        <v>393</v>
      </c>
      <c r="F2657" s="111"/>
      <c r="G2657" s="111"/>
      <c r="H2657" s="112"/>
      <c r="I2657" s="110">
        <v>368</v>
      </c>
      <c r="J2657" s="111">
        <v>368</v>
      </c>
      <c r="K2657" s="111"/>
      <c r="L2657" s="111"/>
      <c r="M2657" s="112"/>
    </row>
    <row r="2658" spans="1:13" x14ac:dyDescent="0.2">
      <c r="A2658" s="117" t="s">
        <v>67</v>
      </c>
      <c r="B2658" s="117" t="s">
        <v>111</v>
      </c>
      <c r="C2658" s="117" t="s">
        <v>225</v>
      </c>
      <c r="D2658" s="118">
        <v>675.5</v>
      </c>
      <c r="E2658" s="119"/>
      <c r="F2658" s="119"/>
      <c r="G2658" s="119"/>
      <c r="H2658" s="120"/>
      <c r="I2658" s="118">
        <v>3.5</v>
      </c>
      <c r="J2658" s="119"/>
      <c r="K2658" s="119"/>
      <c r="L2658" s="119"/>
      <c r="M2658" s="120"/>
    </row>
    <row r="2659" spans="1:13" x14ac:dyDescent="0.2">
      <c r="A2659" s="124" t="s">
        <v>67</v>
      </c>
      <c r="B2659" s="124" t="s">
        <v>109</v>
      </c>
      <c r="C2659" s="124" t="s">
        <v>222</v>
      </c>
      <c r="D2659" s="125">
        <v>11849.02</v>
      </c>
      <c r="E2659" s="126">
        <v>11959</v>
      </c>
      <c r="F2659" s="126">
        <v>11959</v>
      </c>
      <c r="G2659" s="126">
        <v>11959</v>
      </c>
      <c r="H2659" s="127"/>
      <c r="I2659" s="125">
        <v>2613.89</v>
      </c>
      <c r="J2659" s="126">
        <v>5263.11</v>
      </c>
      <c r="K2659" s="126">
        <v>6090</v>
      </c>
      <c r="L2659" s="126">
        <v>6790</v>
      </c>
      <c r="M2659" s="127"/>
    </row>
    <row r="2660" spans="1:13" x14ac:dyDescent="0.2">
      <c r="A2660" s="113" t="s">
        <v>67</v>
      </c>
      <c r="B2660" s="113" t="s">
        <v>109</v>
      </c>
      <c r="C2660" s="113" t="s">
        <v>223</v>
      </c>
      <c r="D2660" s="114">
        <v>14234.5</v>
      </c>
      <c r="E2660" s="115">
        <v>14234.5</v>
      </c>
      <c r="F2660" s="115">
        <v>14234.5</v>
      </c>
      <c r="G2660" s="115"/>
      <c r="H2660" s="116"/>
      <c r="I2660" s="114">
        <v>3901.12</v>
      </c>
      <c r="J2660" s="115">
        <v>6826.25</v>
      </c>
      <c r="K2660" s="115">
        <v>9343.9</v>
      </c>
      <c r="L2660" s="115"/>
      <c r="M2660" s="116"/>
    </row>
    <row r="2661" spans="1:13" x14ac:dyDescent="0.2">
      <c r="A2661" t="s">
        <v>67</v>
      </c>
      <c r="B2661" t="s">
        <v>109</v>
      </c>
      <c r="C2661" t="s">
        <v>224</v>
      </c>
      <c r="D2661" s="110">
        <v>5302</v>
      </c>
      <c r="E2661" s="111">
        <v>5302</v>
      </c>
      <c r="F2661" s="111"/>
      <c r="G2661" s="111"/>
      <c r="H2661" s="112"/>
      <c r="I2661" s="110">
        <v>357</v>
      </c>
      <c r="J2661" s="111">
        <v>2267</v>
      </c>
      <c r="K2661" s="111"/>
      <c r="L2661" s="111"/>
      <c r="M2661" s="112"/>
    </row>
    <row r="2662" spans="1:13" x14ac:dyDescent="0.2">
      <c r="A2662" s="117" t="s">
        <v>67</v>
      </c>
      <c r="B2662" s="117" t="s">
        <v>109</v>
      </c>
      <c r="C2662" s="117" t="s">
        <v>225</v>
      </c>
      <c r="D2662" s="118">
        <v>17942</v>
      </c>
      <c r="E2662" s="119"/>
      <c r="F2662" s="119"/>
      <c r="G2662" s="119"/>
      <c r="H2662" s="120"/>
      <c r="I2662" s="118">
        <v>6895.61</v>
      </c>
      <c r="J2662" s="119"/>
      <c r="K2662" s="119"/>
      <c r="L2662" s="119"/>
      <c r="M2662" s="120"/>
    </row>
    <row r="2663" spans="1:13" x14ac:dyDescent="0.2">
      <c r="A2663" t="s">
        <v>67</v>
      </c>
      <c r="B2663" t="s">
        <v>106</v>
      </c>
      <c r="C2663" t="s">
        <v>222</v>
      </c>
      <c r="D2663" s="110">
        <v>930353.62</v>
      </c>
      <c r="E2663" s="111">
        <v>930353.62</v>
      </c>
      <c r="F2663" s="111">
        <v>930353.62</v>
      </c>
      <c r="G2663" s="111">
        <v>930353.62</v>
      </c>
      <c r="H2663" s="112"/>
      <c r="I2663" s="110">
        <v>929953.62</v>
      </c>
      <c r="J2663" s="111">
        <v>929953.62</v>
      </c>
      <c r="K2663" s="111">
        <v>929953.62</v>
      </c>
      <c r="L2663" s="111">
        <v>929953.62</v>
      </c>
      <c r="M2663" s="112"/>
    </row>
    <row r="2664" spans="1:13" x14ac:dyDescent="0.2">
      <c r="A2664" s="113" t="s">
        <v>67</v>
      </c>
      <c r="B2664" s="113" t="s">
        <v>106</v>
      </c>
      <c r="C2664" s="113" t="s">
        <v>223</v>
      </c>
      <c r="D2664" s="114">
        <v>698220.8</v>
      </c>
      <c r="E2664" s="115">
        <v>698220.28</v>
      </c>
      <c r="F2664" s="115">
        <v>698220.28</v>
      </c>
      <c r="G2664" s="115"/>
      <c r="H2664" s="116"/>
      <c r="I2664" s="114">
        <v>698220.28</v>
      </c>
      <c r="J2664" s="115">
        <v>698220.28</v>
      </c>
      <c r="K2664" s="115">
        <v>698220.28</v>
      </c>
      <c r="L2664" s="115"/>
      <c r="M2664" s="116"/>
    </row>
    <row r="2665" spans="1:13" x14ac:dyDescent="0.2">
      <c r="A2665" t="s">
        <v>67</v>
      </c>
      <c r="B2665" t="s">
        <v>106</v>
      </c>
      <c r="C2665" t="s">
        <v>224</v>
      </c>
      <c r="D2665" s="110">
        <v>808822.75</v>
      </c>
      <c r="E2665" s="111">
        <v>808822.75</v>
      </c>
      <c r="F2665" s="111"/>
      <c r="G2665" s="111"/>
      <c r="H2665" s="112"/>
      <c r="I2665" s="110">
        <v>808722.75</v>
      </c>
      <c r="J2665" s="111">
        <v>808822.75</v>
      </c>
      <c r="K2665" s="111"/>
      <c r="L2665" s="111"/>
      <c r="M2665" s="112"/>
    </row>
    <row r="2666" spans="1:13" x14ac:dyDescent="0.2">
      <c r="A2666" s="117" t="s">
        <v>67</v>
      </c>
      <c r="B2666" s="117" t="s">
        <v>106</v>
      </c>
      <c r="C2666" s="117" t="s">
        <v>225</v>
      </c>
      <c r="D2666" s="118">
        <v>29785</v>
      </c>
      <c r="E2666" s="119"/>
      <c r="F2666" s="119"/>
      <c r="G2666" s="119"/>
      <c r="H2666" s="120"/>
      <c r="I2666" s="118">
        <v>29375</v>
      </c>
      <c r="J2666" s="119"/>
      <c r="K2666" s="119"/>
      <c r="L2666" s="119"/>
      <c r="M2666" s="120"/>
    </row>
    <row r="2667" spans="1:13" x14ac:dyDescent="0.2">
      <c r="A2667" t="s">
        <v>67</v>
      </c>
      <c r="B2667" t="s">
        <v>107</v>
      </c>
      <c r="C2667" t="s">
        <v>222</v>
      </c>
      <c r="D2667" s="110">
        <v>25378.68</v>
      </c>
      <c r="E2667" s="111">
        <v>25378.68</v>
      </c>
      <c r="F2667" s="111">
        <v>25378.68</v>
      </c>
      <c r="G2667" s="111">
        <v>25378.68</v>
      </c>
      <c r="H2667" s="112"/>
      <c r="I2667" s="110">
        <v>25378.68</v>
      </c>
      <c r="J2667" s="111">
        <v>25378.68</v>
      </c>
      <c r="K2667" s="111">
        <v>25378.68</v>
      </c>
      <c r="L2667" s="111">
        <v>25378.68</v>
      </c>
      <c r="M2667" s="112"/>
    </row>
    <row r="2668" spans="1:13" x14ac:dyDescent="0.2">
      <c r="A2668" s="113" t="s">
        <v>67</v>
      </c>
      <c r="B2668" s="113" t="s">
        <v>107</v>
      </c>
      <c r="C2668" s="113" t="s">
        <v>223</v>
      </c>
      <c r="D2668" s="114">
        <v>33029.230000000003</v>
      </c>
      <c r="E2668" s="115">
        <v>33029.230000000003</v>
      </c>
      <c r="F2668" s="115">
        <v>33029.230000000003</v>
      </c>
      <c r="G2668" s="115"/>
      <c r="H2668" s="116"/>
      <c r="I2668" s="114">
        <v>32409.23</v>
      </c>
      <c r="J2668" s="115">
        <v>33029.230000000003</v>
      </c>
      <c r="K2668" s="115">
        <v>33029.230000000003</v>
      </c>
      <c r="L2668" s="115"/>
      <c r="M2668" s="116"/>
    </row>
    <row r="2669" spans="1:13" x14ac:dyDescent="0.2">
      <c r="A2669" t="s">
        <v>67</v>
      </c>
      <c r="B2669" t="s">
        <v>107</v>
      </c>
      <c r="C2669" t="s">
        <v>224</v>
      </c>
      <c r="D2669" s="110">
        <v>14954.45</v>
      </c>
      <c r="E2669" s="111">
        <v>14954.45</v>
      </c>
      <c r="F2669" s="111"/>
      <c r="G2669" s="111"/>
      <c r="H2669" s="112"/>
      <c r="I2669" s="110">
        <v>14654.45</v>
      </c>
      <c r="J2669" s="111">
        <v>14654.45</v>
      </c>
      <c r="K2669" s="111"/>
      <c r="L2669" s="111"/>
      <c r="M2669" s="112"/>
    </row>
    <row r="2670" spans="1:13" x14ac:dyDescent="0.2">
      <c r="A2670" s="117" t="s">
        <v>67</v>
      </c>
      <c r="B2670" s="117" t="s">
        <v>107</v>
      </c>
      <c r="C2670" s="117" t="s">
        <v>225</v>
      </c>
      <c r="D2670" s="118">
        <v>16178.21</v>
      </c>
      <c r="E2670" s="119"/>
      <c r="F2670" s="119"/>
      <c r="G2670" s="119"/>
      <c r="H2670" s="120"/>
      <c r="I2670" s="118">
        <v>15878.21</v>
      </c>
      <c r="J2670" s="119"/>
      <c r="K2670" s="119"/>
      <c r="L2670" s="119"/>
      <c r="M2670" s="120"/>
    </row>
    <row r="2671" spans="1:13" x14ac:dyDescent="0.2">
      <c r="A2671" t="s">
        <v>67</v>
      </c>
      <c r="B2671" t="s">
        <v>108</v>
      </c>
      <c r="C2671" t="s">
        <v>222</v>
      </c>
      <c r="D2671" s="110">
        <v>7650</v>
      </c>
      <c r="E2671" s="111">
        <v>7650</v>
      </c>
      <c r="F2671" s="111">
        <v>7650</v>
      </c>
      <c r="G2671" s="111">
        <v>7650</v>
      </c>
      <c r="H2671" s="112"/>
      <c r="I2671" s="110">
        <v>7650</v>
      </c>
      <c r="J2671" s="111">
        <v>7650</v>
      </c>
      <c r="K2671" s="111">
        <v>7650</v>
      </c>
      <c r="L2671" s="111">
        <v>7650</v>
      </c>
      <c r="M2671" s="112"/>
    </row>
    <row r="2672" spans="1:13" x14ac:dyDescent="0.2">
      <c r="A2672" s="113" t="s">
        <v>67</v>
      </c>
      <c r="B2672" s="113" t="s">
        <v>108</v>
      </c>
      <c r="C2672" s="113" t="s">
        <v>223</v>
      </c>
      <c r="D2672" s="114">
        <v>10067</v>
      </c>
      <c r="E2672" s="115">
        <v>10067</v>
      </c>
      <c r="F2672" s="115">
        <v>10067</v>
      </c>
      <c r="G2672" s="115"/>
      <c r="H2672" s="116"/>
      <c r="I2672" s="114">
        <v>10067</v>
      </c>
      <c r="J2672" s="115">
        <v>10067</v>
      </c>
      <c r="K2672" s="115">
        <v>10067</v>
      </c>
      <c r="L2672" s="115"/>
      <c r="M2672" s="116"/>
    </row>
    <row r="2673" spans="1:13" x14ac:dyDescent="0.2">
      <c r="A2673" t="s">
        <v>67</v>
      </c>
      <c r="B2673" t="s">
        <v>108</v>
      </c>
      <c r="C2673" t="s">
        <v>224</v>
      </c>
      <c r="D2673" s="110">
        <v>11331</v>
      </c>
      <c r="E2673" s="111">
        <v>11331</v>
      </c>
      <c r="F2673" s="111"/>
      <c r="G2673" s="111"/>
      <c r="H2673" s="112"/>
      <c r="I2673" s="110">
        <v>11331</v>
      </c>
      <c r="J2673" s="111">
        <v>11331</v>
      </c>
      <c r="K2673" s="111"/>
      <c r="L2673" s="111"/>
      <c r="M2673" s="112"/>
    </row>
    <row r="2674" spans="1:13" x14ac:dyDescent="0.2">
      <c r="A2674" s="117" t="s">
        <v>67</v>
      </c>
      <c r="B2674" s="117" t="s">
        <v>108</v>
      </c>
      <c r="C2674" s="117" t="s">
        <v>225</v>
      </c>
      <c r="D2674" s="118">
        <v>10169</v>
      </c>
      <c r="E2674" s="119"/>
      <c r="F2674" s="119"/>
      <c r="G2674" s="119"/>
      <c r="H2674" s="120"/>
      <c r="I2674" s="118">
        <v>9938</v>
      </c>
      <c r="J2674" s="119"/>
      <c r="K2674" s="119"/>
      <c r="L2674" s="119"/>
      <c r="M2674" s="120"/>
    </row>
    <row r="2675" spans="1:13" x14ac:dyDescent="0.2">
      <c r="A2675" t="s">
        <v>67</v>
      </c>
      <c r="B2675" t="s">
        <v>70</v>
      </c>
      <c r="C2675" t="s">
        <v>222</v>
      </c>
      <c r="D2675" s="110">
        <v>14197.5</v>
      </c>
      <c r="E2675" s="111">
        <v>15017.5</v>
      </c>
      <c r="F2675" s="111">
        <v>15017.5</v>
      </c>
      <c r="G2675" s="111">
        <v>15017.5</v>
      </c>
      <c r="H2675" s="112"/>
      <c r="I2675" s="110">
        <v>12635</v>
      </c>
      <c r="J2675" s="111">
        <v>13325</v>
      </c>
      <c r="K2675" s="111">
        <v>13572.5</v>
      </c>
      <c r="L2675" s="111">
        <v>13572.5</v>
      </c>
      <c r="M2675" s="112"/>
    </row>
    <row r="2676" spans="1:13" x14ac:dyDescent="0.2">
      <c r="A2676" s="113" t="s">
        <v>67</v>
      </c>
      <c r="B2676" s="113" t="s">
        <v>70</v>
      </c>
      <c r="C2676" s="113" t="s">
        <v>223</v>
      </c>
      <c r="D2676" s="114">
        <v>13037.5</v>
      </c>
      <c r="E2676" s="115">
        <v>13037.5</v>
      </c>
      <c r="F2676" s="115">
        <v>13037.5</v>
      </c>
      <c r="G2676" s="115"/>
      <c r="H2676" s="116"/>
      <c r="I2676" s="114">
        <v>12210</v>
      </c>
      <c r="J2676" s="115">
        <v>12335</v>
      </c>
      <c r="K2676" s="115">
        <v>12335</v>
      </c>
      <c r="L2676" s="115"/>
      <c r="M2676" s="116"/>
    </row>
    <row r="2677" spans="1:13" x14ac:dyDescent="0.2">
      <c r="A2677" t="s">
        <v>67</v>
      </c>
      <c r="B2677" t="s">
        <v>70</v>
      </c>
      <c r="C2677" t="s">
        <v>224</v>
      </c>
      <c r="D2677" s="110">
        <v>14702.5</v>
      </c>
      <c r="E2677" s="111">
        <v>14702.5</v>
      </c>
      <c r="F2677" s="111"/>
      <c r="G2677" s="111"/>
      <c r="H2677" s="112"/>
      <c r="I2677" s="110">
        <v>14082.5</v>
      </c>
      <c r="J2677" s="111">
        <v>14473</v>
      </c>
      <c r="K2677" s="111"/>
      <c r="L2677" s="111"/>
      <c r="M2677" s="112"/>
    </row>
    <row r="2678" spans="1:13" x14ac:dyDescent="0.2">
      <c r="A2678" s="117" t="s">
        <v>67</v>
      </c>
      <c r="B2678" s="117" t="s">
        <v>70</v>
      </c>
      <c r="C2678" s="117" t="s">
        <v>225</v>
      </c>
      <c r="D2678" s="118">
        <v>10460</v>
      </c>
      <c r="E2678" s="119"/>
      <c r="F2678" s="119"/>
      <c r="G2678" s="119"/>
      <c r="H2678" s="120"/>
      <c r="I2678" s="118">
        <v>9680</v>
      </c>
      <c r="J2678" s="119"/>
      <c r="K2678" s="119"/>
      <c r="L2678" s="119"/>
      <c r="M2678" s="120"/>
    </row>
    <row r="2679" spans="1:13" x14ac:dyDescent="0.2">
      <c r="A2679" t="s">
        <v>67</v>
      </c>
      <c r="B2679" t="s">
        <v>110</v>
      </c>
      <c r="C2679" t="s">
        <v>222</v>
      </c>
      <c r="D2679" s="110">
        <v>51712.5</v>
      </c>
      <c r="E2679" s="111">
        <v>52815.9</v>
      </c>
      <c r="F2679" s="111">
        <v>52868.1</v>
      </c>
      <c r="G2679" s="111">
        <v>52868.1</v>
      </c>
      <c r="H2679" s="112"/>
      <c r="I2679" s="110">
        <v>27134.25</v>
      </c>
      <c r="J2679" s="111">
        <v>42603.45</v>
      </c>
      <c r="K2679" s="111">
        <v>44020.55</v>
      </c>
      <c r="L2679" s="111">
        <v>44723.5</v>
      </c>
      <c r="M2679" s="112"/>
    </row>
    <row r="2680" spans="1:13" x14ac:dyDescent="0.2">
      <c r="A2680" s="113" t="s">
        <v>67</v>
      </c>
      <c r="B2680" s="113" t="s">
        <v>110</v>
      </c>
      <c r="C2680" s="113" t="s">
        <v>223</v>
      </c>
      <c r="D2680" s="114">
        <v>57066.85</v>
      </c>
      <c r="E2680" s="115">
        <v>56141.05</v>
      </c>
      <c r="F2680" s="115">
        <v>55909.55</v>
      </c>
      <c r="G2680" s="115"/>
      <c r="H2680" s="116"/>
      <c r="I2680" s="114">
        <v>27804.85</v>
      </c>
      <c r="J2680" s="115">
        <v>42950.05</v>
      </c>
      <c r="K2680" s="115">
        <v>46924.55</v>
      </c>
      <c r="L2680" s="115"/>
      <c r="M2680" s="116"/>
    </row>
    <row r="2681" spans="1:13" x14ac:dyDescent="0.2">
      <c r="A2681" t="s">
        <v>67</v>
      </c>
      <c r="B2681" t="s">
        <v>110</v>
      </c>
      <c r="C2681" t="s">
        <v>224</v>
      </c>
      <c r="D2681" s="110">
        <v>68664.41</v>
      </c>
      <c r="E2681" s="111">
        <v>68352.11</v>
      </c>
      <c r="F2681" s="111"/>
      <c r="G2681" s="111"/>
      <c r="H2681" s="112"/>
      <c r="I2681" s="110">
        <v>33057.910000000003</v>
      </c>
      <c r="J2681" s="111">
        <v>55734.81</v>
      </c>
      <c r="K2681" s="111"/>
      <c r="L2681" s="111"/>
      <c r="M2681" s="112"/>
    </row>
    <row r="2682" spans="1:13" ht="13.5" thickBot="1" x14ac:dyDescent="0.25">
      <c r="A2682" s="128" t="s">
        <v>67</v>
      </c>
      <c r="B2682" s="128" t="s">
        <v>110</v>
      </c>
      <c r="C2682" s="128" t="s">
        <v>225</v>
      </c>
      <c r="D2682" s="129">
        <v>91658.5</v>
      </c>
      <c r="E2682" s="130"/>
      <c r="F2682" s="130"/>
      <c r="G2682" s="130"/>
      <c r="H2682" s="131"/>
      <c r="I2682" s="129">
        <v>44151.5</v>
      </c>
      <c r="J2682" s="130"/>
      <c r="K2682" s="130"/>
      <c r="L2682" s="130"/>
      <c r="M2682" s="131"/>
    </row>
  </sheetData>
  <autoFilter ref="A2:M2682"/>
  <sortState ref="A3:M2682">
    <sortCondition ref="A3:A2682"/>
  </sortState>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246"/>
  <sheetViews>
    <sheetView workbookViewId="0">
      <selection activeCell="C21" sqref="C21:C100"/>
    </sheetView>
  </sheetViews>
  <sheetFormatPr defaultColWidth="9.140625" defaultRowHeight="13.5" x14ac:dyDescent="0.25"/>
  <cols>
    <col min="1" max="1" width="20.85546875" style="2" customWidth="1"/>
    <col min="2" max="2" width="14.42578125" style="2" customWidth="1"/>
    <col min="3" max="3" width="12.42578125" style="2" customWidth="1"/>
    <col min="4" max="4" width="18.42578125" style="2" bestFit="1" customWidth="1"/>
    <col min="5" max="7" width="15" style="2" bestFit="1" customWidth="1"/>
    <col min="8" max="8" width="16.7109375" style="2" customWidth="1"/>
    <col min="9" max="9" width="13.42578125" style="2" bestFit="1" customWidth="1"/>
    <col min="10" max="11" width="15" style="2" bestFit="1" customWidth="1"/>
    <col min="12" max="12" width="13.42578125" style="2" customWidth="1"/>
    <col min="13" max="13" width="13.5703125" style="2" customWidth="1"/>
    <col min="14" max="14" width="13.140625" style="2" bestFit="1" customWidth="1"/>
    <col min="15" max="16384" width="9.140625" style="2"/>
  </cols>
  <sheetData>
    <row r="1" spans="1:12" x14ac:dyDescent="0.25">
      <c r="A1" s="4" t="s">
        <v>81</v>
      </c>
      <c r="B1" s="2" t="s">
        <v>189</v>
      </c>
      <c r="D1" s="4" t="s">
        <v>82</v>
      </c>
      <c r="E1" s="2" t="str">
        <f>IF('Circuit Criminal'!D4="","None",'Circuit Criminal'!D4)</f>
        <v>Brevard</v>
      </c>
      <c r="G1" s="22" t="s">
        <v>119</v>
      </c>
      <c r="H1" s="23" t="s">
        <v>113</v>
      </c>
      <c r="I1" s="23" t="s">
        <v>114</v>
      </c>
      <c r="J1" s="23" t="s">
        <v>115</v>
      </c>
      <c r="K1" s="23" t="s">
        <v>116</v>
      </c>
      <c r="L1" s="24" t="s">
        <v>117</v>
      </c>
    </row>
    <row r="2" spans="1:12" x14ac:dyDescent="0.25">
      <c r="A2" s="4" t="s">
        <v>80</v>
      </c>
      <c r="B2" s="2" t="s">
        <v>188</v>
      </c>
      <c r="G2" s="16">
        <v>1</v>
      </c>
      <c r="H2" s="17" t="s">
        <v>190</v>
      </c>
      <c r="I2" s="17" t="s">
        <v>118</v>
      </c>
      <c r="J2" s="17" t="s">
        <v>204</v>
      </c>
      <c r="K2" s="17">
        <v>21</v>
      </c>
      <c r="L2" s="18">
        <v>100</v>
      </c>
    </row>
    <row r="3" spans="1:12" x14ac:dyDescent="0.25">
      <c r="G3" s="16">
        <v>2</v>
      </c>
      <c r="H3" s="91" t="s">
        <v>206</v>
      </c>
      <c r="I3" s="17" t="s">
        <v>118</v>
      </c>
      <c r="J3" s="17" t="s">
        <v>205</v>
      </c>
      <c r="K3" s="17">
        <v>102</v>
      </c>
      <c r="L3" s="18">
        <v>209</v>
      </c>
    </row>
    <row r="4" spans="1:12" x14ac:dyDescent="0.25">
      <c r="G4" s="16">
        <v>3</v>
      </c>
      <c r="H4" s="91" t="s">
        <v>120</v>
      </c>
      <c r="I4" s="17" t="s">
        <v>118</v>
      </c>
      <c r="J4" s="17" t="s">
        <v>121</v>
      </c>
      <c r="K4" s="17">
        <v>211</v>
      </c>
      <c r="L4" s="18">
        <v>246</v>
      </c>
    </row>
    <row r="5" spans="1:12" x14ac:dyDescent="0.25">
      <c r="A5" s="3" t="s">
        <v>83</v>
      </c>
      <c r="B5" s="26"/>
      <c r="G5" s="16">
        <v>4</v>
      </c>
      <c r="H5" s="17"/>
      <c r="I5" s="17"/>
      <c r="J5" s="17"/>
      <c r="K5" s="17"/>
      <c r="L5" s="18"/>
    </row>
    <row r="6" spans="1:12" x14ac:dyDescent="0.25">
      <c r="A6" s="3" t="s">
        <v>84</v>
      </c>
      <c r="B6" s="27"/>
      <c r="G6" s="16">
        <v>5</v>
      </c>
      <c r="H6" s="17"/>
      <c r="I6" s="17"/>
      <c r="J6" s="17"/>
      <c r="K6" s="17"/>
      <c r="L6" s="18"/>
    </row>
    <row r="7" spans="1:12" x14ac:dyDescent="0.25">
      <c r="A7" s="3" t="s">
        <v>86</v>
      </c>
      <c r="B7" s="2" t="str">
        <f>'Circuit Criminal'!H4</f>
        <v>Qtr 2: Jan - Mar</v>
      </c>
      <c r="G7" s="16">
        <v>6</v>
      </c>
      <c r="H7" s="17"/>
      <c r="I7" s="17"/>
      <c r="J7" s="17"/>
      <c r="K7" s="17"/>
      <c r="L7" s="18"/>
    </row>
    <row r="8" spans="1:12" x14ac:dyDescent="0.25">
      <c r="A8" s="3" t="s">
        <v>88</v>
      </c>
      <c r="B8" s="2">
        <f>IF('Circuit Criminal'!L4="",1,'Circuit Criminal'!L4)</f>
        <v>1</v>
      </c>
      <c r="G8" s="16">
        <v>7</v>
      </c>
      <c r="H8" s="17"/>
      <c r="I8" s="17"/>
      <c r="J8" s="17"/>
      <c r="K8" s="17"/>
      <c r="L8" s="18"/>
    </row>
    <row r="9" spans="1:12" x14ac:dyDescent="0.25">
      <c r="A9" s="3" t="s">
        <v>85</v>
      </c>
      <c r="B9" s="13" t="str">
        <f>IF('Circuit Criminal'!H4="","Unknown",'Circuit Criminal'!H4)</f>
        <v>Qtr 2: Jan - Mar</v>
      </c>
      <c r="C9" s="25"/>
      <c r="G9" s="16">
        <v>8</v>
      </c>
      <c r="H9" s="17"/>
      <c r="I9" s="17"/>
      <c r="J9" s="17"/>
      <c r="K9" s="17"/>
      <c r="L9" s="18"/>
    </row>
    <row r="10" spans="1:12" x14ac:dyDescent="0.25">
      <c r="A10" s="3" t="s">
        <v>87</v>
      </c>
      <c r="B10" s="2" t="str">
        <f>E1&amp;" FY1718 "&amp;B1&amp;" "&amp;B9&amp;" Ver"&amp;B8&amp;" "&amp;TEXT(B5,"Mmddyy")&amp;".xlsx"</f>
        <v>Brevard FY1718 Collections Qtr 2: Jan - Mar Ver1 010000.xlsx</v>
      </c>
      <c r="G10" s="16">
        <v>9</v>
      </c>
      <c r="H10" s="17"/>
      <c r="I10" s="17"/>
      <c r="J10" s="17"/>
      <c r="K10" s="17"/>
      <c r="L10" s="18"/>
    </row>
    <row r="11" spans="1:12" x14ac:dyDescent="0.25">
      <c r="A11" s="3" t="s">
        <v>89</v>
      </c>
      <c r="G11" s="16">
        <v>10</v>
      </c>
      <c r="H11" s="17"/>
      <c r="I11" s="17"/>
      <c r="J11" s="17"/>
      <c r="K11" s="17"/>
      <c r="L11" s="18"/>
    </row>
    <row r="12" spans="1:12" ht="14.25" thickBot="1" x14ac:dyDescent="0.3">
      <c r="G12" s="19">
        <v>11</v>
      </c>
      <c r="H12" s="20"/>
      <c r="I12" s="20"/>
      <c r="J12" s="20"/>
      <c r="K12" s="20"/>
      <c r="L12" s="21"/>
    </row>
    <row r="13" spans="1:12" x14ac:dyDescent="0.25">
      <c r="A13" s="3" t="s">
        <v>112</v>
      </c>
      <c r="B13" s="2">
        <v>3</v>
      </c>
      <c r="G13" s="17"/>
      <c r="H13" s="17"/>
      <c r="I13" s="17"/>
      <c r="J13" s="17"/>
      <c r="K13" s="17"/>
      <c r="L13" s="17"/>
    </row>
    <row r="14" spans="1:12" x14ac:dyDescent="0.25">
      <c r="G14" s="17"/>
      <c r="H14" s="17"/>
      <c r="I14" s="17"/>
      <c r="J14" s="17"/>
      <c r="K14" s="17"/>
      <c r="L14" s="17"/>
    </row>
    <row r="17" spans="1:28" x14ac:dyDescent="0.25">
      <c r="D17" s="13"/>
    </row>
    <row r="20" spans="1:28" ht="27" x14ac:dyDescent="0.25">
      <c r="A20" s="4" t="s">
        <v>71</v>
      </c>
      <c r="B20" s="5" t="s">
        <v>171</v>
      </c>
      <c r="C20" s="5" t="s">
        <v>172</v>
      </c>
      <c r="D20" s="5" t="s">
        <v>173</v>
      </c>
      <c r="E20" s="5" t="s">
        <v>174</v>
      </c>
      <c r="F20" s="5" t="s">
        <v>175</v>
      </c>
      <c r="G20" s="5" t="s">
        <v>176</v>
      </c>
      <c r="H20" s="5" t="s">
        <v>197</v>
      </c>
      <c r="I20" s="5" t="s">
        <v>178</v>
      </c>
      <c r="J20" s="5" t="s">
        <v>179</v>
      </c>
      <c r="K20" s="5" t="s">
        <v>180</v>
      </c>
      <c r="L20" s="5" t="s">
        <v>181</v>
      </c>
      <c r="M20" s="5" t="s">
        <v>198</v>
      </c>
      <c r="N20" s="5" t="s">
        <v>199</v>
      </c>
      <c r="O20" s="4" t="s">
        <v>103</v>
      </c>
    </row>
    <row r="21" spans="1:28" ht="15" x14ac:dyDescent="0.25">
      <c r="A21" s="2">
        <f>IFERROR(INDEX(LookupData!O3:O69,MATCH(E1,LookupData!S3:S69,0)),0)</f>
        <v>5</v>
      </c>
      <c r="B21" t="s">
        <v>104</v>
      </c>
      <c r="C21" t="s">
        <v>222</v>
      </c>
      <c r="D21" s="15">
        <f ca="1">INDIRECT("'"&amp;$B21&amp;"'!$e$14")</f>
        <v>898984.65</v>
      </c>
      <c r="E21" s="15">
        <f ca="1">INDIRECT("'"&amp;$B21&amp;"'!$f$14")</f>
        <v>844196.15</v>
      </c>
      <c r="F21" s="15">
        <f ca="1">INDIRECT("'"&amp;$B21&amp;"'!$g$14")</f>
        <v>843271.15</v>
      </c>
      <c r="G21" s="15">
        <f ca="1">INDIRECT("'"&amp;$B21&amp;"'!$h$14")</f>
        <v>842889.65</v>
      </c>
      <c r="H21" s="15">
        <f ca="1">INDIRECT("'"&amp;$B21&amp;"'!$i$14")</f>
        <v>842612.15</v>
      </c>
      <c r="I21" s="15">
        <f ca="1">INDIRECT("'"&amp;$B21&amp;"'!$e$13")</f>
        <v>32986.14</v>
      </c>
      <c r="J21" s="15">
        <f ca="1">INDIRECT("'"&amp;$B21&amp;"'!$f$13")</f>
        <v>50676.160000000003</v>
      </c>
      <c r="K21" s="15">
        <f ca="1">INDIRECT("'"&amp;$B21&amp;"'!$g$13")</f>
        <v>71817.08</v>
      </c>
      <c r="L21" s="15">
        <f ca="1">INDIRECT("'"&amp;$B21&amp;"'!$h$13")</f>
        <v>88652.01</v>
      </c>
      <c r="M21" s="15">
        <f ca="1">INDIRECT("'"&amp;$B21&amp;"'!$i$13")</f>
        <v>112308.84</v>
      </c>
      <c r="N21" s="90">
        <f ca="1">IFERROR(INDIRECT("'"&amp;$B21&amp;"'!$i$13")/INDIRECT("'"&amp;$B21&amp;"'!$i$14"),1)</f>
        <v>0.13328651859577387</v>
      </c>
      <c r="O21" s="2">
        <v>12</v>
      </c>
      <c r="Q21" s="86"/>
      <c r="R21" s="86"/>
      <c r="S21" s="86"/>
      <c r="T21" s="86"/>
      <c r="U21" s="86"/>
      <c r="V21" s="14"/>
      <c r="Y21" s="14"/>
      <c r="Z21" s="14"/>
      <c r="AA21" s="14"/>
      <c r="AB21" s="14"/>
    </row>
    <row r="22" spans="1:28" ht="15" x14ac:dyDescent="0.25">
      <c r="A22" s="2">
        <f>A$21</f>
        <v>5</v>
      </c>
      <c r="B22" t="s">
        <v>104</v>
      </c>
      <c r="C22" t="s">
        <v>223</v>
      </c>
      <c r="D22" s="15">
        <f ca="1">INDIRECT("'"&amp;$B22&amp;"'!$f$18")</f>
        <v>1620671.45</v>
      </c>
      <c r="E22" s="15">
        <f ca="1">INDIRECT("'"&amp;$B22&amp;"'!$g$18")</f>
        <v>1617622.45</v>
      </c>
      <c r="F22" s="15">
        <f ca="1">INDIRECT("'"&amp;$B22&amp;"'!$h$18")</f>
        <v>1617063.95</v>
      </c>
      <c r="G22" s="15">
        <f ca="1">INDIRECT("'"&amp;$B22&amp;"'!$i$18")</f>
        <v>1616665.45</v>
      </c>
      <c r="H22" s="15">
        <f ca="1">INDIRECT("'"&amp;$B22&amp;"'!$j$18")</f>
        <v>1615933.45</v>
      </c>
      <c r="I22" s="15">
        <f ca="1">INDIRECT("'"&amp;$B22&amp;"'!$f$17")</f>
        <v>45023.79</v>
      </c>
      <c r="J22" s="15">
        <f ca="1">INDIRECT("'"&amp;$B22&amp;"'!$g$17")</f>
        <v>58591.57</v>
      </c>
      <c r="K22" s="15">
        <f ca="1">INDIRECT("'"&amp;$B22&amp;"'!$h$17")</f>
        <v>67571.100000000006</v>
      </c>
      <c r="L22" s="15">
        <f ca="1">INDIRECT("'"&amp;$B22&amp;"'!$i$17")</f>
        <v>80028.800000000003</v>
      </c>
      <c r="M22" s="15">
        <f ca="1">INDIRECT("'"&amp;$B22&amp;"'!$j$17")</f>
        <v>103706.12</v>
      </c>
      <c r="N22" s="90">
        <f ca="1">IFERROR(INDIRECT("'"&amp;$B22&amp;"'!$j$17")/INDIRECT("'"&amp;$B22&amp;"'!$j$18"),1)</f>
        <v>6.4177222149835442E-2</v>
      </c>
      <c r="O22" s="2">
        <v>12</v>
      </c>
      <c r="Q22" s="86"/>
      <c r="R22" s="86"/>
      <c r="S22" s="86"/>
      <c r="T22" s="86"/>
      <c r="U22" s="14"/>
      <c r="V22" s="14"/>
      <c r="Y22" s="14"/>
      <c r="Z22" s="14"/>
      <c r="AA22" s="14"/>
      <c r="AB22" s="14"/>
    </row>
    <row r="23" spans="1:28" x14ac:dyDescent="0.25">
      <c r="A23" s="2">
        <f t="shared" ref="A23:A86" si="0">A$21</f>
        <v>5</v>
      </c>
      <c r="B23" t="s">
        <v>104</v>
      </c>
      <c r="C23" t="s">
        <v>224</v>
      </c>
      <c r="D23" s="15">
        <f ca="1">INDIRECT("'"&amp;$B23&amp;"'!$g$22")</f>
        <v>464169.55</v>
      </c>
      <c r="E23" s="15">
        <f ca="1">INDIRECT("'"&amp;$B23&amp;"'!$h$22")</f>
        <v>460410.05</v>
      </c>
      <c r="F23" s="15">
        <f ca="1">INDIRECT("'"&amp;$B23&amp;"'!$i$22")</f>
        <v>459746.55</v>
      </c>
      <c r="G23" s="15">
        <f ca="1">INDIRECT("'"&amp;$B23&amp;"'!$j$22")</f>
        <v>459214.55</v>
      </c>
      <c r="H23" s="15">
        <f ca="1">INDIRECT("'"&amp;$B23&amp;"'!$k$22")</f>
        <v>0</v>
      </c>
      <c r="I23" s="15">
        <f ca="1">INDIRECT("'"&amp;$B23&amp;"'!$g$21")</f>
        <v>26037.34</v>
      </c>
      <c r="J23" s="15">
        <f ca="1">INDIRECT("'"&amp;$B23&amp;"'!$h$21")</f>
        <v>29841.11</v>
      </c>
      <c r="K23" s="15">
        <f ca="1">INDIRECT("'"&amp;$B23&amp;"'!$i$21")</f>
        <v>33610.1</v>
      </c>
      <c r="L23" s="15">
        <f ca="1">INDIRECT("'"&amp;$B23&amp;"'!$j$21")</f>
        <v>37575.74</v>
      </c>
      <c r="M23" s="15">
        <f ca="1">INDIRECT("'"&amp;$B23&amp;"'!$k$21")</f>
        <v>0</v>
      </c>
      <c r="N23" s="90">
        <f ca="1">IFERROR(INDIRECT("'"&amp;$B23&amp;"'!$k$21")/INDIRECT("'"&amp;$B23&amp;"'!$k$22"),1)</f>
        <v>1</v>
      </c>
      <c r="O23" s="2">
        <v>12</v>
      </c>
      <c r="U23" s="14"/>
      <c r="V23" s="14"/>
      <c r="W23" s="14"/>
      <c r="Y23" s="14"/>
      <c r="Z23" s="14"/>
      <c r="AA23" s="14"/>
      <c r="AB23" s="14"/>
    </row>
    <row r="24" spans="1:28" x14ac:dyDescent="0.25">
      <c r="A24" s="2">
        <f t="shared" si="0"/>
        <v>5</v>
      </c>
      <c r="B24" t="s">
        <v>104</v>
      </c>
      <c r="C24" t="s">
        <v>225</v>
      </c>
      <c r="D24" s="15">
        <f ca="1">INDIRECT("'"&amp;$B24&amp;"'!$h$26")</f>
        <v>751321</v>
      </c>
      <c r="E24" s="15">
        <f ca="1">INDIRECT("'"&amp;$B24&amp;"'!$i$26")</f>
        <v>747921</v>
      </c>
      <c r="F24" s="15">
        <f ca="1">INDIRECT("'"&amp;$B24&amp;"'!$j$26")</f>
        <v>746866</v>
      </c>
      <c r="G24" s="15">
        <f ca="1">INDIRECT("'"&amp;$B24&amp;"'!$k$26")</f>
        <v>0</v>
      </c>
      <c r="H24" s="15">
        <f ca="1">INDIRECT("'"&amp;$B24&amp;"'!$l$26")</f>
        <v>0</v>
      </c>
      <c r="I24" s="15">
        <f ca="1">INDIRECT("'"&amp;$B24&amp;"'!$h$25")</f>
        <v>31843.22</v>
      </c>
      <c r="J24" s="15">
        <f ca="1">INDIRECT("'"&amp;$B24&amp;"'!$i$25")</f>
        <v>45339.7</v>
      </c>
      <c r="K24" s="15">
        <f ca="1">INDIRECT("'"&amp;$B24&amp;"'!$j$25")</f>
        <v>56953</v>
      </c>
      <c r="L24" s="15">
        <f ca="1">INDIRECT("'"&amp;$B24&amp;"'!$k$25")</f>
        <v>0</v>
      </c>
      <c r="M24" s="15">
        <f ca="1">INDIRECT("'"&amp;$B24&amp;"'!$l$25")</f>
        <v>0</v>
      </c>
      <c r="N24" s="90">
        <f ca="1">IFERROR(INDIRECT("'"&amp;$B24&amp;"'!$l$25")/INDIRECT("'"&amp;$B24&amp;"'!$l$26"),1)</f>
        <v>1</v>
      </c>
      <c r="O24" s="2">
        <v>12</v>
      </c>
      <c r="U24" s="14"/>
      <c r="V24" s="14"/>
      <c r="X24" s="14"/>
      <c r="Y24" s="14"/>
      <c r="Z24" s="14"/>
      <c r="AA24" s="14"/>
      <c r="AB24" s="14"/>
    </row>
    <row r="25" spans="1:28" x14ac:dyDescent="0.25">
      <c r="A25" s="2">
        <f t="shared" si="0"/>
        <v>5</v>
      </c>
      <c r="B25" t="s">
        <v>104</v>
      </c>
      <c r="C25" t="s">
        <v>229</v>
      </c>
      <c r="D25" s="15">
        <f ca="1">INDIRECT("'"&amp;$B25&amp;"'!$i$30")</f>
        <v>1227583.95</v>
      </c>
      <c r="E25" s="15">
        <f ca="1">INDIRECT("'"&amp;$B25&amp;"'!$j$30")</f>
        <v>1223076.95</v>
      </c>
      <c r="F25" s="15">
        <f ca="1">INDIRECT("'"&amp;$B25&amp;"'!$k$30")</f>
        <v>0</v>
      </c>
      <c r="G25" s="15">
        <f ca="1">INDIRECT("'"&amp;$B25&amp;"'!$l$30")</f>
        <v>0</v>
      </c>
      <c r="H25" s="15"/>
      <c r="I25" s="15">
        <f ca="1">INDIRECT("'"&amp;$B25&amp;"'!$i$29")</f>
        <v>37313.49</v>
      </c>
      <c r="J25" s="15">
        <f ca="1">INDIRECT("'"&amp;$B25&amp;"'!$j$29")</f>
        <v>59765.03</v>
      </c>
      <c r="K25" s="15">
        <f ca="1">INDIRECT("'"&amp;$B25&amp;"'!$k$29")</f>
        <v>0</v>
      </c>
      <c r="L25" s="15">
        <f ca="1">INDIRECT("'"&amp;$B25&amp;"'!$l$29")</f>
        <v>0</v>
      </c>
      <c r="M25" s="15"/>
      <c r="N25" s="90">
        <v>1</v>
      </c>
      <c r="O25" s="2">
        <v>12</v>
      </c>
      <c r="U25" s="14"/>
      <c r="V25" s="14"/>
      <c r="X25" s="14"/>
      <c r="Y25" s="14"/>
      <c r="Z25" s="14"/>
      <c r="AA25" s="14"/>
      <c r="AB25" s="14"/>
    </row>
    <row r="26" spans="1:28" x14ac:dyDescent="0.25">
      <c r="A26" s="2">
        <f t="shared" si="0"/>
        <v>5</v>
      </c>
      <c r="B26" t="s">
        <v>104</v>
      </c>
      <c r="C26" t="s">
        <v>230</v>
      </c>
      <c r="D26" s="15">
        <f ca="1">INDIRECT("'"&amp;$B26&amp;"'!$j$34")</f>
        <v>965871.9</v>
      </c>
      <c r="E26" s="15">
        <f ca="1">INDIRECT("'"&amp;$B26&amp;"'!$k$34")</f>
        <v>0</v>
      </c>
      <c r="F26" s="15">
        <f ca="1">INDIRECT("'"&amp;$B26&amp;"'!$l$34")</f>
        <v>0</v>
      </c>
      <c r="G26" s="15"/>
      <c r="H26" s="15"/>
      <c r="I26" s="15">
        <f ca="1">INDIRECT("'"&amp;$B26&amp;"'!$j$33")</f>
        <v>53252.03</v>
      </c>
      <c r="J26" s="15">
        <f ca="1">INDIRECT("'"&amp;$B26&amp;"'!$k$33")</f>
        <v>0</v>
      </c>
      <c r="K26" s="15">
        <f ca="1">INDIRECT("'"&amp;$B26&amp;"'!$l$33")</f>
        <v>0</v>
      </c>
      <c r="L26" s="15"/>
      <c r="M26" s="15"/>
      <c r="N26" s="90">
        <v>1</v>
      </c>
      <c r="O26" s="2">
        <v>12</v>
      </c>
      <c r="U26" s="14"/>
      <c r="V26" s="14"/>
      <c r="W26" s="14"/>
      <c r="X26" s="14"/>
      <c r="Y26" s="14"/>
      <c r="Z26" s="14"/>
      <c r="AA26" s="14"/>
      <c r="AB26" s="14"/>
    </row>
    <row r="27" spans="1:28" x14ac:dyDescent="0.25">
      <c r="A27" s="2">
        <f t="shared" si="0"/>
        <v>5</v>
      </c>
      <c r="B27" t="s">
        <v>104</v>
      </c>
      <c r="C27" t="s">
        <v>231</v>
      </c>
      <c r="D27" s="15">
        <f ca="1">INDIRECT("'"&amp;$B27&amp;"'!$k$38")</f>
        <v>0</v>
      </c>
      <c r="E27" s="15">
        <f ca="1">INDIRECT("'"&amp;$B27&amp;"'!$l$38")</f>
        <v>0</v>
      </c>
      <c r="F27" s="15"/>
      <c r="G27" s="15"/>
      <c r="H27" s="15"/>
      <c r="I27" s="15">
        <f ca="1">INDIRECT("'"&amp;$B27&amp;"'!$k$37")</f>
        <v>0</v>
      </c>
      <c r="J27" s="15">
        <f ca="1">INDIRECT("'"&amp;$B27&amp;"'!$l$37")</f>
        <v>0</v>
      </c>
      <c r="K27" s="15"/>
      <c r="L27" s="15"/>
      <c r="M27" s="15"/>
      <c r="N27" s="90">
        <v>1</v>
      </c>
      <c r="O27" s="2">
        <v>12</v>
      </c>
      <c r="U27" s="14"/>
      <c r="V27" s="14"/>
      <c r="X27" s="14"/>
      <c r="Y27" s="14"/>
      <c r="Z27" s="14"/>
      <c r="AA27" s="14"/>
      <c r="AB27" s="14"/>
    </row>
    <row r="28" spans="1:28" x14ac:dyDescent="0.25">
      <c r="A28" s="2">
        <f t="shared" si="0"/>
        <v>5</v>
      </c>
      <c r="B28" t="s">
        <v>104</v>
      </c>
      <c r="C28" t="s">
        <v>232</v>
      </c>
      <c r="D28" s="15">
        <f ca="1">INDIRECT("'"&amp;$B28&amp;"'!$l$42")</f>
        <v>0</v>
      </c>
      <c r="E28" s="15"/>
      <c r="F28" s="15"/>
      <c r="G28" s="15"/>
      <c r="H28" s="15"/>
      <c r="I28" s="15">
        <f ca="1">INDIRECT("'"&amp;$B28&amp;"'!$l$41")</f>
        <v>0</v>
      </c>
      <c r="J28" s="15"/>
      <c r="K28" s="15"/>
      <c r="L28" s="15"/>
      <c r="M28" s="15"/>
      <c r="N28" s="90">
        <v>1</v>
      </c>
      <c r="O28" s="2">
        <v>12</v>
      </c>
      <c r="U28" s="14"/>
      <c r="V28" s="14"/>
      <c r="X28" s="14"/>
      <c r="Y28" s="14"/>
      <c r="Z28" s="14"/>
      <c r="AA28" s="14"/>
      <c r="AB28" s="14"/>
    </row>
    <row r="29" spans="1:28" x14ac:dyDescent="0.25">
      <c r="A29" s="2">
        <f t="shared" si="0"/>
        <v>5</v>
      </c>
      <c r="B29" t="s">
        <v>140</v>
      </c>
      <c r="C29" t="s">
        <v>222</v>
      </c>
      <c r="D29" s="15">
        <f t="shared" ref="D29" ca="1" si="1">INDIRECT("'"&amp;$B29&amp;"'!$e$14")</f>
        <v>82148</v>
      </c>
      <c r="E29" s="15">
        <f t="shared" ref="E29" ca="1" si="2">INDIRECT("'"&amp;$B29&amp;"'!$f$14")</f>
        <v>32148</v>
      </c>
      <c r="F29" s="15">
        <f t="shared" ref="F29" ca="1" si="3">INDIRECT("'"&amp;$B29&amp;"'!$g$14")</f>
        <v>32148</v>
      </c>
      <c r="G29" s="15">
        <f t="shared" ref="G29" ca="1" si="4">INDIRECT("'"&amp;$B29&amp;"'!$h$14")</f>
        <v>32148</v>
      </c>
      <c r="H29" s="15">
        <f t="shared" ref="H29" ca="1" si="5">INDIRECT("'"&amp;$B29&amp;"'!$i$14")</f>
        <v>32148</v>
      </c>
      <c r="I29" s="15">
        <f t="shared" ref="I29" ca="1" si="6">INDIRECT("'"&amp;$B29&amp;"'!$e$13")</f>
        <v>247</v>
      </c>
      <c r="J29" s="15">
        <f t="shared" ref="J29" ca="1" si="7">INDIRECT("'"&amp;$B29&amp;"'!$f$13")</f>
        <v>247</v>
      </c>
      <c r="K29" s="15">
        <f t="shared" ref="K29" ca="1" si="8">INDIRECT("'"&amp;$B29&amp;"'!$g$13")</f>
        <v>247</v>
      </c>
      <c r="L29" s="15">
        <f t="shared" ref="L29" ca="1" si="9">INDIRECT("'"&amp;$B29&amp;"'!$h$13")</f>
        <v>247</v>
      </c>
      <c r="M29" s="15">
        <f t="shared" ref="M29" ca="1" si="10">INDIRECT("'"&amp;$B29&amp;"'!$i$13")</f>
        <v>247</v>
      </c>
      <c r="N29" s="90">
        <f ca="1">IFERROR(INDIRECT("'"&amp;$B29&amp;"'!$i$13")/INDIRECT("'"&amp;$B29&amp;"'!$i$14"),1)</f>
        <v>7.6832151300236405E-3</v>
      </c>
      <c r="O29" s="2">
        <v>12</v>
      </c>
      <c r="V29" s="14"/>
      <c r="W29" s="14"/>
      <c r="X29" s="14"/>
      <c r="Y29" s="14"/>
      <c r="Z29" s="14"/>
      <c r="AA29" s="14"/>
    </row>
    <row r="30" spans="1:28" x14ac:dyDescent="0.25">
      <c r="A30" s="2">
        <f t="shared" si="0"/>
        <v>5</v>
      </c>
      <c r="B30" t="s">
        <v>140</v>
      </c>
      <c r="C30" t="s">
        <v>223</v>
      </c>
      <c r="D30" s="15">
        <f t="shared" ref="D30" ca="1" si="11">INDIRECT("'"&amp;$B30&amp;"'!$f$18")</f>
        <v>841075</v>
      </c>
      <c r="E30" s="15">
        <f t="shared" ref="E30" ca="1" si="12">INDIRECT("'"&amp;$B30&amp;"'!$g$18")</f>
        <v>841075</v>
      </c>
      <c r="F30" s="15">
        <f t="shared" ref="F30" ca="1" si="13">INDIRECT("'"&amp;$B30&amp;"'!$h$18")</f>
        <v>841075</v>
      </c>
      <c r="G30" s="15">
        <f t="shared" ref="G30" ca="1" si="14">INDIRECT("'"&amp;$B30&amp;"'!$i$18")</f>
        <v>841075</v>
      </c>
      <c r="H30" s="15">
        <f t="shared" ref="H30" ca="1" si="15">INDIRECT("'"&amp;$B30&amp;"'!$j$18")</f>
        <v>841075</v>
      </c>
      <c r="I30" s="15">
        <f t="shared" ref="I30" ca="1" si="16">INDIRECT("'"&amp;$B30&amp;"'!$f$17")</f>
        <v>263</v>
      </c>
      <c r="J30" s="15">
        <f t="shared" ref="J30" ca="1" si="17">INDIRECT("'"&amp;$B30&amp;"'!$g$17")</f>
        <v>263</v>
      </c>
      <c r="K30" s="15">
        <f t="shared" ref="K30" ca="1" si="18">INDIRECT("'"&amp;$B30&amp;"'!$h$17")</f>
        <v>263</v>
      </c>
      <c r="L30" s="15">
        <f t="shared" ref="L30" ca="1" si="19">INDIRECT("'"&amp;$B30&amp;"'!$i$17")</f>
        <v>263</v>
      </c>
      <c r="M30" s="15">
        <f t="shared" ref="M30" ca="1" si="20">INDIRECT("'"&amp;$B30&amp;"'!$j$17")</f>
        <v>263</v>
      </c>
      <c r="N30" s="90">
        <f ca="1">IFERROR(INDIRECT("'"&amp;$B30&amp;"'!$j$17")/INDIRECT("'"&amp;$B30&amp;"'!$j$18"),1)</f>
        <v>3.1269506286597511E-4</v>
      </c>
      <c r="O30" s="2">
        <v>12</v>
      </c>
      <c r="V30" s="14"/>
      <c r="W30" s="14"/>
      <c r="X30" s="14"/>
      <c r="Y30" s="14"/>
      <c r="Z30" s="14"/>
      <c r="AA30" s="14"/>
    </row>
    <row r="31" spans="1:28" x14ac:dyDescent="0.25">
      <c r="A31" s="2">
        <f t="shared" si="0"/>
        <v>5</v>
      </c>
      <c r="B31" t="s">
        <v>140</v>
      </c>
      <c r="C31" t="s">
        <v>224</v>
      </c>
      <c r="D31" s="15">
        <f t="shared" ref="D31" ca="1" si="21">INDIRECT("'"&amp;$B31&amp;"'!$g$22")</f>
        <v>105755</v>
      </c>
      <c r="E31" s="15">
        <f t="shared" ref="E31" ca="1" si="22">INDIRECT("'"&amp;$B31&amp;"'!$h$22")</f>
        <v>105755</v>
      </c>
      <c r="F31" s="15">
        <f t="shared" ref="F31" ca="1" si="23">INDIRECT("'"&amp;$B31&amp;"'!$i$22")</f>
        <v>105755</v>
      </c>
      <c r="G31" s="15">
        <f t="shared" ref="G31" ca="1" si="24">INDIRECT("'"&amp;$B31&amp;"'!$j$22")</f>
        <v>105755</v>
      </c>
      <c r="H31" s="15">
        <f t="shared" ref="H31" ca="1" si="25">INDIRECT("'"&amp;$B31&amp;"'!$k$22")</f>
        <v>0</v>
      </c>
      <c r="I31" s="15">
        <f t="shared" ref="I31" ca="1" si="26">INDIRECT("'"&amp;$B31&amp;"'!$g$21")</f>
        <v>211</v>
      </c>
      <c r="J31" s="15">
        <f t="shared" ref="J31" ca="1" si="27">INDIRECT("'"&amp;$B31&amp;"'!$h$21")</f>
        <v>211</v>
      </c>
      <c r="K31" s="15">
        <f t="shared" ref="K31" ca="1" si="28">INDIRECT("'"&amp;$B31&amp;"'!$i$21")</f>
        <v>211</v>
      </c>
      <c r="L31" s="15">
        <f t="shared" ref="L31" ca="1" si="29">INDIRECT("'"&amp;$B31&amp;"'!$j$21")</f>
        <v>211</v>
      </c>
      <c r="M31" s="15">
        <f t="shared" ref="M31" ca="1" si="30">INDIRECT("'"&amp;$B31&amp;"'!$k$21")</f>
        <v>0</v>
      </c>
      <c r="N31" s="90">
        <f ca="1">IFERROR(INDIRECT("'"&amp;$B31&amp;"'!$k$21")/INDIRECT("'"&amp;$B31&amp;"'!$k$22"),1)</f>
        <v>1</v>
      </c>
      <c r="O31" s="2">
        <v>12</v>
      </c>
      <c r="V31" s="14"/>
      <c r="W31" s="14"/>
      <c r="X31" s="14"/>
      <c r="Y31" s="14"/>
      <c r="Z31" s="14"/>
      <c r="AA31" s="14"/>
    </row>
    <row r="32" spans="1:28" x14ac:dyDescent="0.25">
      <c r="A32" s="2">
        <f t="shared" si="0"/>
        <v>5</v>
      </c>
      <c r="B32" t="s">
        <v>140</v>
      </c>
      <c r="C32" t="s">
        <v>225</v>
      </c>
      <c r="D32" s="15">
        <f t="shared" ref="D32" ca="1" si="31">INDIRECT("'"&amp;$B32&amp;"'!$h$26")</f>
        <v>173474</v>
      </c>
      <c r="E32" s="15">
        <f t="shared" ref="E32" ca="1" si="32">INDIRECT("'"&amp;$B32&amp;"'!$i$26")</f>
        <v>173474</v>
      </c>
      <c r="F32" s="15">
        <f t="shared" ref="F32" ca="1" si="33">INDIRECT("'"&amp;$B32&amp;"'!$j$26")</f>
        <v>173474</v>
      </c>
      <c r="G32" s="15">
        <f t="shared" ref="G32" ca="1" si="34">INDIRECT("'"&amp;$B32&amp;"'!$k$26")</f>
        <v>0</v>
      </c>
      <c r="H32" s="15">
        <f t="shared" ref="H32" ca="1" si="35">INDIRECT("'"&amp;$B32&amp;"'!$l$26")</f>
        <v>0</v>
      </c>
      <c r="I32" s="15">
        <f t="shared" ref="I32" ca="1" si="36">INDIRECT("'"&amp;$B32&amp;"'!$h$25")</f>
        <v>166</v>
      </c>
      <c r="J32" s="15">
        <f t="shared" ref="J32" ca="1" si="37">INDIRECT("'"&amp;$B32&amp;"'!$i$25")</f>
        <v>166</v>
      </c>
      <c r="K32" s="15">
        <f t="shared" ref="K32" ca="1" si="38">INDIRECT("'"&amp;$B32&amp;"'!$j$25")</f>
        <v>166</v>
      </c>
      <c r="L32" s="15">
        <f t="shared" ref="L32" ca="1" si="39">INDIRECT("'"&amp;$B32&amp;"'!$k$25")</f>
        <v>0</v>
      </c>
      <c r="M32" s="15">
        <f t="shared" ref="M32" ca="1" si="40">INDIRECT("'"&amp;$B32&amp;"'!$l$25")</f>
        <v>0</v>
      </c>
      <c r="N32" s="90">
        <f ca="1">IFERROR(INDIRECT("'"&amp;$B32&amp;"'!$l$25")/INDIRECT("'"&amp;$B32&amp;"'!$l$26"),1)</f>
        <v>1</v>
      </c>
      <c r="O32" s="2">
        <v>12</v>
      </c>
      <c r="V32" s="14"/>
      <c r="W32" s="14"/>
      <c r="X32" s="14"/>
      <c r="Y32" s="14"/>
      <c r="Z32" s="14"/>
      <c r="AA32" s="14"/>
    </row>
    <row r="33" spans="1:27" x14ac:dyDescent="0.25">
      <c r="A33" s="2">
        <f t="shared" si="0"/>
        <v>5</v>
      </c>
      <c r="B33" t="s">
        <v>140</v>
      </c>
      <c r="C33" t="s">
        <v>229</v>
      </c>
      <c r="D33" s="15">
        <f t="shared" ref="D33" ca="1" si="41">INDIRECT("'"&amp;$B33&amp;"'!$i$30")</f>
        <v>286769.5</v>
      </c>
      <c r="E33" s="15">
        <f t="shared" ref="E33" ca="1" si="42">INDIRECT("'"&amp;$B33&amp;"'!$j$30")</f>
        <v>286769.5</v>
      </c>
      <c r="F33" s="15">
        <f t="shared" ref="F33" ca="1" si="43">INDIRECT("'"&amp;$B33&amp;"'!$k$30")</f>
        <v>0</v>
      </c>
      <c r="G33" s="15">
        <f t="shared" ref="G33" ca="1" si="44">INDIRECT("'"&amp;$B33&amp;"'!$l$30")</f>
        <v>0</v>
      </c>
      <c r="H33" s="15"/>
      <c r="I33" s="15">
        <f t="shared" ref="I33" ca="1" si="45">INDIRECT("'"&amp;$B33&amp;"'!$i$29")</f>
        <v>166.5</v>
      </c>
      <c r="J33" s="15">
        <f t="shared" ref="J33" ca="1" si="46">INDIRECT("'"&amp;$B33&amp;"'!$j$29")</f>
        <v>171.5</v>
      </c>
      <c r="K33" s="15">
        <f t="shared" ref="K33" ca="1" si="47">INDIRECT("'"&amp;$B33&amp;"'!$k$29")</f>
        <v>0</v>
      </c>
      <c r="L33" s="15">
        <f t="shared" ref="L33" ca="1" si="48">INDIRECT("'"&amp;$B33&amp;"'!$l$29")</f>
        <v>0</v>
      </c>
      <c r="M33" s="15"/>
      <c r="N33" s="90">
        <v>1</v>
      </c>
      <c r="O33" s="2">
        <v>12</v>
      </c>
      <c r="V33" s="14"/>
      <c r="W33" s="14"/>
      <c r="X33" s="14"/>
      <c r="Y33" s="14"/>
      <c r="Z33" s="14"/>
      <c r="AA33" s="14"/>
    </row>
    <row r="34" spans="1:27" x14ac:dyDescent="0.25">
      <c r="A34" s="2">
        <f t="shared" si="0"/>
        <v>5</v>
      </c>
      <c r="B34" t="s">
        <v>140</v>
      </c>
      <c r="C34" t="s">
        <v>230</v>
      </c>
      <c r="D34" s="15">
        <f t="shared" ref="D34" ca="1" si="49">INDIRECT("'"&amp;$B34&amp;"'!$j$34")</f>
        <v>121081</v>
      </c>
      <c r="E34" s="15">
        <f t="shared" ref="E34" ca="1" si="50">INDIRECT("'"&amp;$B34&amp;"'!$k$34")</f>
        <v>0</v>
      </c>
      <c r="F34" s="15">
        <f t="shared" ref="F34" ca="1" si="51">INDIRECT("'"&amp;$B34&amp;"'!$l$34")</f>
        <v>0</v>
      </c>
      <c r="G34" s="15"/>
      <c r="H34" s="15"/>
      <c r="I34" s="15">
        <f t="shared" ref="I34" ca="1" si="52">INDIRECT("'"&amp;$B34&amp;"'!$j$33")</f>
        <v>171</v>
      </c>
      <c r="J34" s="15">
        <f t="shared" ref="J34" ca="1" si="53">INDIRECT("'"&amp;$B34&amp;"'!$k$33")</f>
        <v>0</v>
      </c>
      <c r="K34" s="15">
        <f t="shared" ref="K34" ca="1" si="54">INDIRECT("'"&amp;$B34&amp;"'!$l$33")</f>
        <v>0</v>
      </c>
      <c r="L34" s="15"/>
      <c r="M34" s="15"/>
      <c r="N34" s="90">
        <v>1</v>
      </c>
      <c r="O34" s="2">
        <v>12</v>
      </c>
      <c r="V34" s="14"/>
      <c r="W34" s="14"/>
      <c r="X34" s="14"/>
      <c r="Y34" s="14"/>
      <c r="Z34" s="14"/>
      <c r="AA34" s="14"/>
    </row>
    <row r="35" spans="1:27" x14ac:dyDescent="0.25">
      <c r="A35" s="2">
        <f t="shared" si="0"/>
        <v>5</v>
      </c>
      <c r="B35" t="s">
        <v>140</v>
      </c>
      <c r="C35" t="s">
        <v>231</v>
      </c>
      <c r="D35" s="15">
        <f t="shared" ref="D35" ca="1" si="55">INDIRECT("'"&amp;$B35&amp;"'!$k$38")</f>
        <v>0</v>
      </c>
      <c r="E35" s="15">
        <f t="shared" ref="E35" ca="1" si="56">INDIRECT("'"&amp;$B35&amp;"'!$l$38")</f>
        <v>0</v>
      </c>
      <c r="F35" s="15"/>
      <c r="G35" s="15"/>
      <c r="H35" s="15"/>
      <c r="I35" s="15">
        <f t="shared" ref="I35" ca="1" si="57">INDIRECT("'"&amp;$B35&amp;"'!$k$37")</f>
        <v>0</v>
      </c>
      <c r="J35" s="15">
        <f t="shared" ref="J35" ca="1" si="58">INDIRECT("'"&amp;$B35&amp;"'!$l$37")</f>
        <v>0</v>
      </c>
      <c r="K35" s="15"/>
      <c r="L35" s="15"/>
      <c r="M35" s="15"/>
      <c r="N35" s="90">
        <v>1</v>
      </c>
      <c r="O35" s="2">
        <v>12</v>
      </c>
      <c r="V35" s="14"/>
      <c r="W35" s="14"/>
      <c r="X35" s="14"/>
      <c r="Y35" s="14"/>
      <c r="Z35" s="14"/>
      <c r="AA35" s="14"/>
    </row>
    <row r="36" spans="1:27" x14ac:dyDescent="0.25">
      <c r="A36" s="2">
        <f t="shared" si="0"/>
        <v>5</v>
      </c>
      <c r="B36" t="s">
        <v>140</v>
      </c>
      <c r="C36" t="s">
        <v>232</v>
      </c>
      <c r="D36" s="15">
        <f t="shared" ref="D36" ca="1" si="59">INDIRECT("'"&amp;$B36&amp;"'!$l$42")</f>
        <v>0</v>
      </c>
      <c r="E36" s="15"/>
      <c r="F36" s="15"/>
      <c r="G36" s="15"/>
      <c r="H36" s="15"/>
      <c r="I36" s="15">
        <f t="shared" ref="I36" ca="1" si="60">INDIRECT("'"&amp;$B36&amp;"'!$l$41")</f>
        <v>0</v>
      </c>
      <c r="J36" s="15"/>
      <c r="K36" s="15"/>
      <c r="L36" s="15"/>
      <c r="M36" s="15"/>
      <c r="N36" s="90">
        <v>1</v>
      </c>
      <c r="O36" s="2">
        <v>12</v>
      </c>
      <c r="V36" s="14"/>
      <c r="W36" s="14"/>
      <c r="X36" s="14"/>
      <c r="Y36" s="14"/>
      <c r="Z36" s="14"/>
      <c r="AA36" s="14"/>
    </row>
    <row r="37" spans="1:27" x14ac:dyDescent="0.25">
      <c r="A37" s="2">
        <f t="shared" si="0"/>
        <v>5</v>
      </c>
      <c r="B37" t="s">
        <v>105</v>
      </c>
      <c r="C37" t="s">
        <v>222</v>
      </c>
      <c r="D37" s="15">
        <f t="shared" ref="D37" ca="1" si="61">INDIRECT("'"&amp;$B37&amp;"'!$e$14")</f>
        <v>437097.7</v>
      </c>
      <c r="E37" s="15">
        <f t="shared" ref="E37" ca="1" si="62">INDIRECT("'"&amp;$B37&amp;"'!$f$14")</f>
        <v>432292.2</v>
      </c>
      <c r="F37" s="15">
        <f t="shared" ref="F37" ca="1" si="63">INDIRECT("'"&amp;$B37&amp;"'!$g$14")</f>
        <v>431867.2</v>
      </c>
      <c r="G37" s="15">
        <f t="shared" ref="G37" ca="1" si="64">INDIRECT("'"&amp;$B37&amp;"'!$h$14")</f>
        <v>430870.2</v>
      </c>
      <c r="H37" s="15">
        <f t="shared" ref="H37" ca="1" si="65">INDIRECT("'"&amp;$B37&amp;"'!$i$14")</f>
        <v>429592.2</v>
      </c>
      <c r="I37" s="15">
        <f t="shared" ref="I37" ca="1" si="66">INDIRECT("'"&amp;$B37&amp;"'!$e$13")</f>
        <v>81175.59</v>
      </c>
      <c r="J37" s="15">
        <f t="shared" ref="J37" ca="1" si="67">INDIRECT("'"&amp;$B37&amp;"'!$f$13")</f>
        <v>102201.72</v>
      </c>
      <c r="K37" s="15">
        <f t="shared" ref="K37" ca="1" si="68">INDIRECT("'"&amp;$B37&amp;"'!$g$13")</f>
        <v>126194.55</v>
      </c>
      <c r="L37" s="15">
        <f t="shared" ref="L37" ca="1" si="69">INDIRECT("'"&amp;$B37&amp;"'!$h$13")</f>
        <v>143139.15</v>
      </c>
      <c r="M37" s="15">
        <f t="shared" ref="M37" ca="1" si="70">INDIRECT("'"&amp;$B37&amp;"'!$i$13")</f>
        <v>158066.42000000001</v>
      </c>
      <c r="N37" s="90">
        <f ca="1">IFERROR(INDIRECT("'"&amp;$B37&amp;"'!$i$13")/INDIRECT("'"&amp;$B37&amp;"'!$i$14"),1)</f>
        <v>0.36794527461159676</v>
      </c>
      <c r="O37" s="2">
        <v>12</v>
      </c>
    </row>
    <row r="38" spans="1:27" x14ac:dyDescent="0.25">
      <c r="A38" s="2">
        <f t="shared" si="0"/>
        <v>5</v>
      </c>
      <c r="B38" t="s">
        <v>105</v>
      </c>
      <c r="C38" t="s">
        <v>223</v>
      </c>
      <c r="D38" s="15">
        <f t="shared" ref="D38" ca="1" si="71">INDIRECT("'"&amp;$B38&amp;"'!$f$18")</f>
        <v>439055.9</v>
      </c>
      <c r="E38" s="15">
        <f t="shared" ref="E38" ca="1" si="72">INDIRECT("'"&amp;$B38&amp;"'!$g$18")</f>
        <v>434306.9</v>
      </c>
      <c r="F38" s="15">
        <f t="shared" ref="F38" ca="1" si="73">INDIRECT("'"&amp;$B38&amp;"'!$h$18")</f>
        <v>432490.9</v>
      </c>
      <c r="G38" s="15">
        <f t="shared" ref="G38" ca="1" si="74">INDIRECT("'"&amp;$B38&amp;"'!$i$18")</f>
        <v>431390.9</v>
      </c>
      <c r="H38" s="15">
        <f t="shared" ref="H38" ca="1" si="75">INDIRECT("'"&amp;$B38&amp;"'!$j$18")</f>
        <v>430940.9</v>
      </c>
      <c r="I38" s="15">
        <f t="shared" ref="I38" ca="1" si="76">INDIRECT("'"&amp;$B38&amp;"'!$f$17")</f>
        <v>77127.429999999993</v>
      </c>
      <c r="J38" s="15">
        <f t="shared" ref="J38" ca="1" si="77">INDIRECT("'"&amp;$B38&amp;"'!$g$17")</f>
        <v>104279.34</v>
      </c>
      <c r="K38" s="15">
        <f t="shared" ref="K38" ca="1" si="78">INDIRECT("'"&amp;$B38&amp;"'!$h$17")</f>
        <v>124662.41</v>
      </c>
      <c r="L38" s="15">
        <f t="shared" ref="L38" ca="1" si="79">INDIRECT("'"&amp;$B38&amp;"'!$i$17")</f>
        <v>140158.78</v>
      </c>
      <c r="M38" s="15">
        <f t="shared" ref="M38" ca="1" si="80">INDIRECT("'"&amp;$B38&amp;"'!$j$17")</f>
        <v>160052.10999999999</v>
      </c>
      <c r="N38" s="90">
        <f ca="1">IFERROR(INDIRECT("'"&amp;$B38&amp;"'!$j$17")/INDIRECT("'"&amp;$B38&amp;"'!$j$18"),1)</f>
        <v>0.37140153092918304</v>
      </c>
      <c r="O38" s="2">
        <v>12</v>
      </c>
    </row>
    <row r="39" spans="1:27" x14ac:dyDescent="0.25">
      <c r="A39" s="2">
        <f t="shared" si="0"/>
        <v>5</v>
      </c>
      <c r="B39" t="s">
        <v>105</v>
      </c>
      <c r="C39" t="s">
        <v>224</v>
      </c>
      <c r="D39" s="15">
        <f t="shared" ref="D39" ca="1" si="81">INDIRECT("'"&amp;$B39&amp;"'!$g$22")</f>
        <v>228683.88</v>
      </c>
      <c r="E39" s="15">
        <f t="shared" ref="E39" ca="1" si="82">INDIRECT("'"&amp;$B39&amp;"'!$h$22")</f>
        <v>223782.88</v>
      </c>
      <c r="F39" s="15">
        <f t="shared" ref="F39" ca="1" si="83">INDIRECT("'"&amp;$B39&amp;"'!$i$22")</f>
        <v>222100.88</v>
      </c>
      <c r="G39" s="15">
        <f t="shared" ref="G39" ca="1" si="84">INDIRECT("'"&amp;$B39&amp;"'!$j$22")</f>
        <v>221704.88</v>
      </c>
      <c r="H39" s="15">
        <f t="shared" ref="H39" ca="1" si="85">INDIRECT("'"&amp;$B39&amp;"'!$k$22")</f>
        <v>0</v>
      </c>
      <c r="I39" s="15">
        <f t="shared" ref="I39" ca="1" si="86">INDIRECT("'"&amp;$B39&amp;"'!$g$21")</f>
        <v>54757.66</v>
      </c>
      <c r="J39" s="15">
        <f t="shared" ref="J39" ca="1" si="87">INDIRECT("'"&amp;$B39&amp;"'!$h$21")</f>
        <v>69999.240000000005</v>
      </c>
      <c r="K39" s="15">
        <f t="shared" ref="K39" ca="1" si="88">INDIRECT("'"&amp;$B39&amp;"'!$i$21")</f>
        <v>79854.34</v>
      </c>
      <c r="L39" s="15">
        <f t="shared" ref="L39" ca="1" si="89">INDIRECT("'"&amp;$B39&amp;"'!$j$21")</f>
        <v>86937.33</v>
      </c>
      <c r="M39" s="15">
        <f t="shared" ref="M39" ca="1" si="90">INDIRECT("'"&amp;$B39&amp;"'!$k$21")</f>
        <v>0</v>
      </c>
      <c r="N39" s="90">
        <f ca="1">IFERROR(INDIRECT("'"&amp;$B39&amp;"'!$k$21")/INDIRECT("'"&amp;$B39&amp;"'!$k$22"),1)</f>
        <v>1</v>
      </c>
      <c r="O39" s="2">
        <v>12</v>
      </c>
    </row>
    <row r="40" spans="1:27" x14ac:dyDescent="0.25">
      <c r="A40" s="2">
        <f t="shared" si="0"/>
        <v>5</v>
      </c>
      <c r="B40" t="s">
        <v>105</v>
      </c>
      <c r="C40" t="s">
        <v>225</v>
      </c>
      <c r="D40" s="15">
        <f t="shared" ref="D40" ca="1" si="91">INDIRECT("'"&amp;$B40&amp;"'!$h$26")</f>
        <v>401132.71</v>
      </c>
      <c r="E40" s="15">
        <f t="shared" ref="E40" ca="1" si="92">INDIRECT("'"&amp;$B40&amp;"'!$i$26")</f>
        <v>395201.71</v>
      </c>
      <c r="F40" s="15">
        <f t="shared" ref="F40" ca="1" si="93">INDIRECT("'"&amp;$B40&amp;"'!$j$26")</f>
        <v>391883.71</v>
      </c>
      <c r="G40" s="15">
        <f t="shared" ref="G40" ca="1" si="94">INDIRECT("'"&amp;$B40&amp;"'!$k$26")</f>
        <v>0</v>
      </c>
      <c r="H40" s="15">
        <f t="shared" ref="H40" ca="1" si="95">INDIRECT("'"&amp;$B40&amp;"'!$l$26")</f>
        <v>0</v>
      </c>
      <c r="I40" s="15">
        <f t="shared" ref="I40" ca="1" si="96">INDIRECT("'"&amp;$B40&amp;"'!$h$25")</f>
        <v>72301.58</v>
      </c>
      <c r="J40" s="15">
        <f t="shared" ref="J40" ca="1" si="97">INDIRECT("'"&amp;$B40&amp;"'!$i$25")</f>
        <v>101754.24000000001</v>
      </c>
      <c r="K40" s="15">
        <f t="shared" ref="K40" ca="1" si="98">INDIRECT("'"&amp;$B40&amp;"'!$j$25")</f>
        <v>126082.08</v>
      </c>
      <c r="L40" s="15">
        <f t="shared" ref="L40" ca="1" si="99">INDIRECT("'"&amp;$B40&amp;"'!$k$25")</f>
        <v>0</v>
      </c>
      <c r="M40" s="15">
        <f t="shared" ref="M40" ca="1" si="100">INDIRECT("'"&amp;$B40&amp;"'!$l$25")</f>
        <v>0</v>
      </c>
      <c r="N40" s="90">
        <f ca="1">IFERROR(INDIRECT("'"&amp;$B40&amp;"'!$l$25")/INDIRECT("'"&amp;$B40&amp;"'!$l$26"),1)</f>
        <v>1</v>
      </c>
      <c r="O40" s="2">
        <v>12</v>
      </c>
    </row>
    <row r="41" spans="1:27" x14ac:dyDescent="0.25">
      <c r="A41" s="2">
        <f t="shared" si="0"/>
        <v>5</v>
      </c>
      <c r="B41" t="s">
        <v>105</v>
      </c>
      <c r="C41" t="s">
        <v>229</v>
      </c>
      <c r="D41" s="15">
        <f t="shared" ref="D41" ca="1" si="101">INDIRECT("'"&amp;$B41&amp;"'!$i$30")</f>
        <v>418904.45</v>
      </c>
      <c r="E41" s="15">
        <f t="shared" ref="E41" ca="1" si="102">INDIRECT("'"&amp;$B41&amp;"'!$j$30")</f>
        <v>410622.45</v>
      </c>
      <c r="F41" s="15">
        <f t="shared" ref="F41" ca="1" si="103">INDIRECT("'"&amp;$B41&amp;"'!$k$30")</f>
        <v>0</v>
      </c>
      <c r="G41" s="15">
        <f t="shared" ref="G41" ca="1" si="104">INDIRECT("'"&amp;$B41&amp;"'!$l$30")</f>
        <v>0</v>
      </c>
      <c r="H41" s="15"/>
      <c r="I41" s="15">
        <f t="shared" ref="I41" ca="1" si="105">INDIRECT("'"&amp;$B41&amp;"'!$i$29")</f>
        <v>67348.58</v>
      </c>
      <c r="J41" s="15">
        <f t="shared" ref="J41" ca="1" si="106">INDIRECT("'"&amp;$B41&amp;"'!$j$29")</f>
        <v>96098.47</v>
      </c>
      <c r="K41" s="15">
        <f t="shared" ref="K41" ca="1" si="107">INDIRECT("'"&amp;$B41&amp;"'!$k$29")</f>
        <v>0</v>
      </c>
      <c r="L41" s="15">
        <f t="shared" ref="L41" ca="1" si="108">INDIRECT("'"&amp;$B41&amp;"'!$l$29")</f>
        <v>0</v>
      </c>
      <c r="M41" s="15"/>
      <c r="N41" s="90">
        <v>1</v>
      </c>
      <c r="O41" s="2">
        <v>12</v>
      </c>
    </row>
    <row r="42" spans="1:27" x14ac:dyDescent="0.25">
      <c r="A42" s="2">
        <f t="shared" si="0"/>
        <v>5</v>
      </c>
      <c r="B42" t="s">
        <v>105</v>
      </c>
      <c r="C42" t="s">
        <v>230</v>
      </c>
      <c r="D42" s="15">
        <f t="shared" ref="D42" ca="1" si="109">INDIRECT("'"&amp;$B42&amp;"'!$j$34")</f>
        <v>376390</v>
      </c>
      <c r="E42" s="15">
        <f t="shared" ref="E42" ca="1" si="110">INDIRECT("'"&amp;$B42&amp;"'!$k$34")</f>
        <v>0</v>
      </c>
      <c r="F42" s="15">
        <f t="shared" ref="F42" ca="1" si="111">INDIRECT("'"&amp;$B42&amp;"'!$l$34")</f>
        <v>0</v>
      </c>
      <c r="G42" s="15"/>
      <c r="H42" s="15"/>
      <c r="I42" s="15">
        <f t="shared" ref="I42" ca="1" si="112">INDIRECT("'"&amp;$B42&amp;"'!$j$33")</f>
        <v>76454.740000000005</v>
      </c>
      <c r="J42" s="15">
        <f t="shared" ref="J42" ca="1" si="113">INDIRECT("'"&amp;$B42&amp;"'!$k$33")</f>
        <v>0</v>
      </c>
      <c r="K42" s="15">
        <f t="shared" ref="K42" ca="1" si="114">INDIRECT("'"&amp;$B42&amp;"'!$l$33")</f>
        <v>0</v>
      </c>
      <c r="L42" s="15"/>
      <c r="M42" s="15"/>
      <c r="N42" s="90">
        <v>1</v>
      </c>
      <c r="O42" s="2">
        <v>12</v>
      </c>
    </row>
    <row r="43" spans="1:27" x14ac:dyDescent="0.25">
      <c r="A43" s="2">
        <f t="shared" si="0"/>
        <v>5</v>
      </c>
      <c r="B43" t="s">
        <v>105</v>
      </c>
      <c r="C43" t="s">
        <v>231</v>
      </c>
      <c r="D43" s="15">
        <f t="shared" ref="D43" ca="1" si="115">INDIRECT("'"&amp;$B43&amp;"'!$k$38")</f>
        <v>0</v>
      </c>
      <c r="E43" s="15">
        <f t="shared" ref="E43" ca="1" si="116">INDIRECT("'"&amp;$B43&amp;"'!$l$38")</f>
        <v>0</v>
      </c>
      <c r="F43" s="15"/>
      <c r="G43" s="15"/>
      <c r="H43" s="15"/>
      <c r="I43" s="15">
        <f t="shared" ref="I43" ca="1" si="117">INDIRECT("'"&amp;$B43&amp;"'!$k$37")</f>
        <v>0</v>
      </c>
      <c r="J43" s="15">
        <f t="shared" ref="J43" ca="1" si="118">INDIRECT("'"&amp;$B43&amp;"'!$l$37")</f>
        <v>0</v>
      </c>
      <c r="K43" s="15"/>
      <c r="L43" s="15"/>
      <c r="M43" s="15"/>
      <c r="N43" s="90">
        <v>1</v>
      </c>
      <c r="O43" s="2">
        <v>12</v>
      </c>
    </row>
    <row r="44" spans="1:27" x14ac:dyDescent="0.25">
      <c r="A44" s="2">
        <f t="shared" si="0"/>
        <v>5</v>
      </c>
      <c r="B44" t="s">
        <v>105</v>
      </c>
      <c r="C44" t="s">
        <v>232</v>
      </c>
      <c r="D44" s="15">
        <f t="shared" ref="D44" ca="1" si="119">INDIRECT("'"&amp;$B44&amp;"'!$l$42")</f>
        <v>0</v>
      </c>
      <c r="E44" s="15"/>
      <c r="F44" s="15"/>
      <c r="G44" s="15"/>
      <c r="H44" s="15"/>
      <c r="I44" s="15">
        <f t="shared" ref="I44" ca="1" si="120">INDIRECT("'"&amp;$B44&amp;"'!$l$41")</f>
        <v>0</v>
      </c>
      <c r="J44" s="15"/>
      <c r="K44" s="15"/>
      <c r="L44" s="15"/>
      <c r="M44" s="15"/>
      <c r="N44" s="90">
        <v>1</v>
      </c>
      <c r="O44" s="2">
        <v>12</v>
      </c>
    </row>
    <row r="45" spans="1:27" x14ac:dyDescent="0.25">
      <c r="A45" s="2">
        <f t="shared" si="0"/>
        <v>5</v>
      </c>
      <c r="B45" t="s">
        <v>111</v>
      </c>
      <c r="C45" t="s">
        <v>222</v>
      </c>
      <c r="D45" s="15">
        <f t="shared" ref="D45" ca="1" si="121">INDIRECT("'"&amp;$B45&amp;"'!$e$14")</f>
        <v>28571.05</v>
      </c>
      <c r="E45" s="15">
        <f t="shared" ref="E45" ca="1" si="122">INDIRECT("'"&amp;$B45&amp;"'!$f$14")</f>
        <v>27971.05</v>
      </c>
      <c r="F45" s="15">
        <f t="shared" ref="F45" ca="1" si="123">INDIRECT("'"&amp;$B45&amp;"'!$g$14")</f>
        <v>27671.05</v>
      </c>
      <c r="G45" s="15">
        <f t="shared" ref="G45" ca="1" si="124">INDIRECT("'"&amp;$B45&amp;"'!$h$14")</f>
        <v>27171.05</v>
      </c>
      <c r="H45" s="15">
        <f t="shared" ref="H45" ca="1" si="125">INDIRECT("'"&amp;$B45&amp;"'!$i$14")</f>
        <v>27121.05</v>
      </c>
      <c r="I45" s="15">
        <f t="shared" ref="I45" ca="1" si="126">INDIRECT("'"&amp;$B45&amp;"'!$e$13")</f>
        <v>550.54999999999995</v>
      </c>
      <c r="J45" s="15">
        <f t="shared" ref="J45" ca="1" si="127">INDIRECT("'"&amp;$B45&amp;"'!$f$13")</f>
        <v>657.55</v>
      </c>
      <c r="K45" s="15">
        <f t="shared" ref="K45" ca="1" si="128">INDIRECT("'"&amp;$B45&amp;"'!$g$13")</f>
        <v>757.55</v>
      </c>
      <c r="L45" s="15">
        <f t="shared" ref="L45" ca="1" si="129">INDIRECT("'"&amp;$B45&amp;"'!$h$13")</f>
        <v>952.55</v>
      </c>
      <c r="M45" s="15">
        <f t="shared" ref="M45" ca="1" si="130">INDIRECT("'"&amp;$B45&amp;"'!$i$13")</f>
        <v>1002.55</v>
      </c>
      <c r="N45" s="90">
        <f ca="1">IFERROR(INDIRECT("'"&amp;$B45&amp;"'!$i$13")/INDIRECT("'"&amp;$B45&amp;"'!$i$14"),1)</f>
        <v>3.6965751694716831E-2</v>
      </c>
      <c r="O45" s="2">
        <v>12</v>
      </c>
    </row>
    <row r="46" spans="1:27" x14ac:dyDescent="0.25">
      <c r="A46" s="2">
        <f t="shared" si="0"/>
        <v>5</v>
      </c>
      <c r="B46" t="s">
        <v>111</v>
      </c>
      <c r="C46" t="s">
        <v>223</v>
      </c>
      <c r="D46" s="15">
        <f t="shared" ref="D46" ca="1" si="131">INDIRECT("'"&amp;$B46&amp;"'!$f$18")</f>
        <v>24149.200000000001</v>
      </c>
      <c r="E46" s="15">
        <f t="shared" ref="E46" ca="1" si="132">INDIRECT("'"&amp;$B46&amp;"'!$g$18")</f>
        <v>23899.200000000001</v>
      </c>
      <c r="F46" s="15">
        <f t="shared" ref="F46" ca="1" si="133">INDIRECT("'"&amp;$B46&amp;"'!$h$18")</f>
        <v>23149.200000000001</v>
      </c>
      <c r="G46" s="15">
        <f t="shared" ref="G46" ca="1" si="134">INDIRECT("'"&amp;$B46&amp;"'!$i$18")</f>
        <v>23049.200000000001</v>
      </c>
      <c r="H46" s="15">
        <f t="shared" ref="H46" ca="1" si="135">INDIRECT("'"&amp;$B46&amp;"'!$j$18")</f>
        <v>22899.200000000001</v>
      </c>
      <c r="I46" s="15">
        <f t="shared" ref="I46" ca="1" si="136">INDIRECT("'"&amp;$B46&amp;"'!$f$17")</f>
        <v>901.2</v>
      </c>
      <c r="J46" s="15">
        <f t="shared" ref="J46" ca="1" si="137">INDIRECT("'"&amp;$B46&amp;"'!$g$17")</f>
        <v>1001.2</v>
      </c>
      <c r="K46" s="15">
        <f t="shared" ref="K46" ca="1" si="138">INDIRECT("'"&amp;$B46&amp;"'!$h$17")</f>
        <v>1419.2</v>
      </c>
      <c r="L46" s="15">
        <f t="shared" ref="L46" ca="1" si="139">INDIRECT("'"&amp;$B46&amp;"'!$i$17")</f>
        <v>1545.7</v>
      </c>
      <c r="M46" s="15">
        <f t="shared" ref="M46" ca="1" si="140">INDIRECT("'"&amp;$B46&amp;"'!$j$17")</f>
        <v>1595.7</v>
      </c>
      <c r="N46" s="90">
        <f ca="1">IFERROR(INDIRECT("'"&amp;$B46&amp;"'!$j$17")/INDIRECT("'"&amp;$B46&amp;"'!$j$18"),1)</f>
        <v>6.9683657070989377E-2</v>
      </c>
      <c r="O46" s="2">
        <v>12</v>
      </c>
    </row>
    <row r="47" spans="1:27" x14ac:dyDescent="0.25">
      <c r="A47" s="2">
        <f t="shared" si="0"/>
        <v>5</v>
      </c>
      <c r="B47" t="s">
        <v>111</v>
      </c>
      <c r="C47" t="s">
        <v>224</v>
      </c>
      <c r="D47" s="15">
        <f t="shared" ref="D47" ca="1" si="141">INDIRECT("'"&amp;$B47&amp;"'!$g$22")</f>
        <v>19468.849999999999</v>
      </c>
      <c r="E47" s="15">
        <f t="shared" ref="E47" ca="1" si="142">INDIRECT("'"&amp;$B47&amp;"'!$h$22")</f>
        <v>19218.849999999999</v>
      </c>
      <c r="F47" s="15">
        <f t="shared" ref="F47" ca="1" si="143">INDIRECT("'"&amp;$B47&amp;"'!$i$22")</f>
        <v>19068.849999999999</v>
      </c>
      <c r="G47" s="15">
        <f t="shared" ref="G47" ca="1" si="144">INDIRECT("'"&amp;$B47&amp;"'!$j$22")</f>
        <v>18818.849999999999</v>
      </c>
      <c r="H47" s="15">
        <f t="shared" ref="H47" ca="1" si="145">INDIRECT("'"&amp;$B47&amp;"'!$k$22")</f>
        <v>0</v>
      </c>
      <c r="I47" s="15">
        <f t="shared" ref="I47" ca="1" si="146">INDIRECT("'"&amp;$B47&amp;"'!$g$21")</f>
        <v>281.35000000000002</v>
      </c>
      <c r="J47" s="15">
        <f t="shared" ref="J47" ca="1" si="147">INDIRECT("'"&amp;$B47&amp;"'!$h$21")</f>
        <v>426.35</v>
      </c>
      <c r="K47" s="15">
        <f t="shared" ref="K47" ca="1" si="148">INDIRECT("'"&amp;$B47&amp;"'!$i$21")</f>
        <v>526.35</v>
      </c>
      <c r="L47" s="15">
        <f t="shared" ref="L47" ca="1" si="149">INDIRECT("'"&amp;$B47&amp;"'!$j$21")</f>
        <v>576.35</v>
      </c>
      <c r="M47" s="15">
        <f t="shared" ref="M47" ca="1" si="150">INDIRECT("'"&amp;$B47&amp;"'!$k$21")</f>
        <v>0</v>
      </c>
      <c r="N47" s="90">
        <f ca="1">IFERROR(INDIRECT("'"&amp;$B47&amp;"'!$k$21")/INDIRECT("'"&amp;$B47&amp;"'!$k$22"),1)</f>
        <v>1</v>
      </c>
      <c r="O47" s="2">
        <v>12</v>
      </c>
    </row>
    <row r="48" spans="1:27" x14ac:dyDescent="0.25">
      <c r="A48" s="2">
        <f t="shared" si="0"/>
        <v>5</v>
      </c>
      <c r="B48" t="s">
        <v>111</v>
      </c>
      <c r="C48" t="s">
        <v>225</v>
      </c>
      <c r="D48" s="15">
        <f t="shared" ref="D48" ca="1" si="151">INDIRECT("'"&amp;$B48&amp;"'!$h$26")</f>
        <v>21650.5</v>
      </c>
      <c r="E48" s="15">
        <f t="shared" ref="E48" ca="1" si="152">INDIRECT("'"&amp;$B48&amp;"'!$i$26")</f>
        <v>21000.5</v>
      </c>
      <c r="F48" s="15">
        <f t="shared" ref="F48" ca="1" si="153">INDIRECT("'"&amp;$B48&amp;"'!$j$26")</f>
        <v>20400.5</v>
      </c>
      <c r="G48" s="15">
        <f t="shared" ref="G48" ca="1" si="154">INDIRECT("'"&amp;$B48&amp;"'!$k$26")</f>
        <v>0</v>
      </c>
      <c r="H48" s="15">
        <f t="shared" ref="H48" ca="1" si="155">INDIRECT("'"&amp;$B48&amp;"'!$l$26")</f>
        <v>0</v>
      </c>
      <c r="I48" s="15">
        <f t="shared" ref="I48" ca="1" si="156">INDIRECT("'"&amp;$B48&amp;"'!$h$25")</f>
        <v>943</v>
      </c>
      <c r="J48" s="15">
        <f t="shared" ref="J48" ca="1" si="157">INDIRECT("'"&amp;$B48&amp;"'!$i$25")</f>
        <v>1449.5</v>
      </c>
      <c r="K48" s="15">
        <f t="shared" ref="K48" ca="1" si="158">INDIRECT("'"&amp;$B48&amp;"'!$j$25")</f>
        <v>1706</v>
      </c>
      <c r="L48" s="15">
        <f t="shared" ref="L48" ca="1" si="159">INDIRECT("'"&amp;$B48&amp;"'!$k$25")</f>
        <v>0</v>
      </c>
      <c r="M48" s="15">
        <f t="shared" ref="M48" ca="1" si="160">INDIRECT("'"&amp;$B48&amp;"'!$l$25")</f>
        <v>0</v>
      </c>
      <c r="N48" s="90">
        <f ca="1">IFERROR(INDIRECT("'"&amp;$B48&amp;"'!$l$25")/INDIRECT("'"&amp;$B48&amp;"'!$l$26"),1)</f>
        <v>1</v>
      </c>
      <c r="O48" s="2">
        <v>12</v>
      </c>
    </row>
    <row r="49" spans="1:15" x14ac:dyDescent="0.25">
      <c r="A49" s="2">
        <f t="shared" si="0"/>
        <v>5</v>
      </c>
      <c r="B49" t="s">
        <v>111</v>
      </c>
      <c r="C49" t="s">
        <v>229</v>
      </c>
      <c r="D49" s="15">
        <f t="shared" ref="D49" ca="1" si="161">INDIRECT("'"&amp;$B49&amp;"'!$i$30")</f>
        <v>25702.75</v>
      </c>
      <c r="E49" s="15">
        <f t="shared" ref="E49" ca="1" si="162">INDIRECT("'"&amp;$B49&amp;"'!$j$30")</f>
        <v>24502.75</v>
      </c>
      <c r="F49" s="15">
        <f t="shared" ref="F49" ca="1" si="163">INDIRECT("'"&amp;$B49&amp;"'!$k$30")</f>
        <v>0</v>
      </c>
      <c r="G49" s="15">
        <f t="shared" ref="G49" ca="1" si="164">INDIRECT("'"&amp;$B49&amp;"'!$l$30")</f>
        <v>0</v>
      </c>
      <c r="H49" s="15"/>
      <c r="I49" s="15">
        <f t="shared" ref="I49" ca="1" si="165">INDIRECT("'"&amp;$B49&amp;"'!$i$29")</f>
        <v>984.25</v>
      </c>
      <c r="J49" s="15">
        <f t="shared" ref="J49" ca="1" si="166">INDIRECT("'"&amp;$B49&amp;"'!$j$29")</f>
        <v>1252.25</v>
      </c>
      <c r="K49" s="15">
        <f t="shared" ref="K49" ca="1" si="167">INDIRECT("'"&amp;$B49&amp;"'!$k$29")</f>
        <v>0</v>
      </c>
      <c r="L49" s="15">
        <f t="shared" ref="L49" ca="1" si="168">INDIRECT("'"&amp;$B49&amp;"'!$l$29")</f>
        <v>0</v>
      </c>
      <c r="M49" s="15"/>
      <c r="N49" s="90">
        <v>1</v>
      </c>
      <c r="O49" s="2">
        <v>12</v>
      </c>
    </row>
    <row r="50" spans="1:15" x14ac:dyDescent="0.25">
      <c r="A50" s="2">
        <f t="shared" si="0"/>
        <v>5</v>
      </c>
      <c r="B50" t="s">
        <v>111</v>
      </c>
      <c r="C50" t="s">
        <v>230</v>
      </c>
      <c r="D50" s="15">
        <f t="shared" ref="D50" ca="1" si="169">INDIRECT("'"&amp;$B50&amp;"'!$j$34")</f>
        <v>20283.5</v>
      </c>
      <c r="E50" s="15">
        <f t="shared" ref="E50" ca="1" si="170">INDIRECT("'"&amp;$B50&amp;"'!$k$34")</f>
        <v>0</v>
      </c>
      <c r="F50" s="15">
        <f t="shared" ref="F50" ca="1" si="171">INDIRECT("'"&amp;$B50&amp;"'!$l$34")</f>
        <v>0</v>
      </c>
      <c r="G50" s="15"/>
      <c r="H50" s="15"/>
      <c r="I50" s="15">
        <f t="shared" ref="I50" ca="1" si="172">INDIRECT("'"&amp;$B50&amp;"'!$j$33")</f>
        <v>655</v>
      </c>
      <c r="J50" s="15">
        <f t="shared" ref="J50" ca="1" si="173">INDIRECT("'"&amp;$B50&amp;"'!$k$33")</f>
        <v>0</v>
      </c>
      <c r="K50" s="15">
        <f t="shared" ref="K50" ca="1" si="174">INDIRECT("'"&amp;$B50&amp;"'!$l$33")</f>
        <v>0</v>
      </c>
      <c r="L50" s="15"/>
      <c r="M50" s="15"/>
      <c r="N50" s="90">
        <v>1</v>
      </c>
      <c r="O50" s="2">
        <v>12</v>
      </c>
    </row>
    <row r="51" spans="1:15" x14ac:dyDescent="0.25">
      <c r="A51" s="2">
        <f t="shared" si="0"/>
        <v>5</v>
      </c>
      <c r="B51" t="s">
        <v>111</v>
      </c>
      <c r="C51" t="s">
        <v>231</v>
      </c>
      <c r="D51" s="15">
        <f t="shared" ref="D51" ca="1" si="175">INDIRECT("'"&amp;$B51&amp;"'!$k$38")</f>
        <v>0</v>
      </c>
      <c r="E51" s="15">
        <f t="shared" ref="E51" ca="1" si="176">INDIRECT("'"&amp;$B51&amp;"'!$l$38")</f>
        <v>0</v>
      </c>
      <c r="F51" s="15"/>
      <c r="G51" s="15"/>
      <c r="H51" s="15"/>
      <c r="I51" s="15">
        <f t="shared" ref="I51" ca="1" si="177">INDIRECT("'"&amp;$B51&amp;"'!$k$37")</f>
        <v>0</v>
      </c>
      <c r="J51" s="15">
        <f t="shared" ref="J51" ca="1" si="178">INDIRECT("'"&amp;$B51&amp;"'!$l$37")</f>
        <v>0</v>
      </c>
      <c r="K51" s="15"/>
      <c r="L51" s="15"/>
      <c r="M51" s="15"/>
      <c r="N51" s="90">
        <v>1</v>
      </c>
      <c r="O51" s="2">
        <v>12</v>
      </c>
    </row>
    <row r="52" spans="1:15" x14ac:dyDescent="0.25">
      <c r="A52" s="2">
        <f t="shared" si="0"/>
        <v>5</v>
      </c>
      <c r="B52" t="s">
        <v>111</v>
      </c>
      <c r="C52" t="s">
        <v>232</v>
      </c>
      <c r="D52" s="15">
        <f t="shared" ref="D52" ca="1" si="179">INDIRECT("'"&amp;$B52&amp;"'!$l$42")</f>
        <v>0</v>
      </c>
      <c r="E52" s="15"/>
      <c r="F52" s="15"/>
      <c r="G52" s="15"/>
      <c r="H52" s="15"/>
      <c r="I52" s="15">
        <f t="shared" ref="I52" ca="1" si="180">INDIRECT("'"&amp;$B52&amp;"'!$l$41")</f>
        <v>0</v>
      </c>
      <c r="J52" s="15"/>
      <c r="K52" s="15"/>
      <c r="L52" s="15"/>
      <c r="M52" s="15"/>
      <c r="N52" s="90">
        <v>1</v>
      </c>
      <c r="O52" s="2">
        <v>12</v>
      </c>
    </row>
    <row r="53" spans="1:15" x14ac:dyDescent="0.25">
      <c r="A53" s="2">
        <f t="shared" si="0"/>
        <v>5</v>
      </c>
      <c r="B53" t="s">
        <v>109</v>
      </c>
      <c r="C53" t="s">
        <v>222</v>
      </c>
      <c r="D53" s="15">
        <f t="shared" ref="D53" ca="1" si="181">INDIRECT("'"&amp;$B53&amp;"'!$e$14")</f>
        <v>590444.48</v>
      </c>
      <c r="E53" s="15">
        <f t="shared" ref="E53" ca="1" si="182">INDIRECT("'"&amp;$B53&amp;"'!$f$14")</f>
        <v>580927.48</v>
      </c>
      <c r="F53" s="15">
        <f t="shared" ref="F53" ca="1" si="183">INDIRECT("'"&amp;$B53&amp;"'!$g$14")</f>
        <v>572016.48</v>
      </c>
      <c r="G53" s="15">
        <f t="shared" ref="G53" ca="1" si="184">INDIRECT("'"&amp;$B53&amp;"'!$h$14")</f>
        <v>570286.48</v>
      </c>
      <c r="H53" s="15">
        <f t="shared" ref="H53" ca="1" si="185">INDIRECT("'"&amp;$B53&amp;"'!$i$14")</f>
        <v>569404.48</v>
      </c>
      <c r="I53" s="15">
        <f t="shared" ref="I53" ca="1" si="186">INDIRECT("'"&amp;$B53&amp;"'!$e$13")</f>
        <v>119041.13</v>
      </c>
      <c r="J53" s="15">
        <f t="shared" ref="J53" ca="1" si="187">INDIRECT("'"&amp;$B53&amp;"'!$f$13")</f>
        <v>180912.42</v>
      </c>
      <c r="K53" s="15">
        <f t="shared" ref="K53" ca="1" si="188">INDIRECT("'"&amp;$B53&amp;"'!$g$13")</f>
        <v>232894.27</v>
      </c>
      <c r="L53" s="15">
        <f t="shared" ref="L53" ca="1" si="189">INDIRECT("'"&amp;$B53&amp;"'!$h$13")</f>
        <v>280352.07</v>
      </c>
      <c r="M53" s="15">
        <f t="shared" ref="M53" ca="1" si="190">INDIRECT("'"&amp;$B53&amp;"'!$i$13")</f>
        <v>304979.44</v>
      </c>
      <c r="N53" s="90">
        <f ca="1">IFERROR(INDIRECT("'"&amp;$B53&amp;"'!$i$13")/INDIRECT("'"&amp;$B53&amp;"'!$i$14"),1)</f>
        <v>0.53561124071240185</v>
      </c>
      <c r="O53" s="2">
        <v>12</v>
      </c>
    </row>
    <row r="54" spans="1:15" x14ac:dyDescent="0.25">
      <c r="A54" s="2">
        <f t="shared" si="0"/>
        <v>5</v>
      </c>
      <c r="B54" t="s">
        <v>109</v>
      </c>
      <c r="C54" t="s">
        <v>223</v>
      </c>
      <c r="D54" s="15">
        <f t="shared" ref="D54" ca="1" si="191">INDIRECT("'"&amp;$B54&amp;"'!$f$18")</f>
        <v>535825.94999999995</v>
      </c>
      <c r="E54" s="15">
        <f t="shared" ref="E54" ca="1" si="192">INDIRECT("'"&amp;$B54&amp;"'!$g$18")</f>
        <v>527155.55000000005</v>
      </c>
      <c r="F54" s="15">
        <f t="shared" ref="F54" ca="1" si="193">INDIRECT("'"&amp;$B54&amp;"'!$h$18")</f>
        <v>520748.55</v>
      </c>
      <c r="G54" s="15">
        <f t="shared" ref="G54" ca="1" si="194">INDIRECT("'"&amp;$B54&amp;"'!$i$18")</f>
        <v>518763.55</v>
      </c>
      <c r="H54" s="15">
        <f t="shared" ref="H54" ca="1" si="195">INDIRECT("'"&amp;$B54&amp;"'!$j$18")</f>
        <v>517243.55</v>
      </c>
      <c r="I54" s="15">
        <f t="shared" ref="I54" ca="1" si="196">INDIRECT("'"&amp;$B54&amp;"'!$f$17")</f>
        <v>122444.47</v>
      </c>
      <c r="J54" s="15">
        <f t="shared" ref="J54" ca="1" si="197">INDIRECT("'"&amp;$B54&amp;"'!$g$17")</f>
        <v>168167.77</v>
      </c>
      <c r="K54" s="15">
        <f t="shared" ref="K54" ca="1" si="198">INDIRECT("'"&amp;$B54&amp;"'!$h$17")</f>
        <v>211778.15</v>
      </c>
      <c r="L54" s="15">
        <f t="shared" ref="L54" ca="1" si="199">INDIRECT("'"&amp;$B54&amp;"'!$i$17")</f>
        <v>254893.39</v>
      </c>
      <c r="M54" s="15">
        <f t="shared" ref="M54" ca="1" si="200">INDIRECT("'"&amp;$B54&amp;"'!$j$17")</f>
        <v>291794.21000000002</v>
      </c>
      <c r="N54" s="90">
        <f ca="1">IFERROR(INDIRECT("'"&amp;$B54&amp;"'!$j$17")/INDIRECT("'"&amp;$B54&amp;"'!$j$18"),1)</f>
        <v>0.56413310518806858</v>
      </c>
      <c r="O54" s="2">
        <v>12</v>
      </c>
    </row>
    <row r="55" spans="1:15" x14ac:dyDescent="0.25">
      <c r="A55" s="2">
        <f t="shared" si="0"/>
        <v>5</v>
      </c>
      <c r="B55" t="s">
        <v>109</v>
      </c>
      <c r="C55" t="s">
        <v>224</v>
      </c>
      <c r="D55" s="15">
        <f t="shared" ref="D55" ca="1" si="201">INDIRECT("'"&amp;$B55&amp;"'!$g$22")</f>
        <v>225548.85</v>
      </c>
      <c r="E55" s="15">
        <f t="shared" ref="E55" ca="1" si="202">INDIRECT("'"&amp;$B55&amp;"'!$h$22")</f>
        <v>224079.85</v>
      </c>
      <c r="F55" s="15">
        <f t="shared" ref="F55" ca="1" si="203">INDIRECT("'"&amp;$B55&amp;"'!$i$22")</f>
        <v>221804.85</v>
      </c>
      <c r="G55" s="15">
        <f t="shared" ref="G55" ca="1" si="204">INDIRECT("'"&amp;$B55&amp;"'!$j$22")</f>
        <v>216970.85</v>
      </c>
      <c r="H55" s="15">
        <f t="shared" ref="H55" ca="1" si="205">INDIRECT("'"&amp;$B55&amp;"'!$k$22")</f>
        <v>0</v>
      </c>
      <c r="I55" s="15">
        <f t="shared" ref="I55" ca="1" si="206">INDIRECT("'"&amp;$B55&amp;"'!$g$21")</f>
        <v>49961.67</v>
      </c>
      <c r="J55" s="15">
        <f t="shared" ref="J55" ca="1" si="207">INDIRECT("'"&amp;$B55&amp;"'!$h$21")</f>
        <v>78170.289999999994</v>
      </c>
      <c r="K55" s="15">
        <f t="shared" ref="K55" ca="1" si="208">INDIRECT("'"&amp;$B55&amp;"'!$i$21")</f>
        <v>90945.48</v>
      </c>
      <c r="L55" s="15">
        <f t="shared" ref="L55" ca="1" si="209">INDIRECT("'"&amp;$B55&amp;"'!$j$21")</f>
        <v>109977.46</v>
      </c>
      <c r="M55" s="15">
        <f t="shared" ref="M55" ca="1" si="210">INDIRECT("'"&amp;$B55&amp;"'!$k$21")</f>
        <v>0</v>
      </c>
      <c r="N55" s="90">
        <f ca="1">IFERROR(INDIRECT("'"&amp;$B55&amp;"'!$k$21")/INDIRECT("'"&amp;$B55&amp;"'!$k$22"),1)</f>
        <v>1</v>
      </c>
      <c r="O55" s="2">
        <v>12</v>
      </c>
    </row>
    <row r="56" spans="1:15" x14ac:dyDescent="0.25">
      <c r="A56" s="2">
        <f t="shared" si="0"/>
        <v>5</v>
      </c>
      <c r="B56" t="s">
        <v>109</v>
      </c>
      <c r="C56" t="s">
        <v>225</v>
      </c>
      <c r="D56" s="15">
        <f t="shared" ref="D56" ca="1" si="211">INDIRECT("'"&amp;$B56&amp;"'!$h$26")</f>
        <v>472364.5</v>
      </c>
      <c r="E56" s="15">
        <f t="shared" ref="E56" ca="1" si="212">INDIRECT("'"&amp;$B56&amp;"'!$i$26")</f>
        <v>465578</v>
      </c>
      <c r="F56" s="15">
        <f t="shared" ref="F56" ca="1" si="213">INDIRECT("'"&amp;$B56&amp;"'!$j$26")</f>
        <v>459179</v>
      </c>
      <c r="G56" s="15">
        <f t="shared" ref="G56" ca="1" si="214">INDIRECT("'"&amp;$B56&amp;"'!$k$26")</f>
        <v>0</v>
      </c>
      <c r="H56" s="15">
        <f t="shared" ref="H56" ca="1" si="215">INDIRECT("'"&amp;$B56&amp;"'!$l$26")</f>
        <v>0</v>
      </c>
      <c r="I56" s="15">
        <f t="shared" ref="I56" ca="1" si="216">INDIRECT("'"&amp;$B56&amp;"'!$h$25")</f>
        <v>95922.73</v>
      </c>
      <c r="J56" s="15">
        <f t="shared" ref="J56" ca="1" si="217">INDIRECT("'"&amp;$B56&amp;"'!$i$25")</f>
        <v>146555.85999999999</v>
      </c>
      <c r="K56" s="15">
        <f t="shared" ref="K56" ca="1" si="218">INDIRECT("'"&amp;$B56&amp;"'!$j$25")</f>
        <v>193326.64</v>
      </c>
      <c r="L56" s="15">
        <f t="shared" ref="L56" ca="1" si="219">INDIRECT("'"&amp;$B56&amp;"'!$k$25")</f>
        <v>0</v>
      </c>
      <c r="M56" s="15">
        <f t="shared" ref="M56" ca="1" si="220">INDIRECT("'"&amp;$B56&amp;"'!$l$25")</f>
        <v>0</v>
      </c>
      <c r="N56" s="90">
        <f ca="1">IFERROR(INDIRECT("'"&amp;$B56&amp;"'!$l$25")/INDIRECT("'"&amp;$B56&amp;"'!$l$26"),1)</f>
        <v>1</v>
      </c>
      <c r="O56" s="2">
        <v>12</v>
      </c>
    </row>
    <row r="57" spans="1:15" x14ac:dyDescent="0.25">
      <c r="A57" s="2">
        <f t="shared" si="0"/>
        <v>5</v>
      </c>
      <c r="B57" t="s">
        <v>109</v>
      </c>
      <c r="C57" t="s">
        <v>229</v>
      </c>
      <c r="D57" s="15">
        <f t="shared" ref="D57" ca="1" si="221">INDIRECT("'"&amp;$B57&amp;"'!$i$30")</f>
        <v>580904.75</v>
      </c>
      <c r="E57" s="15">
        <f t="shared" ref="E57" ca="1" si="222">INDIRECT("'"&amp;$B57&amp;"'!$j$30")</f>
        <v>573581.75</v>
      </c>
      <c r="F57" s="15">
        <f t="shared" ref="F57" ca="1" si="223">INDIRECT("'"&amp;$B57&amp;"'!$k$30")</f>
        <v>0</v>
      </c>
      <c r="G57" s="15">
        <f t="shared" ref="G57" ca="1" si="224">INDIRECT("'"&amp;$B57&amp;"'!$l$30")</f>
        <v>0</v>
      </c>
      <c r="H57" s="15"/>
      <c r="I57" s="15">
        <f t="shared" ref="I57" ca="1" si="225">INDIRECT("'"&amp;$B57&amp;"'!$i$29")</f>
        <v>131502.68</v>
      </c>
      <c r="J57" s="15">
        <f t="shared" ref="J57" ca="1" si="226">INDIRECT("'"&amp;$B57&amp;"'!$j$29")</f>
        <v>199799.91</v>
      </c>
      <c r="K57" s="15">
        <f t="shared" ref="K57" ca="1" si="227">INDIRECT("'"&amp;$B57&amp;"'!$k$29")</f>
        <v>0</v>
      </c>
      <c r="L57" s="15">
        <f t="shared" ref="L57" ca="1" si="228">INDIRECT("'"&amp;$B57&amp;"'!$l$29")</f>
        <v>0</v>
      </c>
      <c r="M57" s="15"/>
      <c r="N57" s="90">
        <v>1</v>
      </c>
      <c r="O57" s="2">
        <v>12</v>
      </c>
    </row>
    <row r="58" spans="1:15" x14ac:dyDescent="0.25">
      <c r="A58" s="2">
        <f t="shared" si="0"/>
        <v>5</v>
      </c>
      <c r="B58" t="s">
        <v>109</v>
      </c>
      <c r="C58" t="s">
        <v>230</v>
      </c>
      <c r="D58" s="15">
        <f t="shared" ref="D58" ca="1" si="229">INDIRECT("'"&amp;$B58&amp;"'!$j$34")</f>
        <v>654913.85</v>
      </c>
      <c r="E58" s="15">
        <f t="shared" ref="E58" ca="1" si="230">INDIRECT("'"&amp;$B58&amp;"'!$k$34")</f>
        <v>0</v>
      </c>
      <c r="F58" s="15">
        <f t="shared" ref="F58" ca="1" si="231">INDIRECT("'"&amp;$B58&amp;"'!$l$34")</f>
        <v>0</v>
      </c>
      <c r="G58" s="15"/>
      <c r="H58" s="15"/>
      <c r="I58" s="15">
        <f t="shared" ref="I58" ca="1" si="232">INDIRECT("'"&amp;$B58&amp;"'!$j$33")</f>
        <v>174052.2</v>
      </c>
      <c r="J58" s="15">
        <f t="shared" ref="J58" ca="1" si="233">INDIRECT("'"&amp;$B58&amp;"'!$k$33")</f>
        <v>0</v>
      </c>
      <c r="K58" s="15">
        <f t="shared" ref="K58" ca="1" si="234">INDIRECT("'"&amp;$B58&amp;"'!$l$33")</f>
        <v>0</v>
      </c>
      <c r="L58" s="15"/>
      <c r="M58" s="15"/>
      <c r="N58" s="90">
        <v>1</v>
      </c>
      <c r="O58" s="2">
        <v>12</v>
      </c>
    </row>
    <row r="59" spans="1:15" x14ac:dyDescent="0.25">
      <c r="A59" s="2">
        <f t="shared" si="0"/>
        <v>5</v>
      </c>
      <c r="B59" t="s">
        <v>109</v>
      </c>
      <c r="C59" t="s">
        <v>231</v>
      </c>
      <c r="D59" s="15">
        <f t="shared" ref="D59" ca="1" si="235">INDIRECT("'"&amp;$B59&amp;"'!$k$38")</f>
        <v>0</v>
      </c>
      <c r="E59" s="15">
        <f t="shared" ref="E59" ca="1" si="236">INDIRECT("'"&amp;$B59&amp;"'!$l$38")</f>
        <v>0</v>
      </c>
      <c r="F59" s="15"/>
      <c r="G59" s="15"/>
      <c r="H59" s="15"/>
      <c r="I59" s="15">
        <f t="shared" ref="I59" ca="1" si="237">INDIRECT("'"&amp;$B59&amp;"'!$k$37")</f>
        <v>0</v>
      </c>
      <c r="J59" s="15">
        <f t="shared" ref="J59" ca="1" si="238">INDIRECT("'"&amp;$B59&amp;"'!$l$37")</f>
        <v>0</v>
      </c>
      <c r="K59" s="15"/>
      <c r="L59" s="15"/>
      <c r="M59" s="15"/>
      <c r="N59" s="90">
        <v>1</v>
      </c>
      <c r="O59" s="2">
        <v>12</v>
      </c>
    </row>
    <row r="60" spans="1:15" x14ac:dyDescent="0.25">
      <c r="A60" s="2">
        <f t="shared" si="0"/>
        <v>5</v>
      </c>
      <c r="B60" t="s">
        <v>109</v>
      </c>
      <c r="C60" t="s">
        <v>232</v>
      </c>
      <c r="D60" s="15">
        <f t="shared" ref="D60" ca="1" si="239">INDIRECT("'"&amp;$B60&amp;"'!$l$42")</f>
        <v>0</v>
      </c>
      <c r="E60" s="15"/>
      <c r="F60" s="15"/>
      <c r="G60" s="15"/>
      <c r="H60" s="15"/>
      <c r="I60" s="15">
        <f t="shared" ref="I60" ca="1" si="240">INDIRECT("'"&amp;$B60&amp;"'!$l$41")</f>
        <v>0</v>
      </c>
      <c r="J60" s="15"/>
      <c r="K60" s="15"/>
      <c r="L60" s="15"/>
      <c r="M60" s="15"/>
      <c r="N60" s="90">
        <v>1</v>
      </c>
      <c r="O60" s="2">
        <v>12</v>
      </c>
    </row>
    <row r="61" spans="1:15" x14ac:dyDescent="0.25">
      <c r="A61" s="2">
        <f t="shared" si="0"/>
        <v>5</v>
      </c>
      <c r="B61" t="s">
        <v>106</v>
      </c>
      <c r="C61" t="s">
        <v>222</v>
      </c>
      <c r="D61" s="15">
        <f t="shared" ref="D61" ca="1" si="241">INDIRECT("'"&amp;$B61&amp;"'!$e$14")</f>
        <v>738344.55</v>
      </c>
      <c r="E61" s="15">
        <f t="shared" ref="E61" ca="1" si="242">INDIRECT("'"&amp;$B61&amp;"'!$f$14")</f>
        <v>738259.55</v>
      </c>
      <c r="F61" s="15">
        <f t="shared" ref="F61" ca="1" si="243">INDIRECT("'"&amp;$B61&amp;"'!$g$14")</f>
        <v>738259.55</v>
      </c>
      <c r="G61" s="15">
        <f t="shared" ref="G61" ca="1" si="244">INDIRECT("'"&amp;$B61&amp;"'!$h$14")</f>
        <v>738259.55</v>
      </c>
      <c r="H61" s="15">
        <f t="shared" ref="H61" ca="1" si="245">INDIRECT("'"&amp;$B61&amp;"'!$i$14")</f>
        <v>738259.55</v>
      </c>
      <c r="I61" s="15">
        <f t="shared" ref="I61" ca="1" si="246">INDIRECT("'"&amp;$B61&amp;"'!$e$13")</f>
        <v>671123.59</v>
      </c>
      <c r="J61" s="15">
        <f t="shared" ref="J61" ca="1" si="247">INDIRECT("'"&amp;$B61&amp;"'!$f$13")</f>
        <v>731441.73</v>
      </c>
      <c r="K61" s="15">
        <f t="shared" ref="K61" ca="1" si="248">INDIRECT("'"&amp;$B61&amp;"'!$g$13")</f>
        <v>731443.66</v>
      </c>
      <c r="L61" s="15">
        <f t="shared" ref="L61" ca="1" si="249">INDIRECT("'"&amp;$B61&amp;"'!$h$13")</f>
        <v>731443.71</v>
      </c>
      <c r="M61" s="15">
        <f t="shared" ref="M61" ca="1" si="250">INDIRECT("'"&amp;$B61&amp;"'!$i$13")</f>
        <v>731459.67</v>
      </c>
      <c r="N61" s="90">
        <f ca="1">IFERROR(INDIRECT("'"&amp;$B61&amp;"'!$i$13")/INDIRECT("'"&amp;$B61&amp;"'!$i$14"),1)</f>
        <v>0.99078930980303603</v>
      </c>
      <c r="O61" s="2">
        <v>12</v>
      </c>
    </row>
    <row r="62" spans="1:15" x14ac:dyDescent="0.25">
      <c r="A62" s="2">
        <f t="shared" si="0"/>
        <v>5</v>
      </c>
      <c r="B62" t="s">
        <v>106</v>
      </c>
      <c r="C62" t="s">
        <v>223</v>
      </c>
      <c r="D62" s="15">
        <f t="shared" ref="D62" ca="1" si="251">INDIRECT("'"&amp;$B62&amp;"'!$f$18")</f>
        <v>683096</v>
      </c>
      <c r="E62" s="15">
        <f t="shared" ref="E62" ca="1" si="252">INDIRECT("'"&amp;$B62&amp;"'!$g$18")</f>
        <v>683096</v>
      </c>
      <c r="F62" s="15">
        <f t="shared" ref="F62" ca="1" si="253">INDIRECT("'"&amp;$B62&amp;"'!$h$18")</f>
        <v>683046</v>
      </c>
      <c r="G62" s="15">
        <f t="shared" ref="G62" ca="1" si="254">INDIRECT("'"&amp;$B62&amp;"'!$i$18")</f>
        <v>683046</v>
      </c>
      <c r="H62" s="15">
        <f t="shared" ref="H62" ca="1" si="255">INDIRECT("'"&amp;$B62&amp;"'!$j$18")</f>
        <v>682244</v>
      </c>
      <c r="I62" s="15">
        <f t="shared" ref="I62" ca="1" si="256">INDIRECT("'"&amp;$B62&amp;"'!$f$17")</f>
        <v>658796.32999999996</v>
      </c>
      <c r="J62" s="15">
        <f t="shared" ref="J62" ca="1" si="257">INDIRECT("'"&amp;$B62&amp;"'!$g$17")</f>
        <v>672461.84</v>
      </c>
      <c r="K62" s="15">
        <f t="shared" ref="K62" ca="1" si="258">INDIRECT("'"&amp;$B62&amp;"'!$h$17")</f>
        <v>673263.92</v>
      </c>
      <c r="L62" s="15">
        <f t="shared" ref="L62" ca="1" si="259">INDIRECT("'"&amp;$B62&amp;"'!$i$17")</f>
        <v>673306.64</v>
      </c>
      <c r="M62" s="15">
        <f t="shared" ref="M62" ca="1" si="260">INDIRECT("'"&amp;$B62&amp;"'!$j$17")</f>
        <v>672492.29</v>
      </c>
      <c r="N62" s="90">
        <f ca="1">IFERROR(INDIRECT("'"&amp;$B62&amp;"'!$j$17")/INDIRECT("'"&amp;$B62&amp;"'!$j$18"),1)</f>
        <v>0.985706418817901</v>
      </c>
      <c r="O62" s="2">
        <v>12</v>
      </c>
    </row>
    <row r="63" spans="1:15" x14ac:dyDescent="0.25">
      <c r="A63" s="2">
        <f t="shared" si="0"/>
        <v>5</v>
      </c>
      <c r="B63" t="s">
        <v>106</v>
      </c>
      <c r="C63" t="s">
        <v>224</v>
      </c>
      <c r="D63" s="15">
        <f t="shared" ref="D63" ca="1" si="261">INDIRECT("'"&amp;$B63&amp;"'!$g$22")</f>
        <v>431648.85</v>
      </c>
      <c r="E63" s="15">
        <f t="shared" ref="E63" ca="1" si="262">INDIRECT("'"&amp;$B63&amp;"'!$h$22")</f>
        <v>431233.85</v>
      </c>
      <c r="F63" s="15">
        <f t="shared" ref="F63" ca="1" si="263">INDIRECT("'"&amp;$B63&amp;"'!$i$22")</f>
        <v>431233.85</v>
      </c>
      <c r="G63" s="15">
        <f t="shared" ref="G63" ca="1" si="264">INDIRECT("'"&amp;$B63&amp;"'!$j$22")</f>
        <v>430822.85</v>
      </c>
      <c r="H63" s="15">
        <f t="shared" ref="H63" ca="1" si="265">INDIRECT("'"&amp;$B63&amp;"'!$k$22")</f>
        <v>0</v>
      </c>
      <c r="I63" s="15">
        <f t="shared" ref="I63" ca="1" si="266">INDIRECT("'"&amp;$B63&amp;"'!$g$21")</f>
        <v>418295.79</v>
      </c>
      <c r="J63" s="15">
        <f t="shared" ref="J63" ca="1" si="267">INDIRECT("'"&amp;$B63&amp;"'!$h$21")</f>
        <v>427180.88</v>
      </c>
      <c r="K63" s="15">
        <f t="shared" ref="K63" ca="1" si="268">INDIRECT("'"&amp;$B63&amp;"'!$i$21")</f>
        <v>427180.88</v>
      </c>
      <c r="L63" s="15">
        <f t="shared" ref="L63" ca="1" si="269">INDIRECT("'"&amp;$B63&amp;"'!$j$21")</f>
        <v>426784.88</v>
      </c>
      <c r="M63" s="15">
        <f t="shared" ref="M63" ca="1" si="270">INDIRECT("'"&amp;$B63&amp;"'!$k$21")</f>
        <v>0</v>
      </c>
      <c r="N63" s="90">
        <f ca="1">IFERROR(INDIRECT("'"&amp;$B63&amp;"'!$k$21")/INDIRECT("'"&amp;$B63&amp;"'!$k$22"),1)</f>
        <v>1</v>
      </c>
      <c r="O63" s="2">
        <v>12</v>
      </c>
    </row>
    <row r="64" spans="1:15" x14ac:dyDescent="0.25">
      <c r="A64" s="2">
        <f t="shared" si="0"/>
        <v>5</v>
      </c>
      <c r="B64" t="s">
        <v>106</v>
      </c>
      <c r="C64" t="s">
        <v>225</v>
      </c>
      <c r="D64" s="15">
        <f t="shared" ref="D64" ca="1" si="271">INDIRECT("'"&amp;$B64&amp;"'!$h$26")</f>
        <v>501100.31</v>
      </c>
      <c r="E64" s="15">
        <f t="shared" ref="E64" ca="1" si="272">INDIRECT("'"&amp;$B64&amp;"'!$i$26")</f>
        <v>501100.31</v>
      </c>
      <c r="F64" s="15">
        <f t="shared" ref="F64" ca="1" si="273">INDIRECT("'"&amp;$B64&amp;"'!$j$26")</f>
        <v>501100.31</v>
      </c>
      <c r="G64" s="15">
        <f t="shared" ref="G64" ca="1" si="274">INDIRECT("'"&amp;$B64&amp;"'!$k$26")</f>
        <v>0</v>
      </c>
      <c r="H64" s="15">
        <f t="shared" ref="H64" ca="1" si="275">INDIRECT("'"&amp;$B64&amp;"'!$l$26")</f>
        <v>0</v>
      </c>
      <c r="I64" s="15">
        <f t="shared" ref="I64" ca="1" si="276">INDIRECT("'"&amp;$B64&amp;"'!$h$25")</f>
        <v>472214.19</v>
      </c>
      <c r="J64" s="15">
        <f t="shared" ref="J64" ca="1" si="277">INDIRECT("'"&amp;$B64&amp;"'!$i$25")</f>
        <v>494778.47</v>
      </c>
      <c r="K64" s="15">
        <f t="shared" ref="K64" ca="1" si="278">INDIRECT("'"&amp;$B64&amp;"'!$j$25")</f>
        <v>495266.23</v>
      </c>
      <c r="L64" s="15">
        <f t="shared" ref="L64" ca="1" si="279">INDIRECT("'"&amp;$B64&amp;"'!$k$25")</f>
        <v>0</v>
      </c>
      <c r="M64" s="15">
        <f t="shared" ref="M64" ca="1" si="280">INDIRECT("'"&amp;$B64&amp;"'!$l$25")</f>
        <v>0</v>
      </c>
      <c r="N64" s="90">
        <f ca="1">IFERROR(INDIRECT("'"&amp;$B64&amp;"'!$l$25")/INDIRECT("'"&amp;$B64&amp;"'!$l$26"),1)</f>
        <v>1</v>
      </c>
      <c r="O64" s="2">
        <v>12</v>
      </c>
    </row>
    <row r="65" spans="1:15" x14ac:dyDescent="0.25">
      <c r="A65" s="2">
        <f t="shared" si="0"/>
        <v>5</v>
      </c>
      <c r="B65" t="s">
        <v>106</v>
      </c>
      <c r="C65" t="s">
        <v>229</v>
      </c>
      <c r="D65" s="15">
        <f t="shared" ref="D65" ca="1" si="281">INDIRECT("'"&amp;$B65&amp;"'!$i$30")</f>
        <v>492889.8</v>
      </c>
      <c r="E65" s="15">
        <f t="shared" ref="E65" ca="1" si="282">INDIRECT("'"&amp;$B65&amp;"'!$j$30")</f>
        <v>492879.8</v>
      </c>
      <c r="F65" s="15">
        <f t="shared" ref="F65" ca="1" si="283">INDIRECT("'"&amp;$B65&amp;"'!$k$30")</f>
        <v>0</v>
      </c>
      <c r="G65" s="15">
        <f t="shared" ref="G65" ca="1" si="284">INDIRECT("'"&amp;$B65&amp;"'!$l$30")</f>
        <v>0</v>
      </c>
      <c r="H65" s="15"/>
      <c r="I65" s="15">
        <f t="shared" ref="I65" ca="1" si="285">INDIRECT("'"&amp;$B65&amp;"'!$i$29")</f>
        <v>445623.99</v>
      </c>
      <c r="J65" s="15">
        <f t="shared" ref="J65" ca="1" si="286">INDIRECT("'"&amp;$B65&amp;"'!$j$29")</f>
        <v>488286.96</v>
      </c>
      <c r="K65" s="15">
        <f t="shared" ref="K65" ca="1" si="287">INDIRECT("'"&amp;$B65&amp;"'!$k$29")</f>
        <v>0</v>
      </c>
      <c r="L65" s="15">
        <f t="shared" ref="L65" ca="1" si="288">INDIRECT("'"&amp;$B65&amp;"'!$l$29")</f>
        <v>0</v>
      </c>
      <c r="M65" s="15"/>
      <c r="N65" s="90">
        <v>1</v>
      </c>
      <c r="O65" s="2">
        <v>12</v>
      </c>
    </row>
    <row r="66" spans="1:15" x14ac:dyDescent="0.25">
      <c r="A66" s="2">
        <f t="shared" si="0"/>
        <v>5</v>
      </c>
      <c r="B66" t="s">
        <v>106</v>
      </c>
      <c r="C66" t="s">
        <v>230</v>
      </c>
      <c r="D66" s="15">
        <f t="shared" ref="D66" ca="1" si="289">INDIRECT("'"&amp;$B66&amp;"'!$j$34")</f>
        <v>525588.06999999995</v>
      </c>
      <c r="E66" s="15">
        <f t="shared" ref="E66" ca="1" si="290">INDIRECT("'"&amp;$B66&amp;"'!$k$34")</f>
        <v>0</v>
      </c>
      <c r="F66" s="15">
        <f t="shared" ref="F66" ca="1" si="291">INDIRECT("'"&amp;$B66&amp;"'!$l$34")</f>
        <v>0</v>
      </c>
      <c r="G66" s="15"/>
      <c r="H66" s="15"/>
      <c r="I66" s="15">
        <f t="shared" ref="I66" ca="1" si="292">INDIRECT("'"&amp;$B66&amp;"'!$j$33")</f>
        <v>477429.52</v>
      </c>
      <c r="J66" s="15">
        <f t="shared" ref="J66" ca="1" si="293">INDIRECT("'"&amp;$B66&amp;"'!$k$33")</f>
        <v>0</v>
      </c>
      <c r="K66" s="15">
        <f t="shared" ref="K66" ca="1" si="294">INDIRECT("'"&amp;$B66&amp;"'!$l$33")</f>
        <v>0</v>
      </c>
      <c r="L66" s="15"/>
      <c r="M66" s="15"/>
      <c r="N66" s="90">
        <v>1</v>
      </c>
      <c r="O66" s="2">
        <v>12</v>
      </c>
    </row>
    <row r="67" spans="1:15" x14ac:dyDescent="0.25">
      <c r="A67" s="2">
        <f t="shared" si="0"/>
        <v>5</v>
      </c>
      <c r="B67" t="s">
        <v>106</v>
      </c>
      <c r="C67" t="s">
        <v>231</v>
      </c>
      <c r="D67" s="15">
        <f t="shared" ref="D67" ca="1" si="295">INDIRECT("'"&amp;$B67&amp;"'!$k$38")</f>
        <v>0</v>
      </c>
      <c r="E67" s="15">
        <f t="shared" ref="E67" ca="1" si="296">INDIRECT("'"&amp;$B67&amp;"'!$l$38")</f>
        <v>0</v>
      </c>
      <c r="F67" s="15"/>
      <c r="G67" s="15"/>
      <c r="H67" s="15"/>
      <c r="I67" s="15">
        <f t="shared" ref="I67" ca="1" si="297">INDIRECT("'"&amp;$B67&amp;"'!$k$37")</f>
        <v>0</v>
      </c>
      <c r="J67" s="15">
        <f t="shared" ref="J67" ca="1" si="298">INDIRECT("'"&amp;$B67&amp;"'!$l$37")</f>
        <v>0</v>
      </c>
      <c r="K67" s="15"/>
      <c r="L67" s="15"/>
      <c r="M67" s="15"/>
      <c r="N67" s="90">
        <v>1</v>
      </c>
      <c r="O67" s="2">
        <v>12</v>
      </c>
    </row>
    <row r="68" spans="1:15" x14ac:dyDescent="0.25">
      <c r="A68" s="2">
        <f t="shared" si="0"/>
        <v>5</v>
      </c>
      <c r="B68" t="s">
        <v>106</v>
      </c>
      <c r="C68" t="s">
        <v>232</v>
      </c>
      <c r="D68" s="15">
        <f t="shared" ref="D68" ca="1" si="299">INDIRECT("'"&amp;$B68&amp;"'!$l$42")</f>
        <v>0</v>
      </c>
      <c r="E68" s="15"/>
      <c r="F68" s="15"/>
      <c r="G68" s="15"/>
      <c r="H68" s="15"/>
      <c r="I68" s="15">
        <f t="shared" ref="I68" ca="1" si="300">INDIRECT("'"&amp;$B68&amp;"'!$l$41")</f>
        <v>0</v>
      </c>
      <c r="J68" s="15"/>
      <c r="K68" s="15"/>
      <c r="L68" s="15"/>
      <c r="M68" s="15"/>
      <c r="N68" s="90">
        <v>1</v>
      </c>
      <c r="O68" s="2">
        <v>12</v>
      </c>
    </row>
    <row r="69" spans="1:15" x14ac:dyDescent="0.25">
      <c r="A69" s="2">
        <f t="shared" si="0"/>
        <v>5</v>
      </c>
      <c r="B69" t="s">
        <v>107</v>
      </c>
      <c r="C69" t="s">
        <v>222</v>
      </c>
      <c r="D69" s="15">
        <f t="shared" ref="D69" ca="1" si="301">INDIRECT("'"&amp;$B69&amp;"'!$e$14")</f>
        <v>823890.25</v>
      </c>
      <c r="E69" s="15">
        <f t="shared" ref="E69" ca="1" si="302">INDIRECT("'"&amp;$B69&amp;"'!$f$14")</f>
        <v>823795.25</v>
      </c>
      <c r="F69" s="15">
        <f t="shared" ref="F69" ca="1" si="303">INDIRECT("'"&amp;$B69&amp;"'!$g$14")</f>
        <v>823795.25</v>
      </c>
      <c r="G69" s="15">
        <f t="shared" ref="G69" ca="1" si="304">INDIRECT("'"&amp;$B69&amp;"'!$h$14")</f>
        <v>823795.25</v>
      </c>
      <c r="H69" s="15">
        <f t="shared" ref="H69" ca="1" si="305">INDIRECT("'"&amp;$B69&amp;"'!$i$14")</f>
        <v>823795.25</v>
      </c>
      <c r="I69" s="15">
        <f t="shared" ref="I69" ca="1" si="306">INDIRECT("'"&amp;$B69&amp;"'!$e$13")</f>
        <v>735447.75</v>
      </c>
      <c r="J69" s="15">
        <f t="shared" ref="J69" ca="1" si="307">INDIRECT("'"&amp;$B69&amp;"'!$f$13")</f>
        <v>819126.75</v>
      </c>
      <c r="K69" s="15">
        <f t="shared" ref="K69" ca="1" si="308">INDIRECT("'"&amp;$B69&amp;"'!$g$13")</f>
        <v>819331.75</v>
      </c>
      <c r="L69" s="15">
        <f t="shared" ref="L69" ca="1" si="309">INDIRECT("'"&amp;$B69&amp;"'!$h$13")</f>
        <v>819331.75</v>
      </c>
      <c r="M69" s="15">
        <f t="shared" ref="M69" ca="1" si="310">INDIRECT("'"&amp;$B69&amp;"'!$i$13")</f>
        <v>819331.75</v>
      </c>
      <c r="N69" s="90">
        <f ca="1">IFERROR(INDIRECT("'"&amp;$B69&amp;"'!$i$13")/INDIRECT("'"&amp;$B69&amp;"'!$i$14"),1)</f>
        <v>0.99458178473352454</v>
      </c>
      <c r="O69" s="2">
        <v>12</v>
      </c>
    </row>
    <row r="70" spans="1:15" x14ac:dyDescent="0.25">
      <c r="A70" s="2">
        <f t="shared" si="0"/>
        <v>5</v>
      </c>
      <c r="B70" t="s">
        <v>107</v>
      </c>
      <c r="C70" t="s">
        <v>223</v>
      </c>
      <c r="D70" s="15">
        <f t="shared" ref="D70" ca="1" si="311">INDIRECT("'"&amp;$B70&amp;"'!$f$18")</f>
        <v>673565.15</v>
      </c>
      <c r="E70" s="15">
        <f t="shared" ref="E70" ca="1" si="312">INDIRECT("'"&amp;$B70&amp;"'!$g$18")</f>
        <v>673555.15</v>
      </c>
      <c r="F70" s="15">
        <f t="shared" ref="F70" ca="1" si="313">INDIRECT("'"&amp;$B70&amp;"'!$h$18")</f>
        <v>673370.15</v>
      </c>
      <c r="G70" s="15">
        <f t="shared" ref="G70" ca="1" si="314">INDIRECT("'"&amp;$B70&amp;"'!$i$18")</f>
        <v>673350.15</v>
      </c>
      <c r="H70" s="15">
        <f t="shared" ref="H70" ca="1" si="315">INDIRECT("'"&amp;$B70&amp;"'!$j$18")</f>
        <v>673350.15</v>
      </c>
      <c r="I70" s="15">
        <f t="shared" ref="I70" ca="1" si="316">INDIRECT("'"&amp;$B70&amp;"'!$f$17")</f>
        <v>656100.15</v>
      </c>
      <c r="J70" s="15">
        <f t="shared" ref="J70" ca="1" si="317">INDIRECT("'"&amp;$B70&amp;"'!$g$17")</f>
        <v>670705.15</v>
      </c>
      <c r="K70" s="15">
        <f t="shared" ref="K70" ca="1" si="318">INDIRECT("'"&amp;$B70&amp;"'!$h$17")</f>
        <v>670250.15</v>
      </c>
      <c r="L70" s="15">
        <f t="shared" ref="L70" ca="1" si="319">INDIRECT("'"&amp;$B70&amp;"'!$i$17")</f>
        <v>670250.15</v>
      </c>
      <c r="M70" s="15">
        <f t="shared" ref="M70" ca="1" si="320">INDIRECT("'"&amp;$B70&amp;"'!$j$17")</f>
        <v>670250.15</v>
      </c>
      <c r="N70" s="90">
        <f ca="1">IFERROR(INDIRECT("'"&amp;$B70&amp;"'!$j$17")/INDIRECT("'"&amp;$B70&amp;"'!$j$18"),1)</f>
        <v>0.99539615458613917</v>
      </c>
      <c r="O70" s="2">
        <v>12</v>
      </c>
    </row>
    <row r="71" spans="1:15" x14ac:dyDescent="0.25">
      <c r="A71" s="2">
        <f t="shared" si="0"/>
        <v>5</v>
      </c>
      <c r="B71" t="s">
        <v>107</v>
      </c>
      <c r="C71" t="s">
        <v>224</v>
      </c>
      <c r="D71" s="15">
        <f t="shared" ref="D71" ca="1" si="321">INDIRECT("'"&amp;$B71&amp;"'!$g$22")</f>
        <v>316305.3</v>
      </c>
      <c r="E71" s="15">
        <f t="shared" ref="E71" ca="1" si="322">INDIRECT("'"&amp;$B71&amp;"'!$h$22")</f>
        <v>316220.3</v>
      </c>
      <c r="F71" s="15">
        <f t="shared" ref="F71" ca="1" si="323">INDIRECT("'"&amp;$B71&amp;"'!$i$22")</f>
        <v>316220.3</v>
      </c>
      <c r="G71" s="15">
        <f t="shared" ref="G71" ca="1" si="324">INDIRECT("'"&amp;$B71&amp;"'!$j$22")</f>
        <v>316220.3</v>
      </c>
      <c r="H71" s="15">
        <f t="shared" ref="H71" ca="1" si="325">INDIRECT("'"&amp;$B71&amp;"'!$k$22")</f>
        <v>0</v>
      </c>
      <c r="I71" s="15">
        <f t="shared" ref="I71" ca="1" si="326">INDIRECT("'"&amp;$B71&amp;"'!$g$21")</f>
        <v>305634.92</v>
      </c>
      <c r="J71" s="15">
        <f t="shared" ref="J71" ca="1" si="327">INDIRECT("'"&amp;$B71&amp;"'!$h$21")</f>
        <v>314504.92</v>
      </c>
      <c r="K71" s="15">
        <f t="shared" ref="K71" ca="1" si="328">INDIRECT("'"&amp;$B71&amp;"'!$i$21")</f>
        <v>314504.92</v>
      </c>
      <c r="L71" s="15">
        <f t="shared" ref="L71" ca="1" si="329">INDIRECT("'"&amp;$B71&amp;"'!$j$21")</f>
        <v>314504.92</v>
      </c>
      <c r="M71" s="15">
        <f t="shared" ref="M71" ca="1" si="330">INDIRECT("'"&amp;$B71&amp;"'!$k$21")</f>
        <v>0</v>
      </c>
      <c r="N71" s="90">
        <f ca="1">IFERROR(INDIRECT("'"&amp;$B71&amp;"'!$k$21")/INDIRECT("'"&amp;$B71&amp;"'!$k$22"),1)</f>
        <v>1</v>
      </c>
      <c r="O71" s="2">
        <v>12</v>
      </c>
    </row>
    <row r="72" spans="1:15" x14ac:dyDescent="0.25">
      <c r="A72" s="2">
        <f t="shared" si="0"/>
        <v>5</v>
      </c>
      <c r="B72" t="s">
        <v>107</v>
      </c>
      <c r="C72" t="s">
        <v>225</v>
      </c>
      <c r="D72" s="15">
        <f t="shared" ref="D72" ca="1" si="331">INDIRECT("'"&amp;$B72&amp;"'!$h$26")</f>
        <v>395525.3</v>
      </c>
      <c r="E72" s="15">
        <f t="shared" ref="E72" ca="1" si="332">INDIRECT("'"&amp;$B72&amp;"'!$i$26")</f>
        <v>395430.3</v>
      </c>
      <c r="F72" s="15">
        <f t="shared" ref="F72" ca="1" si="333">INDIRECT("'"&amp;$B72&amp;"'!$j$26")</f>
        <v>395430.3</v>
      </c>
      <c r="G72" s="15">
        <f t="shared" ref="G72" ca="1" si="334">INDIRECT("'"&amp;$B72&amp;"'!$k$26")</f>
        <v>0</v>
      </c>
      <c r="H72" s="15">
        <f t="shared" ref="H72" ca="1" si="335">INDIRECT("'"&amp;$B72&amp;"'!$l$26")</f>
        <v>0</v>
      </c>
      <c r="I72" s="15">
        <f t="shared" ref="I72" ca="1" si="336">INDIRECT("'"&amp;$B72&amp;"'!$h$25")</f>
        <v>373284.28</v>
      </c>
      <c r="J72" s="15">
        <f t="shared" ref="J72" ca="1" si="337">INDIRECT("'"&amp;$B72&amp;"'!$i$25")</f>
        <v>392392.42</v>
      </c>
      <c r="K72" s="15">
        <f t="shared" ref="K72" ca="1" si="338">INDIRECT("'"&amp;$B72&amp;"'!$j$25")</f>
        <v>392392.42</v>
      </c>
      <c r="L72" s="15">
        <f t="shared" ref="L72" ca="1" si="339">INDIRECT("'"&amp;$B72&amp;"'!$k$25")</f>
        <v>0</v>
      </c>
      <c r="M72" s="15">
        <f t="shared" ref="M72" ca="1" si="340">INDIRECT("'"&amp;$B72&amp;"'!$l$25")</f>
        <v>0</v>
      </c>
      <c r="N72" s="90">
        <f ca="1">IFERROR(INDIRECT("'"&amp;$B72&amp;"'!$l$25")/INDIRECT("'"&amp;$B72&amp;"'!$l$26"),1)</f>
        <v>1</v>
      </c>
      <c r="O72" s="2">
        <v>12</v>
      </c>
    </row>
    <row r="73" spans="1:15" x14ac:dyDescent="0.25">
      <c r="A73" s="2">
        <f t="shared" si="0"/>
        <v>5</v>
      </c>
      <c r="B73" t="s">
        <v>107</v>
      </c>
      <c r="C73" t="s">
        <v>229</v>
      </c>
      <c r="D73" s="15">
        <f t="shared" ref="D73" ca="1" si="341">INDIRECT("'"&amp;$B73&amp;"'!$i$30")</f>
        <v>588144.99</v>
      </c>
      <c r="E73" s="15">
        <f t="shared" ref="E73" ca="1" si="342">INDIRECT("'"&amp;$B73&amp;"'!$j$30")</f>
        <v>588059.99</v>
      </c>
      <c r="F73" s="15">
        <f t="shared" ref="F73" ca="1" si="343">INDIRECT("'"&amp;$B73&amp;"'!$k$30")</f>
        <v>0</v>
      </c>
      <c r="G73" s="15">
        <f t="shared" ref="G73" ca="1" si="344">INDIRECT("'"&amp;$B73&amp;"'!$l$30")</f>
        <v>0</v>
      </c>
      <c r="H73" s="15"/>
      <c r="I73" s="15">
        <f t="shared" ref="I73" ca="1" si="345">INDIRECT("'"&amp;$B73&amp;"'!$i$29")</f>
        <v>534671.07999999996</v>
      </c>
      <c r="J73" s="15">
        <f t="shared" ref="J73" ca="1" si="346">INDIRECT("'"&amp;$B73&amp;"'!$j$29")</f>
        <v>582742.48</v>
      </c>
      <c r="K73" s="15">
        <f t="shared" ref="K73" ca="1" si="347">INDIRECT("'"&amp;$B73&amp;"'!$k$29")</f>
        <v>0</v>
      </c>
      <c r="L73" s="15">
        <f t="shared" ref="L73" ca="1" si="348">INDIRECT("'"&amp;$B73&amp;"'!$l$29")</f>
        <v>0</v>
      </c>
      <c r="M73" s="15"/>
      <c r="N73" s="90">
        <v>1</v>
      </c>
      <c r="O73" s="2">
        <v>12</v>
      </c>
    </row>
    <row r="74" spans="1:15" x14ac:dyDescent="0.25">
      <c r="A74" s="2">
        <f t="shared" si="0"/>
        <v>5</v>
      </c>
      <c r="B74" t="s">
        <v>107</v>
      </c>
      <c r="C74" t="s">
        <v>230</v>
      </c>
      <c r="D74" s="15">
        <f t="shared" ref="D74" ca="1" si="349">INDIRECT("'"&amp;$B74&amp;"'!$j$34")</f>
        <v>601133.24</v>
      </c>
      <c r="E74" s="15">
        <f t="shared" ref="E74" ca="1" si="350">INDIRECT("'"&amp;$B74&amp;"'!$k$34")</f>
        <v>0</v>
      </c>
      <c r="F74" s="15">
        <f t="shared" ref="F74" ca="1" si="351">INDIRECT("'"&amp;$B74&amp;"'!$l$34")</f>
        <v>0</v>
      </c>
      <c r="G74" s="15"/>
      <c r="H74" s="15"/>
      <c r="I74" s="15">
        <f t="shared" ref="I74" ca="1" si="352">INDIRECT("'"&amp;$B74&amp;"'!$j$33")</f>
        <v>553244.56999999995</v>
      </c>
      <c r="J74" s="15">
        <f t="shared" ref="J74" ca="1" si="353">INDIRECT("'"&amp;$B74&amp;"'!$k$33")</f>
        <v>0</v>
      </c>
      <c r="K74" s="15">
        <f t="shared" ref="K74" ca="1" si="354">INDIRECT("'"&amp;$B74&amp;"'!$l$33")</f>
        <v>0</v>
      </c>
      <c r="L74" s="15"/>
      <c r="M74" s="15"/>
      <c r="N74" s="90">
        <v>1</v>
      </c>
      <c r="O74" s="2">
        <v>12</v>
      </c>
    </row>
    <row r="75" spans="1:15" x14ac:dyDescent="0.25">
      <c r="A75" s="2">
        <f t="shared" si="0"/>
        <v>5</v>
      </c>
      <c r="B75" t="s">
        <v>107</v>
      </c>
      <c r="C75" t="s">
        <v>231</v>
      </c>
      <c r="D75" s="15">
        <f t="shared" ref="D75" ca="1" si="355">INDIRECT("'"&amp;$B75&amp;"'!$k$38")</f>
        <v>0</v>
      </c>
      <c r="E75" s="15">
        <f t="shared" ref="E75" ca="1" si="356">INDIRECT("'"&amp;$B75&amp;"'!$l$38")</f>
        <v>0</v>
      </c>
      <c r="F75" s="15"/>
      <c r="G75" s="15"/>
      <c r="H75" s="15"/>
      <c r="I75" s="15">
        <f t="shared" ref="I75" ca="1" si="357">INDIRECT("'"&amp;$B75&amp;"'!$k$37")</f>
        <v>0</v>
      </c>
      <c r="J75" s="15">
        <f t="shared" ref="J75" ca="1" si="358">INDIRECT("'"&amp;$B75&amp;"'!$l$37")</f>
        <v>0</v>
      </c>
      <c r="K75" s="15"/>
      <c r="L75" s="15"/>
      <c r="M75" s="15"/>
      <c r="N75" s="90">
        <v>1</v>
      </c>
      <c r="O75" s="2">
        <v>12</v>
      </c>
    </row>
    <row r="76" spans="1:15" x14ac:dyDescent="0.25">
      <c r="A76" s="2">
        <f t="shared" si="0"/>
        <v>5</v>
      </c>
      <c r="B76" t="s">
        <v>107</v>
      </c>
      <c r="C76" t="s">
        <v>232</v>
      </c>
      <c r="D76" s="15">
        <f t="shared" ref="D76" ca="1" si="359">INDIRECT("'"&amp;$B76&amp;"'!$l$42")</f>
        <v>0</v>
      </c>
      <c r="E76" s="15"/>
      <c r="F76" s="15"/>
      <c r="G76" s="15"/>
      <c r="H76" s="15"/>
      <c r="I76" s="15">
        <f t="shared" ref="I76" ca="1" si="360">INDIRECT("'"&amp;$B76&amp;"'!$l$41")</f>
        <v>0</v>
      </c>
      <c r="J76" s="15"/>
      <c r="K76" s="15"/>
      <c r="L76" s="15"/>
      <c r="M76" s="15"/>
      <c r="N76" s="90">
        <v>1</v>
      </c>
      <c r="O76" s="2">
        <v>12</v>
      </c>
    </row>
    <row r="77" spans="1:15" x14ac:dyDescent="0.25">
      <c r="A77" s="2">
        <f t="shared" si="0"/>
        <v>5</v>
      </c>
      <c r="B77" t="s">
        <v>110</v>
      </c>
      <c r="C77" t="s">
        <v>222</v>
      </c>
      <c r="D77" s="15">
        <f t="shared" ref="D77" ca="1" si="361">INDIRECT("'"&amp;$B77&amp;"'!$e$14")</f>
        <v>1547621.48</v>
      </c>
      <c r="E77" s="15">
        <f t="shared" ref="E77" ca="1" si="362">INDIRECT("'"&amp;$B77&amp;"'!$f$14")</f>
        <v>1474773.83</v>
      </c>
      <c r="F77" s="15">
        <f t="shared" ref="F77" ca="1" si="363">INDIRECT("'"&amp;$B77&amp;"'!$g$14")</f>
        <v>1473911.58</v>
      </c>
      <c r="G77" s="15">
        <f t="shared" ref="G77" ca="1" si="364">INDIRECT("'"&amp;$B77&amp;"'!$h$14")</f>
        <v>1462832.08</v>
      </c>
      <c r="H77" s="15">
        <f t="shared" ref="H77" ca="1" si="365">INDIRECT("'"&amp;$B77&amp;"'!$i$14")</f>
        <v>1461029.58</v>
      </c>
      <c r="I77" s="15">
        <f t="shared" ref="I77" ca="1" si="366">INDIRECT("'"&amp;$B77&amp;"'!$e$13")</f>
        <v>799423.83</v>
      </c>
      <c r="J77" s="15">
        <f t="shared" ref="J77" ca="1" si="367">INDIRECT("'"&amp;$B77&amp;"'!$f$13")</f>
        <v>1181159</v>
      </c>
      <c r="K77" s="15">
        <f t="shared" ref="K77" ca="1" si="368">INDIRECT("'"&amp;$B77&amp;"'!$g$13")</f>
        <v>1258207.05</v>
      </c>
      <c r="L77" s="15">
        <f t="shared" ref="L77" ca="1" si="369">INDIRECT("'"&amp;$B77&amp;"'!$h$13")</f>
        <v>1288595.8500000001</v>
      </c>
      <c r="M77" s="15">
        <f t="shared" ref="M77" ca="1" si="370">INDIRECT("'"&amp;$B77&amp;"'!$i$13")</f>
        <v>1308481.99</v>
      </c>
      <c r="N77" s="90">
        <f ca="1">IFERROR(INDIRECT("'"&amp;$B77&amp;"'!$i$13")/INDIRECT("'"&amp;$B77&amp;"'!$i$14"),1)</f>
        <v>0.89558897910882818</v>
      </c>
      <c r="O77" s="2">
        <v>12</v>
      </c>
    </row>
    <row r="78" spans="1:15" x14ac:dyDescent="0.25">
      <c r="A78" s="2">
        <f t="shared" si="0"/>
        <v>5</v>
      </c>
      <c r="B78" t="s">
        <v>110</v>
      </c>
      <c r="C78" t="s">
        <v>223</v>
      </c>
      <c r="D78" s="15">
        <f t="shared" ref="D78" ca="1" si="371">INDIRECT("'"&amp;$B78&amp;"'!$f$18")</f>
        <v>1549893.32</v>
      </c>
      <c r="E78" s="15">
        <f t="shared" ref="E78" ca="1" si="372">INDIRECT("'"&amp;$B78&amp;"'!$g$18")</f>
        <v>1533074.32</v>
      </c>
      <c r="F78" s="15">
        <f t="shared" ref="F78" ca="1" si="373">INDIRECT("'"&amp;$B78&amp;"'!$h$18")</f>
        <v>1478369.72</v>
      </c>
      <c r="G78" s="15">
        <f t="shared" ref="G78" ca="1" si="374">INDIRECT("'"&amp;$B78&amp;"'!$i$18")</f>
        <v>1465737.72</v>
      </c>
      <c r="H78" s="15">
        <f t="shared" ref="H78" ca="1" si="375">INDIRECT("'"&amp;$B78&amp;"'!$j$18")</f>
        <v>1464432.52</v>
      </c>
      <c r="I78" s="15">
        <f t="shared" ref="I78" ca="1" si="376">INDIRECT("'"&amp;$B78&amp;"'!$f$17")</f>
        <v>839065.4</v>
      </c>
      <c r="J78" s="15">
        <f t="shared" ref="J78" ca="1" si="377">INDIRECT("'"&amp;$B78&amp;"'!$g$17")</f>
        <v>1133690.8799999999</v>
      </c>
      <c r="K78" s="15">
        <f t="shared" ref="K78" ca="1" si="378">INDIRECT("'"&amp;$B78&amp;"'!$h$17")</f>
        <v>1215047.6399999999</v>
      </c>
      <c r="L78" s="15">
        <f t="shared" ref="L78" ca="1" si="379">INDIRECT("'"&amp;$B78&amp;"'!$i$17")</f>
        <v>1267246.5</v>
      </c>
      <c r="M78" s="15">
        <f t="shared" ref="M78" ca="1" si="380">INDIRECT("'"&amp;$B78&amp;"'!$j$17")</f>
        <v>1297622.6599999999</v>
      </c>
      <c r="N78" s="90">
        <f ca="1">IFERROR(INDIRECT("'"&amp;$B78&amp;"'!$j$17")/INDIRECT("'"&amp;$B78&amp;"'!$j$18"),1)</f>
        <v>0.88609249130851031</v>
      </c>
      <c r="O78" s="2">
        <v>12</v>
      </c>
    </row>
    <row r="79" spans="1:15" x14ac:dyDescent="0.25">
      <c r="A79" s="2">
        <f t="shared" si="0"/>
        <v>5</v>
      </c>
      <c r="B79" t="s">
        <v>110</v>
      </c>
      <c r="C79" t="s">
        <v>224</v>
      </c>
      <c r="D79" s="15">
        <f t="shared" ref="D79" ca="1" si="381">INDIRECT("'"&amp;$B79&amp;"'!$g$22")</f>
        <v>1030603.06</v>
      </c>
      <c r="E79" s="15">
        <f t="shared" ref="E79" ca="1" si="382">INDIRECT("'"&amp;$B79&amp;"'!$h$22")</f>
        <v>962994.86</v>
      </c>
      <c r="F79" s="15">
        <f t="shared" ref="F79" ca="1" si="383">INDIRECT("'"&amp;$B79&amp;"'!$i$22")</f>
        <v>946808.06</v>
      </c>
      <c r="G79" s="15">
        <f t="shared" ref="G79" ca="1" si="384">INDIRECT("'"&amp;$B79&amp;"'!$j$22")</f>
        <v>946430.06</v>
      </c>
      <c r="H79" s="15">
        <f t="shared" ref="H79" ca="1" si="385">INDIRECT("'"&amp;$B79&amp;"'!$k$22")</f>
        <v>0</v>
      </c>
      <c r="I79" s="15">
        <f t="shared" ref="I79" ca="1" si="386">INDIRECT("'"&amp;$B79&amp;"'!$g$21")</f>
        <v>434719.36</v>
      </c>
      <c r="J79" s="15">
        <f t="shared" ref="J79" ca="1" si="387">INDIRECT("'"&amp;$B79&amp;"'!$h$21")</f>
        <v>693382.91</v>
      </c>
      <c r="K79" s="15">
        <f t="shared" ref="K79" ca="1" si="388">INDIRECT("'"&amp;$B79&amp;"'!$i$21")</f>
        <v>759693.32</v>
      </c>
      <c r="L79" s="15">
        <f t="shared" ref="L79" ca="1" si="389">INDIRECT("'"&amp;$B79&amp;"'!$j$21")</f>
        <v>802327.11</v>
      </c>
      <c r="M79" s="15">
        <f t="shared" ref="M79" ca="1" si="390">INDIRECT("'"&amp;$B79&amp;"'!$k$21")</f>
        <v>0</v>
      </c>
      <c r="N79" s="90">
        <f ca="1">IFERROR(INDIRECT("'"&amp;$B79&amp;"'!$k$21")/INDIRECT("'"&amp;$B79&amp;"'!$k$22"),1)</f>
        <v>1</v>
      </c>
      <c r="O79" s="2">
        <v>12</v>
      </c>
    </row>
    <row r="80" spans="1:15" x14ac:dyDescent="0.25">
      <c r="A80" s="2">
        <f t="shared" si="0"/>
        <v>5</v>
      </c>
      <c r="B80" t="s">
        <v>110</v>
      </c>
      <c r="C80" t="s">
        <v>225</v>
      </c>
      <c r="D80" s="15">
        <f t="shared" ref="D80" ca="1" si="391">INDIRECT("'"&amp;$B80&amp;"'!$h$26")</f>
        <v>1484265.91</v>
      </c>
      <c r="E80" s="15">
        <f t="shared" ref="E80" ca="1" si="392">INDIRECT("'"&amp;$B80&amp;"'!$i$26")</f>
        <v>1395268.71</v>
      </c>
      <c r="F80" s="15">
        <f t="shared" ref="F80" ca="1" si="393">INDIRECT("'"&amp;$B80&amp;"'!$j$26")</f>
        <v>1386792.31</v>
      </c>
      <c r="G80" s="15">
        <f t="shared" ref="G80" ca="1" si="394">INDIRECT("'"&amp;$B80&amp;"'!$k$26")</f>
        <v>0</v>
      </c>
      <c r="H80" s="15">
        <f t="shared" ref="H80" ca="1" si="395">INDIRECT("'"&amp;$B80&amp;"'!$l$26")</f>
        <v>0</v>
      </c>
      <c r="I80" s="15">
        <f t="shared" ref="I80" ca="1" si="396">INDIRECT("'"&amp;$B80&amp;"'!$h$25")</f>
        <v>708833.39</v>
      </c>
      <c r="J80" s="15">
        <f t="shared" ref="J80" ca="1" si="397">INDIRECT("'"&amp;$B80&amp;"'!$i$25")</f>
        <v>1090373.72</v>
      </c>
      <c r="K80" s="15">
        <f t="shared" ref="K80" ca="1" si="398">INDIRECT("'"&amp;$B80&amp;"'!$j$25")</f>
        <v>1195850.94</v>
      </c>
      <c r="L80" s="15">
        <f t="shared" ref="L80" ca="1" si="399">INDIRECT("'"&amp;$B80&amp;"'!$k$25")</f>
        <v>0</v>
      </c>
      <c r="M80" s="15">
        <f t="shared" ref="M80" ca="1" si="400">INDIRECT("'"&amp;$B80&amp;"'!$l$25")</f>
        <v>0</v>
      </c>
      <c r="N80" s="90">
        <f ca="1">IFERROR(INDIRECT("'"&amp;$B80&amp;"'!$l$25")/INDIRECT("'"&amp;$B80&amp;"'!$l$26"),1)</f>
        <v>1</v>
      </c>
      <c r="O80" s="2">
        <v>12</v>
      </c>
    </row>
    <row r="81" spans="1:15" x14ac:dyDescent="0.25">
      <c r="A81" s="2">
        <f t="shared" si="0"/>
        <v>5</v>
      </c>
      <c r="B81" t="s">
        <v>110</v>
      </c>
      <c r="C81" t="s">
        <v>229</v>
      </c>
      <c r="D81" s="15">
        <f t="shared" ref="D81" ca="1" si="401">INDIRECT("'"&amp;$B81&amp;"'!$i$30")</f>
        <v>1536269.2</v>
      </c>
      <c r="E81" s="15">
        <f t="shared" ref="E81" ca="1" si="402">INDIRECT("'"&amp;$B81&amp;"'!$j$30")</f>
        <v>1453469.3</v>
      </c>
      <c r="F81" s="15">
        <f t="shared" ref="F81" ca="1" si="403">INDIRECT("'"&amp;$B81&amp;"'!$k$30")</f>
        <v>0</v>
      </c>
      <c r="G81" s="15">
        <f t="shared" ref="G81" ca="1" si="404">INDIRECT("'"&amp;$B81&amp;"'!$l$30")</f>
        <v>0</v>
      </c>
      <c r="H81" s="15"/>
      <c r="I81" s="15">
        <f t="shared" ref="I81" ca="1" si="405">INDIRECT("'"&amp;$B81&amp;"'!$i$29")</f>
        <v>788159.56</v>
      </c>
      <c r="J81" s="15">
        <f t="shared" ref="J81" ca="1" si="406">INDIRECT("'"&amp;$B81&amp;"'!$j$29")</f>
        <v>1178685.1000000001</v>
      </c>
      <c r="K81" s="15">
        <f t="shared" ref="K81" ca="1" si="407">INDIRECT("'"&amp;$B81&amp;"'!$k$29")</f>
        <v>0</v>
      </c>
      <c r="L81" s="15">
        <f t="shared" ref="L81" ca="1" si="408">INDIRECT("'"&amp;$B81&amp;"'!$l$29")</f>
        <v>0</v>
      </c>
      <c r="M81" s="15"/>
      <c r="N81" s="90">
        <v>1</v>
      </c>
      <c r="O81" s="2">
        <v>12</v>
      </c>
    </row>
    <row r="82" spans="1:15" x14ac:dyDescent="0.25">
      <c r="A82" s="2">
        <f t="shared" si="0"/>
        <v>5</v>
      </c>
      <c r="B82" t="s">
        <v>110</v>
      </c>
      <c r="C82" t="s">
        <v>230</v>
      </c>
      <c r="D82" s="15">
        <f t="shared" ref="D82" ca="1" si="409">INDIRECT("'"&amp;$B82&amp;"'!$j$34")</f>
        <v>1493391.32</v>
      </c>
      <c r="E82" s="15">
        <f t="shared" ref="E82" ca="1" si="410">INDIRECT("'"&amp;$B82&amp;"'!$k$34")</f>
        <v>0</v>
      </c>
      <c r="F82" s="15">
        <f t="shared" ref="F82" ca="1" si="411">INDIRECT("'"&amp;$B82&amp;"'!$l$34")</f>
        <v>0</v>
      </c>
      <c r="G82" s="15"/>
      <c r="H82" s="15"/>
      <c r="I82" s="15">
        <f t="shared" ref="I82" ca="1" si="412">INDIRECT("'"&amp;$B82&amp;"'!$j$33")</f>
        <v>817904.87</v>
      </c>
      <c r="J82" s="15">
        <f t="shared" ref="J82" ca="1" si="413">INDIRECT("'"&amp;$B82&amp;"'!$k$33")</f>
        <v>0</v>
      </c>
      <c r="K82" s="15">
        <f t="shared" ref="K82" ca="1" si="414">INDIRECT("'"&amp;$B82&amp;"'!$l$33")</f>
        <v>0</v>
      </c>
      <c r="L82" s="15"/>
      <c r="M82" s="15"/>
      <c r="N82" s="90">
        <v>1</v>
      </c>
      <c r="O82" s="2">
        <v>12</v>
      </c>
    </row>
    <row r="83" spans="1:15" x14ac:dyDescent="0.25">
      <c r="A83" s="2">
        <f t="shared" si="0"/>
        <v>5</v>
      </c>
      <c r="B83" t="s">
        <v>110</v>
      </c>
      <c r="C83" t="s">
        <v>231</v>
      </c>
      <c r="D83" s="15">
        <f t="shared" ref="D83" ca="1" si="415">INDIRECT("'"&amp;$B83&amp;"'!$k$38")</f>
        <v>0</v>
      </c>
      <c r="E83" s="15">
        <f t="shared" ref="E83" ca="1" si="416">INDIRECT("'"&amp;$B83&amp;"'!$l$38")</f>
        <v>0</v>
      </c>
      <c r="F83" s="15"/>
      <c r="G83" s="15"/>
      <c r="H83" s="15"/>
      <c r="I83" s="15">
        <f t="shared" ref="I83" ca="1" si="417">INDIRECT("'"&amp;$B83&amp;"'!$k$37")</f>
        <v>0</v>
      </c>
      <c r="J83" s="15">
        <f t="shared" ref="J83" ca="1" si="418">INDIRECT("'"&amp;$B83&amp;"'!$l$37")</f>
        <v>0</v>
      </c>
      <c r="K83" s="15"/>
      <c r="L83" s="15"/>
      <c r="M83" s="15"/>
      <c r="N83" s="90">
        <v>1</v>
      </c>
      <c r="O83" s="2">
        <v>12</v>
      </c>
    </row>
    <row r="84" spans="1:15" x14ac:dyDescent="0.25">
      <c r="A84" s="2">
        <f t="shared" si="0"/>
        <v>5</v>
      </c>
      <c r="B84" t="s">
        <v>110</v>
      </c>
      <c r="C84" t="s">
        <v>232</v>
      </c>
      <c r="D84" s="15">
        <f t="shared" ref="D84" ca="1" si="419">INDIRECT("'"&amp;$B84&amp;"'!$l$42")</f>
        <v>0</v>
      </c>
      <c r="E84" s="15"/>
      <c r="F84" s="15"/>
      <c r="G84" s="15"/>
      <c r="H84" s="15"/>
      <c r="I84" s="15">
        <f t="shared" ref="I84" ca="1" si="420">INDIRECT("'"&amp;$B84&amp;"'!$l$41")</f>
        <v>0</v>
      </c>
      <c r="J84" s="15"/>
      <c r="K84" s="15"/>
      <c r="L84" s="15"/>
      <c r="M84" s="15"/>
      <c r="N84" s="90">
        <v>1</v>
      </c>
      <c r="O84" s="2">
        <v>12</v>
      </c>
    </row>
    <row r="85" spans="1:15" x14ac:dyDescent="0.25">
      <c r="A85" s="2">
        <f t="shared" si="0"/>
        <v>5</v>
      </c>
      <c r="B85" t="s">
        <v>108</v>
      </c>
      <c r="C85" t="s">
        <v>222</v>
      </c>
      <c r="D85" s="15">
        <f t="shared" ref="D85" ca="1" si="421">INDIRECT("'"&amp;$B85&amp;"'!$e$14")</f>
        <v>203167.1</v>
      </c>
      <c r="E85" s="15">
        <f t="shared" ref="E85" ca="1" si="422">INDIRECT("'"&amp;$B85&amp;"'!$f$14")</f>
        <v>203167.1</v>
      </c>
      <c r="F85" s="15">
        <f t="shared" ref="F85" ca="1" si="423">INDIRECT("'"&amp;$B85&amp;"'!$g$14")</f>
        <v>203167.1</v>
      </c>
      <c r="G85" s="15">
        <f t="shared" ref="G85" ca="1" si="424">INDIRECT("'"&amp;$B85&amp;"'!$h$14")</f>
        <v>203167.1</v>
      </c>
      <c r="H85" s="15">
        <f t="shared" ref="H85" ca="1" si="425">INDIRECT("'"&amp;$B85&amp;"'!$i$14")</f>
        <v>203167.1</v>
      </c>
      <c r="I85" s="15">
        <f t="shared" ref="I85" ca="1" si="426">INDIRECT("'"&amp;$B85&amp;"'!$e$13")</f>
        <v>195067.96</v>
      </c>
      <c r="J85" s="15">
        <f t="shared" ref="J85" ca="1" si="427">INDIRECT("'"&amp;$B85&amp;"'!$f$13")</f>
        <v>201508.96</v>
      </c>
      <c r="K85" s="15">
        <f t="shared" ref="K85" ca="1" si="428">INDIRECT("'"&amp;$B85&amp;"'!$g$13")</f>
        <v>201908.96</v>
      </c>
      <c r="L85" s="15">
        <f t="shared" ref="L85" ca="1" si="429">INDIRECT("'"&amp;$B85&amp;"'!$h$13")</f>
        <v>201908.96</v>
      </c>
      <c r="M85" s="15">
        <f t="shared" ref="M85" ca="1" si="430">INDIRECT("'"&amp;$B85&amp;"'!$i$13")</f>
        <v>201908.96</v>
      </c>
      <c r="N85" s="90">
        <f ca="1">IFERROR(INDIRECT("'"&amp;$B85&amp;"'!$i$13")/INDIRECT("'"&amp;$B85&amp;"'!$i$14"),1)</f>
        <v>0.99380736349536902</v>
      </c>
      <c r="O85" s="2">
        <v>12</v>
      </c>
    </row>
    <row r="86" spans="1:15" x14ac:dyDescent="0.25">
      <c r="A86" s="2">
        <f t="shared" si="0"/>
        <v>5</v>
      </c>
      <c r="B86" t="s">
        <v>108</v>
      </c>
      <c r="C86" t="s">
        <v>223</v>
      </c>
      <c r="D86" s="15">
        <f t="shared" ref="D86" ca="1" si="431">INDIRECT("'"&amp;$B86&amp;"'!$f$18")</f>
        <v>235667</v>
      </c>
      <c r="E86" s="15">
        <f t="shared" ref="E86" ca="1" si="432">INDIRECT("'"&amp;$B86&amp;"'!$g$18")</f>
        <v>235667</v>
      </c>
      <c r="F86" s="15">
        <f t="shared" ref="F86" ca="1" si="433">INDIRECT("'"&amp;$B86&amp;"'!$h$18")</f>
        <v>235667</v>
      </c>
      <c r="G86" s="15">
        <f t="shared" ref="G86" ca="1" si="434">INDIRECT("'"&amp;$B86&amp;"'!$i$18")</f>
        <v>235667</v>
      </c>
      <c r="H86" s="15">
        <f t="shared" ref="H86" ca="1" si="435">INDIRECT("'"&amp;$B86&amp;"'!$j$18")</f>
        <v>235667</v>
      </c>
      <c r="I86" s="15">
        <f t="shared" ref="I86" ca="1" si="436">INDIRECT("'"&amp;$B86&amp;"'!$f$17")</f>
        <v>225189.96</v>
      </c>
      <c r="J86" s="15">
        <f t="shared" ref="J86" ca="1" si="437">INDIRECT("'"&amp;$B86&amp;"'!$g$17")</f>
        <v>230962.92</v>
      </c>
      <c r="K86" s="15">
        <f t="shared" ref="K86" ca="1" si="438">INDIRECT("'"&amp;$B86&amp;"'!$h$17")</f>
        <v>231073.53</v>
      </c>
      <c r="L86" s="15">
        <f t="shared" ref="L86" ca="1" si="439">INDIRECT("'"&amp;$B86&amp;"'!$i$17")</f>
        <v>231938.42</v>
      </c>
      <c r="M86" s="15">
        <f t="shared" ref="M86" ca="1" si="440">INDIRECT("'"&amp;$B86&amp;"'!$j$17")</f>
        <v>232065.71</v>
      </c>
      <c r="N86" s="90">
        <f ca="1">IFERROR(INDIRECT("'"&amp;$B86&amp;"'!$j$17")/INDIRECT("'"&amp;$B86&amp;"'!$j$18"),1)</f>
        <v>0.98471873448552405</v>
      </c>
      <c r="O86" s="2">
        <v>12</v>
      </c>
    </row>
    <row r="87" spans="1:15" x14ac:dyDescent="0.25">
      <c r="A87" s="2">
        <f t="shared" ref="A87:A100" si="441">A$21</f>
        <v>5</v>
      </c>
      <c r="B87" t="s">
        <v>108</v>
      </c>
      <c r="C87" t="s">
        <v>224</v>
      </c>
      <c r="D87" s="15">
        <f t="shared" ref="D87" ca="1" si="442">INDIRECT("'"&amp;$B87&amp;"'!$g$22")</f>
        <v>229845.4</v>
      </c>
      <c r="E87" s="15">
        <f t="shared" ref="E87" ca="1" si="443">INDIRECT("'"&amp;$B87&amp;"'!$h$22")</f>
        <v>229845.4</v>
      </c>
      <c r="F87" s="15">
        <f t="shared" ref="F87" ca="1" si="444">INDIRECT("'"&amp;$B87&amp;"'!$i$22")</f>
        <v>229845.4</v>
      </c>
      <c r="G87" s="15">
        <f t="shared" ref="G87" ca="1" si="445">INDIRECT("'"&amp;$B87&amp;"'!$j$22")</f>
        <v>229845.4</v>
      </c>
      <c r="H87" s="15">
        <f t="shared" ref="H87" ca="1" si="446">INDIRECT("'"&amp;$B87&amp;"'!$k$22")</f>
        <v>0</v>
      </c>
      <c r="I87" s="15">
        <f t="shared" ref="I87" ca="1" si="447">INDIRECT("'"&amp;$B87&amp;"'!$g$21")</f>
        <v>218932.13</v>
      </c>
      <c r="J87" s="15">
        <f t="shared" ref="J87" ca="1" si="448">INDIRECT("'"&amp;$B87&amp;"'!$h$21")</f>
        <v>228809.8</v>
      </c>
      <c r="K87" s="15">
        <f t="shared" ref="K87" ca="1" si="449">INDIRECT("'"&amp;$B87&amp;"'!$i$21")</f>
        <v>228809.8</v>
      </c>
      <c r="L87" s="15">
        <f t="shared" ref="L87" ca="1" si="450">INDIRECT("'"&amp;$B87&amp;"'!$j$21")</f>
        <v>228809.8</v>
      </c>
      <c r="M87" s="15">
        <f t="shared" ref="M87" ca="1" si="451">INDIRECT("'"&amp;$B87&amp;"'!$k$21")</f>
        <v>0</v>
      </c>
      <c r="N87" s="90">
        <f ca="1">IFERROR(INDIRECT("'"&amp;$B87&amp;"'!$k$21")/INDIRECT("'"&amp;$B87&amp;"'!$k$22"),1)</f>
        <v>1</v>
      </c>
      <c r="O87" s="2">
        <v>12</v>
      </c>
    </row>
    <row r="88" spans="1:15" x14ac:dyDescent="0.25">
      <c r="A88" s="2">
        <f t="shared" si="441"/>
        <v>5</v>
      </c>
      <c r="B88" t="s">
        <v>108</v>
      </c>
      <c r="C88" t="s">
        <v>225</v>
      </c>
      <c r="D88" s="15">
        <f t="shared" ref="D88" ca="1" si="452">INDIRECT("'"&amp;$B88&amp;"'!$h$26")</f>
        <v>261363.45</v>
      </c>
      <c r="E88" s="15">
        <f t="shared" ref="E88" ca="1" si="453">INDIRECT("'"&amp;$B88&amp;"'!$i$26")</f>
        <v>260963.45</v>
      </c>
      <c r="F88" s="15">
        <f t="shared" ref="F88" ca="1" si="454">INDIRECT("'"&amp;$B88&amp;"'!$j$26")</f>
        <v>260963.45</v>
      </c>
      <c r="G88" s="15">
        <f t="shared" ref="G88" ca="1" si="455">INDIRECT("'"&amp;$B88&amp;"'!$k$26")</f>
        <v>0</v>
      </c>
      <c r="H88" s="15">
        <f t="shared" ref="H88" ca="1" si="456">INDIRECT("'"&amp;$B88&amp;"'!$l$26")</f>
        <v>0</v>
      </c>
      <c r="I88" s="15">
        <f t="shared" ref="I88" ca="1" si="457">INDIRECT("'"&amp;$B88&amp;"'!$h$25")</f>
        <v>244681.44</v>
      </c>
      <c r="J88" s="15">
        <f t="shared" ref="J88" ca="1" si="458">INDIRECT("'"&amp;$B88&amp;"'!$i$25")</f>
        <v>260053.08</v>
      </c>
      <c r="K88" s="15">
        <f t="shared" ref="K88" ca="1" si="459">INDIRECT("'"&amp;$B88&amp;"'!$j$25")</f>
        <v>260053.08</v>
      </c>
      <c r="L88" s="15">
        <f t="shared" ref="L88" ca="1" si="460">INDIRECT("'"&amp;$B88&amp;"'!$k$25")</f>
        <v>0</v>
      </c>
      <c r="M88" s="15">
        <f t="shared" ref="M88" ca="1" si="461">INDIRECT("'"&amp;$B88&amp;"'!$l$25")</f>
        <v>0</v>
      </c>
      <c r="N88" s="90">
        <f ca="1">IFERROR(INDIRECT("'"&amp;$B88&amp;"'!$l$25")/INDIRECT("'"&amp;$B88&amp;"'!$l$26"),1)</f>
        <v>1</v>
      </c>
      <c r="O88" s="2">
        <v>12</v>
      </c>
    </row>
    <row r="89" spans="1:15" x14ac:dyDescent="0.25">
      <c r="A89" s="2">
        <f t="shared" si="441"/>
        <v>5</v>
      </c>
      <c r="B89" t="s">
        <v>108</v>
      </c>
      <c r="C89" t="s">
        <v>229</v>
      </c>
      <c r="D89" s="15">
        <f t="shared" ref="D89" ca="1" si="462">INDIRECT("'"&amp;$B89&amp;"'!$i$30")</f>
        <v>261079.8</v>
      </c>
      <c r="E89" s="15">
        <f t="shared" ref="E89" ca="1" si="463">INDIRECT("'"&amp;$B89&amp;"'!$j$30")</f>
        <v>261079.8</v>
      </c>
      <c r="F89" s="15">
        <f t="shared" ref="F89" ca="1" si="464">INDIRECT("'"&amp;$B89&amp;"'!$k$30")</f>
        <v>0</v>
      </c>
      <c r="G89" s="15">
        <f t="shared" ref="G89" ca="1" si="465">INDIRECT("'"&amp;$B89&amp;"'!$l$30")</f>
        <v>0</v>
      </c>
      <c r="H89" s="15"/>
      <c r="I89" s="15">
        <f t="shared" ref="I89" ca="1" si="466">INDIRECT("'"&amp;$B89&amp;"'!$i$29")</f>
        <v>243130.12</v>
      </c>
      <c r="J89" s="15">
        <f t="shared" ref="J89" ca="1" si="467">INDIRECT("'"&amp;$B89&amp;"'!$j$29")</f>
        <v>258314.12</v>
      </c>
      <c r="K89" s="15">
        <f t="shared" ref="K89" ca="1" si="468">INDIRECT("'"&amp;$B89&amp;"'!$k$29")</f>
        <v>0</v>
      </c>
      <c r="L89" s="15">
        <f t="shared" ref="L89" ca="1" si="469">INDIRECT("'"&amp;$B89&amp;"'!$l$29")</f>
        <v>0</v>
      </c>
      <c r="M89" s="15"/>
      <c r="N89" s="90">
        <v>1</v>
      </c>
      <c r="O89" s="2">
        <v>12</v>
      </c>
    </row>
    <row r="90" spans="1:15" x14ac:dyDescent="0.25">
      <c r="A90" s="2">
        <f t="shared" si="441"/>
        <v>5</v>
      </c>
      <c r="B90" t="s">
        <v>108</v>
      </c>
      <c r="C90" t="s">
        <v>230</v>
      </c>
      <c r="D90" s="15">
        <f t="shared" ref="D90" ca="1" si="470">INDIRECT("'"&amp;$B90&amp;"'!$j$34")</f>
        <v>287591.40000000002</v>
      </c>
      <c r="E90" s="15">
        <f t="shared" ref="E90" ca="1" si="471">INDIRECT("'"&amp;$B90&amp;"'!$k$34")</f>
        <v>0</v>
      </c>
      <c r="F90" s="15">
        <f t="shared" ref="F90" ca="1" si="472">INDIRECT("'"&amp;$B90&amp;"'!$l$34")</f>
        <v>0</v>
      </c>
      <c r="G90" s="15"/>
      <c r="H90" s="15"/>
      <c r="I90" s="15">
        <f t="shared" ref="I90" ca="1" si="473">INDIRECT("'"&amp;$B90&amp;"'!$j$33")</f>
        <v>271718.31</v>
      </c>
      <c r="J90" s="15">
        <f t="shared" ref="J90" ca="1" si="474">INDIRECT("'"&amp;$B90&amp;"'!$k$33")</f>
        <v>0</v>
      </c>
      <c r="K90" s="15">
        <f t="shared" ref="K90" ca="1" si="475">INDIRECT("'"&amp;$B90&amp;"'!$l$33")</f>
        <v>0</v>
      </c>
      <c r="L90" s="15"/>
      <c r="M90" s="15"/>
      <c r="N90" s="90">
        <v>1</v>
      </c>
      <c r="O90" s="2">
        <v>12</v>
      </c>
    </row>
    <row r="91" spans="1:15" x14ac:dyDescent="0.25">
      <c r="A91" s="2">
        <f t="shared" si="441"/>
        <v>5</v>
      </c>
      <c r="B91" t="s">
        <v>108</v>
      </c>
      <c r="C91" t="s">
        <v>231</v>
      </c>
      <c r="D91" s="15">
        <f t="shared" ref="D91" ca="1" si="476">INDIRECT("'"&amp;$B91&amp;"'!$k$38")</f>
        <v>0</v>
      </c>
      <c r="E91" s="15">
        <f t="shared" ref="E91" ca="1" si="477">INDIRECT("'"&amp;$B91&amp;"'!$l$38")</f>
        <v>0</v>
      </c>
      <c r="F91" s="15"/>
      <c r="G91" s="15"/>
      <c r="H91" s="15"/>
      <c r="I91" s="15">
        <f t="shared" ref="I91" ca="1" si="478">INDIRECT("'"&amp;$B91&amp;"'!$k$37")</f>
        <v>0</v>
      </c>
      <c r="J91" s="15">
        <f t="shared" ref="J91" ca="1" si="479">INDIRECT("'"&amp;$B91&amp;"'!$l$37")</f>
        <v>0</v>
      </c>
      <c r="K91" s="15"/>
      <c r="L91" s="15"/>
      <c r="M91" s="15"/>
      <c r="N91" s="90">
        <v>1</v>
      </c>
      <c r="O91" s="2">
        <v>12</v>
      </c>
    </row>
    <row r="92" spans="1:15" x14ac:dyDescent="0.25">
      <c r="A92" s="2">
        <f t="shared" si="441"/>
        <v>5</v>
      </c>
      <c r="B92" t="s">
        <v>108</v>
      </c>
      <c r="C92" t="s">
        <v>232</v>
      </c>
      <c r="D92" s="15">
        <f t="shared" ref="D92" ca="1" si="480">INDIRECT("'"&amp;$B92&amp;"'!$l$42")</f>
        <v>0</v>
      </c>
      <c r="E92" s="15"/>
      <c r="F92" s="15"/>
      <c r="G92" s="15"/>
      <c r="H92" s="15"/>
      <c r="I92" s="15">
        <f t="shared" ref="I92" ca="1" si="481">INDIRECT("'"&amp;$B92&amp;"'!$l$41")</f>
        <v>0</v>
      </c>
      <c r="J92" s="15"/>
      <c r="K92" s="15"/>
      <c r="L92" s="15"/>
      <c r="M92" s="15"/>
      <c r="N92" s="90">
        <v>1</v>
      </c>
      <c r="O92" s="2">
        <v>12</v>
      </c>
    </row>
    <row r="93" spans="1:15" x14ac:dyDescent="0.25">
      <c r="A93" s="2">
        <f t="shared" si="441"/>
        <v>5</v>
      </c>
      <c r="B93" t="s">
        <v>70</v>
      </c>
      <c r="C93" t="s">
        <v>222</v>
      </c>
      <c r="D93" s="15">
        <f t="shared" ref="D93" ca="1" si="482">INDIRECT("'"&amp;$B93&amp;"'!$e$14")</f>
        <v>318508.84999999998</v>
      </c>
      <c r="E93" s="15">
        <f t="shared" ref="E93" ca="1" si="483">INDIRECT("'"&amp;$B93&amp;"'!$f$14")</f>
        <v>317913.84999999998</v>
      </c>
      <c r="F93" s="15">
        <f t="shared" ref="F93" ca="1" si="484">INDIRECT("'"&amp;$B93&amp;"'!$g$14")</f>
        <v>317384.84999999998</v>
      </c>
      <c r="G93" s="15">
        <f t="shared" ref="G93" ca="1" si="485">INDIRECT("'"&amp;$B93&amp;"'!$h$14")</f>
        <v>317324.84999999998</v>
      </c>
      <c r="H93" s="15">
        <f t="shared" ref="H93" ca="1" si="486">INDIRECT("'"&amp;$B93&amp;"'!$i$14")</f>
        <v>317324.84999999998</v>
      </c>
      <c r="I93" s="15">
        <f t="shared" ref="I93" ca="1" si="487">INDIRECT("'"&amp;$B93&amp;"'!$e$13")</f>
        <v>276858.93</v>
      </c>
      <c r="J93" s="15">
        <f t="shared" ref="J93" ca="1" si="488">INDIRECT("'"&amp;$B93&amp;"'!$f$13")</f>
        <v>292426.21000000002</v>
      </c>
      <c r="K93" s="15">
        <f t="shared" ref="K93" ca="1" si="489">INDIRECT("'"&amp;$B93&amp;"'!$g$13")</f>
        <v>294342.55</v>
      </c>
      <c r="L93" s="15">
        <f t="shared" ref="L93" ca="1" si="490">INDIRECT("'"&amp;$B93&amp;"'!$h$13")</f>
        <v>295756.55</v>
      </c>
      <c r="M93" s="15">
        <f t="shared" ref="M93" ca="1" si="491">INDIRECT("'"&amp;$B93&amp;"'!$i$13")</f>
        <v>296049.55</v>
      </c>
      <c r="N93" s="90">
        <f ca="1">IFERROR(INDIRECT("'"&amp;$B93&amp;"'!$i$13")/INDIRECT("'"&amp;$B93&amp;"'!$i$14"),1)</f>
        <v>0.93295419504649579</v>
      </c>
      <c r="O93" s="2">
        <v>12</v>
      </c>
    </row>
    <row r="94" spans="1:15" x14ac:dyDescent="0.25">
      <c r="A94" s="2">
        <f t="shared" si="441"/>
        <v>5</v>
      </c>
      <c r="B94" t="s">
        <v>70</v>
      </c>
      <c r="C94" t="s">
        <v>223</v>
      </c>
      <c r="D94" s="15">
        <f t="shared" ref="D94" ca="1" si="492">INDIRECT("'"&amp;$B94&amp;"'!$f$18")</f>
        <v>310336.8</v>
      </c>
      <c r="E94" s="15">
        <f t="shared" ref="E94" ca="1" si="493">INDIRECT("'"&amp;$B94&amp;"'!$g$18")</f>
        <v>310336.8</v>
      </c>
      <c r="F94" s="15">
        <f t="shared" ref="F94" ca="1" si="494">INDIRECT("'"&amp;$B94&amp;"'!$h$18")</f>
        <v>310336.8</v>
      </c>
      <c r="G94" s="15">
        <f t="shared" ref="G94" ca="1" si="495">INDIRECT("'"&amp;$B94&amp;"'!$i$18")</f>
        <v>310216.8</v>
      </c>
      <c r="H94" s="15">
        <f t="shared" ref="H94" ca="1" si="496">INDIRECT("'"&amp;$B94&amp;"'!$j$18")</f>
        <v>310096.8</v>
      </c>
      <c r="I94" s="15">
        <f t="shared" ref="I94" ca="1" si="497">INDIRECT("'"&amp;$B94&amp;"'!$f$17")</f>
        <v>279725.38</v>
      </c>
      <c r="J94" s="15">
        <f t="shared" ref="J94" ca="1" si="498">INDIRECT("'"&amp;$B94&amp;"'!$g$17")</f>
        <v>288153.28000000003</v>
      </c>
      <c r="K94" s="15">
        <f t="shared" ref="K94" ca="1" si="499">INDIRECT("'"&amp;$B94&amp;"'!$h$17")</f>
        <v>289829.81</v>
      </c>
      <c r="L94" s="15">
        <f t="shared" ref="L94" ca="1" si="500">INDIRECT("'"&amp;$B94&amp;"'!$i$17")</f>
        <v>290696.93</v>
      </c>
      <c r="M94" s="15">
        <f t="shared" ref="M94" ca="1" si="501">INDIRECT("'"&amp;$B94&amp;"'!$j$17")</f>
        <v>290858.93</v>
      </c>
      <c r="N94" s="90">
        <f ca="1">IFERROR(INDIRECT("'"&amp;$B94&amp;"'!$j$17")/INDIRECT("'"&amp;$B94&amp;"'!$j$18"),1)</f>
        <v>0.93796172678982825</v>
      </c>
      <c r="O94" s="2">
        <v>12</v>
      </c>
    </row>
    <row r="95" spans="1:15" x14ac:dyDescent="0.25">
      <c r="A95" s="2">
        <f t="shared" si="441"/>
        <v>5</v>
      </c>
      <c r="B95" t="s">
        <v>70</v>
      </c>
      <c r="C95" t="s">
        <v>224</v>
      </c>
      <c r="D95" s="15">
        <f t="shared" ref="D95" ca="1" si="502">INDIRECT("'"&amp;$B95&amp;"'!$g$22")</f>
        <v>281267.25</v>
      </c>
      <c r="E95" s="15">
        <f t="shared" ref="E95" ca="1" si="503">INDIRECT("'"&amp;$B95&amp;"'!$h$22")</f>
        <v>280858.25</v>
      </c>
      <c r="F95" s="15">
        <f t="shared" ref="F95" ca="1" si="504">INDIRECT("'"&amp;$B95&amp;"'!$i$22")</f>
        <v>280858.25</v>
      </c>
      <c r="G95" s="15">
        <f t="shared" ref="G95" ca="1" si="505">INDIRECT("'"&amp;$B95&amp;"'!$j$22")</f>
        <v>280858.25</v>
      </c>
      <c r="H95" s="15">
        <f t="shared" ref="H95" ca="1" si="506">INDIRECT("'"&amp;$B95&amp;"'!$k$22")</f>
        <v>0</v>
      </c>
      <c r="I95" s="15">
        <f t="shared" ref="I95" ca="1" si="507">INDIRECT("'"&amp;$B95&amp;"'!$g$21")</f>
        <v>258137.24</v>
      </c>
      <c r="J95" s="15">
        <f t="shared" ref="J95" ca="1" si="508">INDIRECT("'"&amp;$B95&amp;"'!$h$21")</f>
        <v>265197.24</v>
      </c>
      <c r="K95" s="15">
        <f t="shared" ref="K95" ca="1" si="509">INDIRECT("'"&amp;$B95&amp;"'!$i$21")</f>
        <v>267049.24</v>
      </c>
      <c r="L95" s="15">
        <f t="shared" ref="L95" ca="1" si="510">INDIRECT("'"&amp;$B95&amp;"'!$j$21")</f>
        <v>267661.24</v>
      </c>
      <c r="M95" s="15">
        <f t="shared" ref="M95" ca="1" si="511">INDIRECT("'"&amp;$B95&amp;"'!$k$21")</f>
        <v>0</v>
      </c>
      <c r="N95" s="90">
        <f ca="1">IFERROR(INDIRECT("'"&amp;$B95&amp;"'!$k$21")/INDIRECT("'"&amp;$B95&amp;"'!$k$22"),1)</f>
        <v>1</v>
      </c>
      <c r="O95" s="2">
        <v>12</v>
      </c>
    </row>
    <row r="96" spans="1:15" x14ac:dyDescent="0.25">
      <c r="A96" s="2">
        <f t="shared" si="441"/>
        <v>5</v>
      </c>
      <c r="B96" t="s">
        <v>70</v>
      </c>
      <c r="C96" t="s">
        <v>225</v>
      </c>
      <c r="D96" s="15">
        <f t="shared" ref="D96" ca="1" si="512">INDIRECT("'"&amp;$B96&amp;"'!$h$26")</f>
        <v>341167.5</v>
      </c>
      <c r="E96" s="15">
        <f t="shared" ref="E96" ca="1" si="513">INDIRECT("'"&amp;$B96&amp;"'!$i$26")</f>
        <v>340692.5</v>
      </c>
      <c r="F96" s="15">
        <f t="shared" ref="F96" ca="1" si="514">INDIRECT("'"&amp;$B96&amp;"'!$j$26")</f>
        <v>340632.5</v>
      </c>
      <c r="G96" s="15">
        <f t="shared" ref="G96" ca="1" si="515">INDIRECT("'"&amp;$B96&amp;"'!$k$26")</f>
        <v>0</v>
      </c>
      <c r="H96" s="15">
        <f t="shared" ref="H96" ca="1" si="516">INDIRECT("'"&amp;$B96&amp;"'!$l$26")</f>
        <v>0</v>
      </c>
      <c r="I96" s="15">
        <f t="shared" ref="I96" ca="1" si="517">INDIRECT("'"&amp;$B96&amp;"'!$h$25")</f>
        <v>310291.48</v>
      </c>
      <c r="J96" s="15">
        <f t="shared" ref="J96" ca="1" si="518">INDIRECT("'"&amp;$B96&amp;"'!$i$25")</f>
        <v>318276.82</v>
      </c>
      <c r="K96" s="15">
        <f t="shared" ref="K96" ca="1" si="519">INDIRECT("'"&amp;$B96&amp;"'!$j$25")</f>
        <v>324424.65000000002</v>
      </c>
      <c r="L96" s="15">
        <f t="shared" ref="L96" ca="1" si="520">INDIRECT("'"&amp;$B96&amp;"'!$k$25")</f>
        <v>0</v>
      </c>
      <c r="M96" s="15">
        <f t="shared" ref="M96" ca="1" si="521">INDIRECT("'"&amp;$B96&amp;"'!$l$25")</f>
        <v>0</v>
      </c>
      <c r="N96" s="90">
        <f ca="1">IFERROR(INDIRECT("'"&amp;$B96&amp;"'!$l$25")/INDIRECT("'"&amp;$B96&amp;"'!$l$26"),1)</f>
        <v>1</v>
      </c>
      <c r="O96" s="2">
        <v>12</v>
      </c>
    </row>
    <row r="97" spans="1:19" x14ac:dyDescent="0.25">
      <c r="A97" s="2">
        <f t="shared" si="441"/>
        <v>5</v>
      </c>
      <c r="B97" t="s">
        <v>70</v>
      </c>
      <c r="C97" t="s">
        <v>229</v>
      </c>
      <c r="D97" s="15">
        <f t="shared" ref="D97" ca="1" si="522">INDIRECT("'"&amp;$B97&amp;"'!$i$30")</f>
        <v>277215.3</v>
      </c>
      <c r="E97" s="15">
        <f t="shared" ref="E97" ca="1" si="523">INDIRECT("'"&amp;$B97&amp;"'!$j$30")</f>
        <v>276910.3</v>
      </c>
      <c r="F97" s="15">
        <f t="shared" ref="F97" ca="1" si="524">INDIRECT("'"&amp;$B97&amp;"'!$k$30")</f>
        <v>0</v>
      </c>
      <c r="G97" s="15">
        <f t="shared" ref="G97" ca="1" si="525">INDIRECT("'"&amp;$B97&amp;"'!$l$30")</f>
        <v>0</v>
      </c>
      <c r="H97" s="15"/>
      <c r="I97" s="15">
        <f t="shared" ref="I97" ca="1" si="526">INDIRECT("'"&amp;$B97&amp;"'!$i$29")</f>
        <v>248568.51</v>
      </c>
      <c r="J97" s="15">
        <f t="shared" ref="J97" ca="1" si="527">INDIRECT("'"&amp;$B97&amp;"'!$j$29")</f>
        <v>261650.76</v>
      </c>
      <c r="K97" s="15">
        <f t="shared" ref="K97" ca="1" si="528">INDIRECT("'"&amp;$B97&amp;"'!$k$29")</f>
        <v>0</v>
      </c>
      <c r="L97" s="15">
        <f t="shared" ref="L97" ca="1" si="529">INDIRECT("'"&amp;$B97&amp;"'!$l$29")</f>
        <v>0</v>
      </c>
      <c r="M97" s="15"/>
      <c r="N97" s="90">
        <v>1</v>
      </c>
      <c r="O97" s="2">
        <v>12</v>
      </c>
    </row>
    <row r="98" spans="1:19" x14ac:dyDescent="0.25">
      <c r="A98" s="2">
        <f t="shared" si="441"/>
        <v>5</v>
      </c>
      <c r="B98" t="s">
        <v>70</v>
      </c>
      <c r="C98" t="s">
        <v>230</v>
      </c>
      <c r="D98" s="15">
        <f t="shared" ref="D98" ca="1" si="530">INDIRECT("'"&amp;$B98&amp;"'!$j$34")</f>
        <v>335834.3</v>
      </c>
      <c r="E98" s="15">
        <f t="shared" ref="E98" ca="1" si="531">INDIRECT("'"&amp;$B98&amp;"'!$k$34")</f>
        <v>0</v>
      </c>
      <c r="F98" s="15">
        <f t="shared" ref="F98" ca="1" si="532">INDIRECT("'"&amp;$B98&amp;"'!$l$34")</f>
        <v>0</v>
      </c>
      <c r="G98" s="15"/>
      <c r="H98" s="15"/>
      <c r="I98" s="15">
        <f t="shared" ref="I98" ca="1" si="533">INDIRECT("'"&amp;$B98&amp;"'!$j$33")</f>
        <v>303587.96999999997</v>
      </c>
      <c r="J98" s="15">
        <f t="shared" ref="J98" ca="1" si="534">INDIRECT("'"&amp;$B98&amp;"'!$k$33")</f>
        <v>0</v>
      </c>
      <c r="K98" s="15">
        <f t="shared" ref="K98" ca="1" si="535">INDIRECT("'"&amp;$B98&amp;"'!$l$33")</f>
        <v>0</v>
      </c>
      <c r="L98" s="15"/>
      <c r="M98" s="15"/>
      <c r="N98" s="90">
        <v>1</v>
      </c>
      <c r="O98" s="2">
        <v>12</v>
      </c>
    </row>
    <row r="99" spans="1:19" x14ac:dyDescent="0.25">
      <c r="A99" s="2">
        <f t="shared" si="441"/>
        <v>5</v>
      </c>
      <c r="B99" t="s">
        <v>70</v>
      </c>
      <c r="C99" t="s">
        <v>231</v>
      </c>
      <c r="D99" s="15">
        <f t="shared" ref="D99" ca="1" si="536">INDIRECT("'"&amp;$B99&amp;"'!$k$38")</f>
        <v>0</v>
      </c>
      <c r="E99" s="15">
        <f t="shared" ref="E99" ca="1" si="537">INDIRECT("'"&amp;$B99&amp;"'!$l$38")</f>
        <v>0</v>
      </c>
      <c r="F99" s="15"/>
      <c r="G99" s="15"/>
      <c r="H99" s="15"/>
      <c r="I99" s="15">
        <f t="shared" ref="I99" ca="1" si="538">INDIRECT("'"&amp;$B99&amp;"'!$k$37")</f>
        <v>0</v>
      </c>
      <c r="J99" s="15">
        <f t="shared" ref="J99" ca="1" si="539">INDIRECT("'"&amp;$B99&amp;"'!$l$37")</f>
        <v>0</v>
      </c>
      <c r="K99" s="15"/>
      <c r="L99" s="15"/>
      <c r="M99" s="15"/>
      <c r="N99" s="90">
        <v>1</v>
      </c>
      <c r="O99" s="2">
        <v>12</v>
      </c>
    </row>
    <row r="100" spans="1:19" x14ac:dyDescent="0.25">
      <c r="A100" s="2">
        <f t="shared" si="441"/>
        <v>5</v>
      </c>
      <c r="B100" t="s">
        <v>70</v>
      </c>
      <c r="C100" t="s">
        <v>232</v>
      </c>
      <c r="D100" s="15">
        <f t="shared" ref="D100" ca="1" si="540">INDIRECT("'"&amp;$B100&amp;"'!$l$42")</f>
        <v>0</v>
      </c>
      <c r="E100" s="15"/>
      <c r="F100" s="15"/>
      <c r="G100" s="15"/>
      <c r="H100" s="15"/>
      <c r="I100" s="15">
        <f t="shared" ref="I100" ca="1" si="541">INDIRECT("'"&amp;$B100&amp;"'!$l$41")</f>
        <v>0</v>
      </c>
      <c r="J100" s="15"/>
      <c r="K100" s="15"/>
      <c r="L100" s="15"/>
      <c r="M100" s="15"/>
      <c r="N100" s="90">
        <v>1</v>
      </c>
      <c r="O100" s="2">
        <v>12</v>
      </c>
    </row>
    <row r="101" spans="1:19" x14ac:dyDescent="0.25">
      <c r="A101" s="87" t="s">
        <v>71</v>
      </c>
      <c r="B101" s="87" t="s">
        <v>90</v>
      </c>
      <c r="C101" s="87" t="s">
        <v>191</v>
      </c>
      <c r="D101" s="87" t="s">
        <v>192</v>
      </c>
      <c r="E101" s="87" t="s">
        <v>193</v>
      </c>
      <c r="F101" s="87" t="s">
        <v>194</v>
      </c>
      <c r="G101" s="87" t="s">
        <v>91</v>
      </c>
      <c r="H101" s="87" t="s">
        <v>92</v>
      </c>
      <c r="I101" s="87" t="s">
        <v>93</v>
      </c>
      <c r="J101" s="87" t="s">
        <v>94</v>
      </c>
      <c r="K101" s="87" t="s">
        <v>95</v>
      </c>
      <c r="L101" s="87" t="s">
        <v>96</v>
      </c>
      <c r="M101" s="87" t="s">
        <v>97</v>
      </c>
      <c r="N101" s="87" t="s">
        <v>98</v>
      </c>
      <c r="O101" s="87" t="s">
        <v>99</v>
      </c>
      <c r="P101" s="87" t="s">
        <v>100</v>
      </c>
      <c r="Q101" s="87" t="s">
        <v>101</v>
      </c>
      <c r="R101" s="87" t="s">
        <v>102</v>
      </c>
      <c r="S101" s="87" t="s">
        <v>103</v>
      </c>
    </row>
    <row r="102" spans="1:19" x14ac:dyDescent="0.25">
      <c r="A102" s="2">
        <f>A21</f>
        <v>5</v>
      </c>
      <c r="B102" s="2">
        <v>18</v>
      </c>
      <c r="C102" s="2" t="s">
        <v>189</v>
      </c>
      <c r="D102" s="88" t="s">
        <v>142</v>
      </c>
      <c r="E102" t="s">
        <v>104</v>
      </c>
      <c r="F102" t="s">
        <v>218</v>
      </c>
      <c r="G102" s="2">
        <f ca="1">INDIRECT("'"&amp;$E102&amp;"'!$M$12")</f>
        <v>0</v>
      </c>
      <c r="J102" s="25"/>
      <c r="S102" s="2">
        <v>12</v>
      </c>
    </row>
    <row r="103" spans="1:19" x14ac:dyDescent="0.25">
      <c r="A103" s="2">
        <f>A102</f>
        <v>5</v>
      </c>
      <c r="B103" s="2">
        <v>18</v>
      </c>
      <c r="C103" s="2" t="s">
        <v>189</v>
      </c>
      <c r="D103" s="88" t="s">
        <v>142</v>
      </c>
      <c r="E103" t="s">
        <v>104</v>
      </c>
      <c r="F103" t="s">
        <v>219</v>
      </c>
      <c r="G103" s="2">
        <f ca="1">INDIRECT("'"&amp;$E103&amp;"'!$M$16")</f>
        <v>0</v>
      </c>
      <c r="J103" s="25"/>
      <c r="S103" s="2">
        <v>12</v>
      </c>
    </row>
    <row r="104" spans="1:19" x14ac:dyDescent="0.25">
      <c r="A104" s="2">
        <f t="shared" ref="A104:A167" si="542">A103</f>
        <v>5</v>
      </c>
      <c r="B104" s="2">
        <v>18</v>
      </c>
      <c r="C104" s="2" t="s">
        <v>189</v>
      </c>
      <c r="D104" s="88" t="s">
        <v>142</v>
      </c>
      <c r="E104" t="s">
        <v>104</v>
      </c>
      <c r="F104" t="s">
        <v>220</v>
      </c>
      <c r="G104" s="2">
        <f ca="1">INDIRECT("'"&amp;$E104&amp;"'!$M$20")</f>
        <v>0</v>
      </c>
      <c r="J104" s="25"/>
      <c r="S104" s="2">
        <v>12</v>
      </c>
    </row>
    <row r="105" spans="1:19" x14ac:dyDescent="0.25">
      <c r="A105" s="2">
        <f t="shared" si="542"/>
        <v>5</v>
      </c>
      <c r="B105" s="2">
        <v>18</v>
      </c>
      <c r="C105" s="2" t="s">
        <v>189</v>
      </c>
      <c r="D105" s="88" t="s">
        <v>142</v>
      </c>
      <c r="E105" t="s">
        <v>104</v>
      </c>
      <c r="F105" t="s">
        <v>221</v>
      </c>
      <c r="G105" s="2">
        <f ca="1">INDIRECT("'"&amp;$E105&amp;"'!$M$24")</f>
        <v>0</v>
      </c>
      <c r="J105" s="25"/>
      <c r="S105" s="2">
        <v>12</v>
      </c>
    </row>
    <row r="106" spans="1:19" x14ac:dyDescent="0.25">
      <c r="A106" s="2">
        <f t="shared" si="542"/>
        <v>5</v>
      </c>
      <c r="B106" s="2">
        <v>18</v>
      </c>
      <c r="C106" s="2" t="s">
        <v>189</v>
      </c>
      <c r="D106" s="88" t="s">
        <v>142</v>
      </c>
      <c r="E106" t="s">
        <v>105</v>
      </c>
      <c r="F106" t="s">
        <v>218</v>
      </c>
      <c r="G106" s="2">
        <f ca="1">INDIRECT("'"&amp;$E106&amp;"'!$M$12")</f>
        <v>0</v>
      </c>
      <c r="S106" s="2">
        <v>12</v>
      </c>
    </row>
    <row r="107" spans="1:19" x14ac:dyDescent="0.25">
      <c r="A107" s="2">
        <f t="shared" si="542"/>
        <v>5</v>
      </c>
      <c r="B107" s="2">
        <v>18</v>
      </c>
      <c r="C107" s="2" t="s">
        <v>189</v>
      </c>
      <c r="D107" s="88" t="s">
        <v>142</v>
      </c>
      <c r="E107" t="s">
        <v>105</v>
      </c>
      <c r="F107" t="s">
        <v>219</v>
      </c>
      <c r="G107" s="2">
        <f ca="1">INDIRECT("'"&amp;$E107&amp;"'!$M$16")</f>
        <v>0</v>
      </c>
      <c r="S107" s="2">
        <v>12</v>
      </c>
    </row>
    <row r="108" spans="1:19" x14ac:dyDescent="0.25">
      <c r="A108" s="2">
        <f t="shared" si="542"/>
        <v>5</v>
      </c>
      <c r="B108" s="2">
        <v>18</v>
      </c>
      <c r="C108" s="2" t="s">
        <v>189</v>
      </c>
      <c r="D108" s="88" t="s">
        <v>142</v>
      </c>
      <c r="E108" t="s">
        <v>105</v>
      </c>
      <c r="F108" t="s">
        <v>220</v>
      </c>
      <c r="G108" s="2">
        <f ca="1">INDIRECT("'"&amp;$E108&amp;"'!$M$20")</f>
        <v>0</v>
      </c>
      <c r="S108" s="2">
        <v>12</v>
      </c>
    </row>
    <row r="109" spans="1:19" x14ac:dyDescent="0.25">
      <c r="A109" s="2">
        <f t="shared" si="542"/>
        <v>5</v>
      </c>
      <c r="B109" s="2">
        <v>18</v>
      </c>
      <c r="C109" s="2" t="s">
        <v>189</v>
      </c>
      <c r="D109" s="88" t="s">
        <v>142</v>
      </c>
      <c r="E109" t="s">
        <v>105</v>
      </c>
      <c r="F109" t="s">
        <v>221</v>
      </c>
      <c r="G109" s="2">
        <f ca="1">INDIRECT("'"&amp;$E109&amp;"'!$M$24")</f>
        <v>0</v>
      </c>
      <c r="S109" s="2">
        <v>12</v>
      </c>
    </row>
    <row r="110" spans="1:19" x14ac:dyDescent="0.25">
      <c r="A110" s="2">
        <f t="shared" si="542"/>
        <v>5</v>
      </c>
      <c r="B110" s="2">
        <v>18</v>
      </c>
      <c r="C110" s="2" t="s">
        <v>189</v>
      </c>
      <c r="D110" s="88" t="s">
        <v>142</v>
      </c>
      <c r="E110" t="s">
        <v>111</v>
      </c>
      <c r="F110" t="s">
        <v>218</v>
      </c>
      <c r="G110" s="2">
        <f ca="1">INDIRECT("'"&amp;$E110&amp;"'!$M$12")</f>
        <v>0</v>
      </c>
      <c r="S110" s="2">
        <v>12</v>
      </c>
    </row>
    <row r="111" spans="1:19" x14ac:dyDescent="0.25">
      <c r="A111" s="2">
        <f t="shared" si="542"/>
        <v>5</v>
      </c>
      <c r="B111" s="2">
        <v>18</v>
      </c>
      <c r="C111" s="2" t="s">
        <v>189</v>
      </c>
      <c r="D111" s="88" t="s">
        <v>142</v>
      </c>
      <c r="E111" t="s">
        <v>111</v>
      </c>
      <c r="F111" t="s">
        <v>219</v>
      </c>
      <c r="G111" s="2">
        <f ca="1">INDIRECT("'"&amp;$E111&amp;"'!$M$16")</f>
        <v>0</v>
      </c>
      <c r="S111" s="2">
        <v>12</v>
      </c>
    </row>
    <row r="112" spans="1:19" x14ac:dyDescent="0.25">
      <c r="A112" s="2">
        <f t="shared" si="542"/>
        <v>5</v>
      </c>
      <c r="B112" s="2">
        <v>18</v>
      </c>
      <c r="C112" s="2" t="s">
        <v>189</v>
      </c>
      <c r="D112" s="88" t="s">
        <v>142</v>
      </c>
      <c r="E112" t="s">
        <v>111</v>
      </c>
      <c r="F112" t="s">
        <v>220</v>
      </c>
      <c r="G112" s="2">
        <f ca="1">INDIRECT("'"&amp;$E112&amp;"'!$M$20")</f>
        <v>0</v>
      </c>
      <c r="S112" s="2">
        <v>12</v>
      </c>
    </row>
    <row r="113" spans="1:19" x14ac:dyDescent="0.25">
      <c r="A113" s="2">
        <f t="shared" si="542"/>
        <v>5</v>
      </c>
      <c r="B113" s="2">
        <v>18</v>
      </c>
      <c r="C113" s="2" t="s">
        <v>189</v>
      </c>
      <c r="D113" s="88" t="s">
        <v>142</v>
      </c>
      <c r="E113" t="s">
        <v>111</v>
      </c>
      <c r="F113" t="s">
        <v>221</v>
      </c>
      <c r="G113" s="2">
        <f ca="1">INDIRECT("'"&amp;$E113&amp;"'!$M$24")</f>
        <v>0</v>
      </c>
      <c r="S113" s="2">
        <v>12</v>
      </c>
    </row>
    <row r="114" spans="1:19" x14ac:dyDescent="0.25">
      <c r="A114" s="2">
        <f t="shared" si="542"/>
        <v>5</v>
      </c>
      <c r="B114" s="2">
        <v>18</v>
      </c>
      <c r="C114" s="2" t="s">
        <v>189</v>
      </c>
      <c r="D114" s="88" t="s">
        <v>142</v>
      </c>
      <c r="E114" t="s">
        <v>109</v>
      </c>
      <c r="F114" t="s">
        <v>218</v>
      </c>
      <c r="G114" s="2">
        <f ca="1">INDIRECT("'"&amp;$E114&amp;"'!$M$12")</f>
        <v>0</v>
      </c>
      <c r="S114" s="2">
        <v>12</v>
      </c>
    </row>
    <row r="115" spans="1:19" x14ac:dyDescent="0.25">
      <c r="A115" s="2">
        <f t="shared" si="542"/>
        <v>5</v>
      </c>
      <c r="B115" s="2">
        <v>18</v>
      </c>
      <c r="C115" s="2" t="s">
        <v>189</v>
      </c>
      <c r="D115" s="88" t="s">
        <v>142</v>
      </c>
      <c r="E115" t="s">
        <v>109</v>
      </c>
      <c r="F115" t="s">
        <v>219</v>
      </c>
      <c r="G115" s="2">
        <f ca="1">INDIRECT("'"&amp;$E115&amp;"'!$M$16")</f>
        <v>0</v>
      </c>
      <c r="S115" s="2">
        <v>12</v>
      </c>
    </row>
    <row r="116" spans="1:19" x14ac:dyDescent="0.25">
      <c r="A116" s="2">
        <f t="shared" si="542"/>
        <v>5</v>
      </c>
      <c r="B116" s="2">
        <v>18</v>
      </c>
      <c r="C116" s="2" t="s">
        <v>189</v>
      </c>
      <c r="D116" s="88" t="s">
        <v>142</v>
      </c>
      <c r="E116" t="s">
        <v>109</v>
      </c>
      <c r="F116" t="s">
        <v>220</v>
      </c>
      <c r="G116" s="2">
        <f ca="1">INDIRECT("'"&amp;$E116&amp;"'!$M$20")</f>
        <v>0</v>
      </c>
      <c r="S116" s="2">
        <v>12</v>
      </c>
    </row>
    <row r="117" spans="1:19" x14ac:dyDescent="0.25">
      <c r="A117" s="2">
        <f t="shared" si="542"/>
        <v>5</v>
      </c>
      <c r="B117" s="2">
        <v>18</v>
      </c>
      <c r="C117" s="2" t="s">
        <v>189</v>
      </c>
      <c r="D117" s="88" t="s">
        <v>142</v>
      </c>
      <c r="E117" t="s">
        <v>109</v>
      </c>
      <c r="F117" t="s">
        <v>221</v>
      </c>
      <c r="G117" s="2">
        <f ca="1">INDIRECT("'"&amp;$E117&amp;"'!$M$24")</f>
        <v>0</v>
      </c>
      <c r="S117" s="2">
        <v>12</v>
      </c>
    </row>
    <row r="118" spans="1:19" x14ac:dyDescent="0.25">
      <c r="A118" s="2">
        <f t="shared" si="542"/>
        <v>5</v>
      </c>
      <c r="B118" s="2">
        <v>18</v>
      </c>
      <c r="C118" s="2" t="s">
        <v>189</v>
      </c>
      <c r="D118" s="88" t="s">
        <v>142</v>
      </c>
      <c r="E118" t="s">
        <v>106</v>
      </c>
      <c r="F118" t="s">
        <v>218</v>
      </c>
      <c r="G118" s="2">
        <f ca="1">INDIRECT("'"&amp;$E118&amp;"'!$M$12")</f>
        <v>0</v>
      </c>
      <c r="S118" s="2">
        <v>12</v>
      </c>
    </row>
    <row r="119" spans="1:19" x14ac:dyDescent="0.25">
      <c r="A119" s="2">
        <f t="shared" si="542"/>
        <v>5</v>
      </c>
      <c r="B119" s="2">
        <v>18</v>
      </c>
      <c r="C119" s="2" t="s">
        <v>189</v>
      </c>
      <c r="D119" s="88" t="s">
        <v>142</v>
      </c>
      <c r="E119" t="s">
        <v>106</v>
      </c>
      <c r="F119" t="s">
        <v>219</v>
      </c>
      <c r="G119" s="2">
        <f ca="1">INDIRECT("'"&amp;$E119&amp;"'!$M$16")</f>
        <v>0</v>
      </c>
      <c r="S119" s="2">
        <v>12</v>
      </c>
    </row>
    <row r="120" spans="1:19" x14ac:dyDescent="0.25">
      <c r="A120" s="2">
        <f t="shared" si="542"/>
        <v>5</v>
      </c>
      <c r="B120" s="2">
        <v>18</v>
      </c>
      <c r="C120" s="2" t="s">
        <v>189</v>
      </c>
      <c r="D120" s="88" t="s">
        <v>142</v>
      </c>
      <c r="E120" t="s">
        <v>106</v>
      </c>
      <c r="F120" t="s">
        <v>220</v>
      </c>
      <c r="G120" s="2">
        <f ca="1">INDIRECT("'"&amp;$E120&amp;"'!$M$20")</f>
        <v>0</v>
      </c>
      <c r="S120" s="2">
        <v>12</v>
      </c>
    </row>
    <row r="121" spans="1:19" x14ac:dyDescent="0.25">
      <c r="A121" s="2">
        <f t="shared" si="542"/>
        <v>5</v>
      </c>
      <c r="B121" s="2">
        <v>18</v>
      </c>
      <c r="C121" s="2" t="s">
        <v>189</v>
      </c>
      <c r="D121" s="88" t="s">
        <v>142</v>
      </c>
      <c r="E121" t="s">
        <v>106</v>
      </c>
      <c r="F121" t="s">
        <v>221</v>
      </c>
      <c r="G121" s="2">
        <f ca="1">INDIRECT("'"&amp;$E121&amp;"'!$M$24")</f>
        <v>0</v>
      </c>
      <c r="S121" s="2">
        <v>12</v>
      </c>
    </row>
    <row r="122" spans="1:19" x14ac:dyDescent="0.25">
      <c r="A122" s="2">
        <f t="shared" si="542"/>
        <v>5</v>
      </c>
      <c r="B122" s="2">
        <v>18</v>
      </c>
      <c r="C122" s="2" t="s">
        <v>189</v>
      </c>
      <c r="D122" s="88" t="s">
        <v>142</v>
      </c>
      <c r="E122" t="s">
        <v>107</v>
      </c>
      <c r="F122" t="s">
        <v>218</v>
      </c>
      <c r="G122" s="2">
        <f ca="1">INDIRECT("'"&amp;$E122&amp;"'!$M$12")</f>
        <v>0</v>
      </c>
      <c r="S122" s="2">
        <v>12</v>
      </c>
    </row>
    <row r="123" spans="1:19" x14ac:dyDescent="0.25">
      <c r="A123" s="2">
        <f t="shared" si="542"/>
        <v>5</v>
      </c>
      <c r="B123" s="2">
        <v>18</v>
      </c>
      <c r="C123" s="2" t="s">
        <v>189</v>
      </c>
      <c r="D123" s="88" t="s">
        <v>142</v>
      </c>
      <c r="E123" t="s">
        <v>107</v>
      </c>
      <c r="F123" t="s">
        <v>219</v>
      </c>
      <c r="G123" s="2">
        <f ca="1">INDIRECT("'"&amp;$E123&amp;"'!$M$16")</f>
        <v>0</v>
      </c>
      <c r="S123" s="2">
        <v>12</v>
      </c>
    </row>
    <row r="124" spans="1:19" x14ac:dyDescent="0.25">
      <c r="A124" s="2">
        <f t="shared" si="542"/>
        <v>5</v>
      </c>
      <c r="B124" s="2">
        <v>18</v>
      </c>
      <c r="C124" s="2" t="s">
        <v>189</v>
      </c>
      <c r="D124" s="88" t="s">
        <v>142</v>
      </c>
      <c r="E124" t="s">
        <v>107</v>
      </c>
      <c r="F124" t="s">
        <v>220</v>
      </c>
      <c r="G124" s="2">
        <f ca="1">INDIRECT("'"&amp;$E124&amp;"'!$M$20")</f>
        <v>0</v>
      </c>
      <c r="S124" s="2">
        <v>12</v>
      </c>
    </row>
    <row r="125" spans="1:19" x14ac:dyDescent="0.25">
      <c r="A125" s="2">
        <f t="shared" si="542"/>
        <v>5</v>
      </c>
      <c r="B125" s="2">
        <v>18</v>
      </c>
      <c r="C125" s="2" t="s">
        <v>189</v>
      </c>
      <c r="D125" s="88" t="s">
        <v>142</v>
      </c>
      <c r="E125" t="s">
        <v>107</v>
      </c>
      <c r="F125" t="s">
        <v>221</v>
      </c>
      <c r="G125" s="2">
        <f ca="1">INDIRECT("'"&amp;$E125&amp;"'!$M$24")</f>
        <v>0</v>
      </c>
      <c r="S125" s="2">
        <v>12</v>
      </c>
    </row>
    <row r="126" spans="1:19" x14ac:dyDescent="0.25">
      <c r="A126" s="2">
        <f t="shared" si="542"/>
        <v>5</v>
      </c>
      <c r="B126" s="2">
        <v>18</v>
      </c>
      <c r="C126" s="2" t="s">
        <v>189</v>
      </c>
      <c r="D126" s="88" t="s">
        <v>142</v>
      </c>
      <c r="E126" t="s">
        <v>110</v>
      </c>
      <c r="F126" t="s">
        <v>218</v>
      </c>
      <c r="G126" s="2">
        <f ca="1">INDIRECT("'"&amp;$E126&amp;"'!$M$12")</f>
        <v>0</v>
      </c>
      <c r="S126" s="2">
        <v>12</v>
      </c>
    </row>
    <row r="127" spans="1:19" x14ac:dyDescent="0.25">
      <c r="A127" s="2">
        <f t="shared" si="542"/>
        <v>5</v>
      </c>
      <c r="B127" s="2">
        <v>18</v>
      </c>
      <c r="C127" s="2" t="s">
        <v>189</v>
      </c>
      <c r="D127" s="88" t="s">
        <v>142</v>
      </c>
      <c r="E127" t="s">
        <v>110</v>
      </c>
      <c r="F127" t="s">
        <v>219</v>
      </c>
      <c r="G127" s="2">
        <f ca="1">INDIRECT("'"&amp;$E127&amp;"'!$M$16")</f>
        <v>0</v>
      </c>
      <c r="S127" s="2">
        <v>12</v>
      </c>
    </row>
    <row r="128" spans="1:19" x14ac:dyDescent="0.25">
      <c r="A128" s="2">
        <f t="shared" si="542"/>
        <v>5</v>
      </c>
      <c r="B128" s="2">
        <v>18</v>
      </c>
      <c r="C128" s="2" t="s">
        <v>189</v>
      </c>
      <c r="D128" s="88" t="s">
        <v>142</v>
      </c>
      <c r="E128" t="s">
        <v>110</v>
      </c>
      <c r="F128" t="s">
        <v>220</v>
      </c>
      <c r="G128" s="2">
        <f ca="1">INDIRECT("'"&amp;$E128&amp;"'!$M$20")</f>
        <v>0</v>
      </c>
      <c r="S128" s="2">
        <v>12</v>
      </c>
    </row>
    <row r="129" spans="1:19" x14ac:dyDescent="0.25">
      <c r="A129" s="2">
        <f t="shared" si="542"/>
        <v>5</v>
      </c>
      <c r="B129" s="2">
        <v>18</v>
      </c>
      <c r="C129" s="2" t="s">
        <v>189</v>
      </c>
      <c r="D129" s="88" t="s">
        <v>142</v>
      </c>
      <c r="E129" t="s">
        <v>110</v>
      </c>
      <c r="F129" t="s">
        <v>221</v>
      </c>
      <c r="G129" s="2">
        <f ca="1">INDIRECT("'"&amp;$E129&amp;"'!$M$24")</f>
        <v>0</v>
      </c>
      <c r="S129" s="2">
        <v>12</v>
      </c>
    </row>
    <row r="130" spans="1:19" x14ac:dyDescent="0.25">
      <c r="A130" s="2">
        <f t="shared" si="542"/>
        <v>5</v>
      </c>
      <c r="B130" s="2">
        <v>18</v>
      </c>
      <c r="C130" s="2" t="s">
        <v>189</v>
      </c>
      <c r="D130" s="88" t="s">
        <v>142</v>
      </c>
      <c r="E130" t="s">
        <v>108</v>
      </c>
      <c r="F130" t="s">
        <v>218</v>
      </c>
      <c r="G130" s="2">
        <f ca="1">INDIRECT("'"&amp;$E130&amp;"'!$M$12")</f>
        <v>0</v>
      </c>
      <c r="S130" s="2">
        <v>12</v>
      </c>
    </row>
    <row r="131" spans="1:19" x14ac:dyDescent="0.25">
      <c r="A131" s="2">
        <f t="shared" si="542"/>
        <v>5</v>
      </c>
      <c r="B131" s="2">
        <v>18</v>
      </c>
      <c r="C131" s="2" t="s">
        <v>189</v>
      </c>
      <c r="D131" s="88" t="s">
        <v>142</v>
      </c>
      <c r="E131" t="s">
        <v>108</v>
      </c>
      <c r="F131" t="s">
        <v>219</v>
      </c>
      <c r="G131" s="2">
        <f ca="1">INDIRECT("'"&amp;$E131&amp;"'!$M$16")</f>
        <v>0</v>
      </c>
      <c r="S131" s="2">
        <v>12</v>
      </c>
    </row>
    <row r="132" spans="1:19" x14ac:dyDescent="0.25">
      <c r="A132" s="2">
        <f t="shared" si="542"/>
        <v>5</v>
      </c>
      <c r="B132" s="2">
        <v>18</v>
      </c>
      <c r="C132" s="2" t="s">
        <v>189</v>
      </c>
      <c r="D132" s="88" t="s">
        <v>142</v>
      </c>
      <c r="E132" t="s">
        <v>108</v>
      </c>
      <c r="F132" t="s">
        <v>220</v>
      </c>
      <c r="G132" s="2">
        <f ca="1">INDIRECT("'"&amp;$E132&amp;"'!$M$20")</f>
        <v>0</v>
      </c>
      <c r="S132" s="2">
        <v>12</v>
      </c>
    </row>
    <row r="133" spans="1:19" x14ac:dyDescent="0.25">
      <c r="A133" s="2">
        <f t="shared" si="542"/>
        <v>5</v>
      </c>
      <c r="B133" s="2">
        <v>18</v>
      </c>
      <c r="C133" s="2" t="s">
        <v>189</v>
      </c>
      <c r="D133" s="88" t="s">
        <v>142</v>
      </c>
      <c r="E133" t="s">
        <v>108</v>
      </c>
      <c r="F133" t="s">
        <v>221</v>
      </c>
      <c r="G133" s="2">
        <f ca="1">INDIRECT("'"&amp;$E133&amp;"'!$M$24")</f>
        <v>0</v>
      </c>
      <c r="S133" s="2">
        <v>12</v>
      </c>
    </row>
    <row r="134" spans="1:19" x14ac:dyDescent="0.25">
      <c r="A134" s="2">
        <f t="shared" si="542"/>
        <v>5</v>
      </c>
      <c r="B134" s="2">
        <v>18</v>
      </c>
      <c r="C134" s="2" t="s">
        <v>189</v>
      </c>
      <c r="D134" s="88" t="s">
        <v>142</v>
      </c>
      <c r="E134" t="s">
        <v>70</v>
      </c>
      <c r="F134" t="s">
        <v>218</v>
      </c>
      <c r="G134" s="2">
        <f ca="1">INDIRECT("'"&amp;$E134&amp;"'!$M$12")</f>
        <v>0</v>
      </c>
      <c r="S134" s="2">
        <v>12</v>
      </c>
    </row>
    <row r="135" spans="1:19" x14ac:dyDescent="0.25">
      <c r="A135" s="2">
        <f t="shared" si="542"/>
        <v>5</v>
      </c>
      <c r="B135" s="2">
        <v>18</v>
      </c>
      <c r="C135" s="2" t="s">
        <v>189</v>
      </c>
      <c r="D135" s="88" t="s">
        <v>142</v>
      </c>
      <c r="E135" t="s">
        <v>70</v>
      </c>
      <c r="F135" t="s">
        <v>219</v>
      </c>
      <c r="G135" s="2">
        <f ca="1">INDIRECT("'"&amp;$E135&amp;"'!$M$16")</f>
        <v>0</v>
      </c>
      <c r="S135" s="2">
        <v>12</v>
      </c>
    </row>
    <row r="136" spans="1:19" x14ac:dyDescent="0.25">
      <c r="A136" s="2">
        <f t="shared" si="542"/>
        <v>5</v>
      </c>
      <c r="B136" s="2">
        <v>18</v>
      </c>
      <c r="C136" s="2" t="s">
        <v>189</v>
      </c>
      <c r="D136" s="88" t="s">
        <v>142</v>
      </c>
      <c r="E136" t="s">
        <v>70</v>
      </c>
      <c r="F136" t="s">
        <v>220</v>
      </c>
      <c r="G136" s="2">
        <f ca="1">INDIRECT("'"&amp;$E136&amp;"'!$M$20")</f>
        <v>0</v>
      </c>
      <c r="S136" s="2">
        <v>12</v>
      </c>
    </row>
    <row r="137" spans="1:19" x14ac:dyDescent="0.25">
      <c r="A137" s="2">
        <f t="shared" si="542"/>
        <v>5</v>
      </c>
      <c r="B137" s="2">
        <v>18</v>
      </c>
      <c r="C137" s="2" t="s">
        <v>189</v>
      </c>
      <c r="D137" s="88" t="s">
        <v>142</v>
      </c>
      <c r="E137" t="s">
        <v>70</v>
      </c>
      <c r="F137" t="s">
        <v>221</v>
      </c>
      <c r="G137" s="2">
        <f ca="1">INDIRECT("'"&amp;$E137&amp;"'!$M$24")</f>
        <v>0</v>
      </c>
      <c r="S137" s="2">
        <v>12</v>
      </c>
    </row>
    <row r="138" spans="1:19" x14ac:dyDescent="0.25">
      <c r="A138" s="2">
        <f t="shared" si="542"/>
        <v>5</v>
      </c>
      <c r="B138" s="2">
        <v>18</v>
      </c>
      <c r="C138" s="2" t="s">
        <v>189</v>
      </c>
      <c r="D138" s="88" t="s">
        <v>195</v>
      </c>
      <c r="E138" t="s">
        <v>104</v>
      </c>
      <c r="F138" t="s">
        <v>218</v>
      </c>
      <c r="G138" s="2">
        <f ca="1">INDIRECT("'"&amp;$E102&amp;"'!$N$12")</f>
        <v>0</v>
      </c>
      <c r="S138" s="2">
        <v>12</v>
      </c>
    </row>
    <row r="139" spans="1:19" x14ac:dyDescent="0.25">
      <c r="A139" s="2">
        <f t="shared" si="542"/>
        <v>5</v>
      </c>
      <c r="B139" s="2">
        <v>18</v>
      </c>
      <c r="C139" s="2" t="s">
        <v>189</v>
      </c>
      <c r="D139" s="88" t="s">
        <v>195</v>
      </c>
      <c r="E139" t="s">
        <v>104</v>
      </c>
      <c r="F139" t="s">
        <v>219</v>
      </c>
      <c r="G139" s="2">
        <f ca="1">INDIRECT("'"&amp;$E103&amp;"'!$N$16")</f>
        <v>0</v>
      </c>
      <c r="S139" s="2">
        <v>12</v>
      </c>
    </row>
    <row r="140" spans="1:19" x14ac:dyDescent="0.25">
      <c r="A140" s="2">
        <f t="shared" si="542"/>
        <v>5</v>
      </c>
      <c r="B140" s="2">
        <v>18</v>
      </c>
      <c r="C140" s="2" t="s">
        <v>189</v>
      </c>
      <c r="D140" s="88" t="s">
        <v>195</v>
      </c>
      <c r="E140" t="s">
        <v>104</v>
      </c>
      <c r="F140" t="s">
        <v>220</v>
      </c>
      <c r="G140" s="2">
        <f ca="1">INDIRECT("'"&amp;$E104&amp;"'!$N$20")</f>
        <v>0</v>
      </c>
      <c r="S140" s="2">
        <v>12</v>
      </c>
    </row>
    <row r="141" spans="1:19" x14ac:dyDescent="0.25">
      <c r="A141" s="2">
        <f t="shared" si="542"/>
        <v>5</v>
      </c>
      <c r="B141" s="2">
        <v>18</v>
      </c>
      <c r="C141" s="2" t="s">
        <v>189</v>
      </c>
      <c r="D141" s="88" t="s">
        <v>195</v>
      </c>
      <c r="E141" t="s">
        <v>104</v>
      </c>
      <c r="F141" t="s">
        <v>221</v>
      </c>
      <c r="G141" s="2">
        <f ca="1">INDIRECT("'"&amp;$E105&amp;"'!$N$24")</f>
        <v>0</v>
      </c>
      <c r="S141" s="2">
        <v>12</v>
      </c>
    </row>
    <row r="142" spans="1:19" x14ac:dyDescent="0.25">
      <c r="A142" s="2">
        <f t="shared" si="542"/>
        <v>5</v>
      </c>
      <c r="B142" s="2">
        <v>18</v>
      </c>
      <c r="C142" s="2" t="s">
        <v>189</v>
      </c>
      <c r="D142" s="88" t="s">
        <v>195</v>
      </c>
      <c r="E142" t="s">
        <v>105</v>
      </c>
      <c r="F142" t="s">
        <v>218</v>
      </c>
      <c r="G142" s="2">
        <f ca="1">INDIRECT("'"&amp;$E106&amp;"'!$N$12")</f>
        <v>0</v>
      </c>
      <c r="S142" s="2">
        <v>12</v>
      </c>
    </row>
    <row r="143" spans="1:19" x14ac:dyDescent="0.25">
      <c r="A143" s="2">
        <f t="shared" si="542"/>
        <v>5</v>
      </c>
      <c r="B143" s="2">
        <v>18</v>
      </c>
      <c r="C143" s="2" t="s">
        <v>189</v>
      </c>
      <c r="D143" s="88" t="s">
        <v>195</v>
      </c>
      <c r="E143" t="s">
        <v>105</v>
      </c>
      <c r="F143" t="s">
        <v>219</v>
      </c>
      <c r="G143" s="2">
        <f ca="1">INDIRECT("'"&amp;$E107&amp;"'!$N$16")</f>
        <v>0</v>
      </c>
      <c r="S143" s="2">
        <v>12</v>
      </c>
    </row>
    <row r="144" spans="1:19" x14ac:dyDescent="0.25">
      <c r="A144" s="2">
        <f t="shared" si="542"/>
        <v>5</v>
      </c>
      <c r="B144" s="2">
        <v>18</v>
      </c>
      <c r="C144" s="2" t="s">
        <v>189</v>
      </c>
      <c r="D144" s="88" t="s">
        <v>195</v>
      </c>
      <c r="E144" t="s">
        <v>105</v>
      </c>
      <c r="F144" t="s">
        <v>220</v>
      </c>
      <c r="G144" s="2">
        <f ca="1">INDIRECT("'"&amp;$E108&amp;"'!$N$20")</f>
        <v>0</v>
      </c>
      <c r="S144" s="2">
        <v>12</v>
      </c>
    </row>
    <row r="145" spans="1:19" x14ac:dyDescent="0.25">
      <c r="A145" s="2">
        <f t="shared" si="542"/>
        <v>5</v>
      </c>
      <c r="B145" s="2">
        <v>18</v>
      </c>
      <c r="C145" s="2" t="s">
        <v>189</v>
      </c>
      <c r="D145" s="88" t="s">
        <v>195</v>
      </c>
      <c r="E145" t="s">
        <v>105</v>
      </c>
      <c r="F145" t="s">
        <v>221</v>
      </c>
      <c r="G145" s="2">
        <f ca="1">INDIRECT("'"&amp;$E109&amp;"'!$N$24")</f>
        <v>0</v>
      </c>
      <c r="S145" s="2">
        <v>12</v>
      </c>
    </row>
    <row r="146" spans="1:19" x14ac:dyDescent="0.25">
      <c r="A146" s="2">
        <f t="shared" si="542"/>
        <v>5</v>
      </c>
      <c r="B146" s="2">
        <v>18</v>
      </c>
      <c r="C146" s="2" t="s">
        <v>189</v>
      </c>
      <c r="D146" s="88" t="s">
        <v>195</v>
      </c>
      <c r="E146" t="s">
        <v>111</v>
      </c>
      <c r="F146" t="s">
        <v>218</v>
      </c>
      <c r="G146" s="2">
        <f ca="1">INDIRECT("'"&amp;$E110&amp;"'!$N$12")</f>
        <v>0</v>
      </c>
      <c r="S146" s="2">
        <v>12</v>
      </c>
    </row>
    <row r="147" spans="1:19" x14ac:dyDescent="0.25">
      <c r="A147" s="2">
        <f t="shared" si="542"/>
        <v>5</v>
      </c>
      <c r="B147" s="2">
        <v>18</v>
      </c>
      <c r="C147" s="2" t="s">
        <v>189</v>
      </c>
      <c r="D147" s="88" t="s">
        <v>195</v>
      </c>
      <c r="E147" t="s">
        <v>111</v>
      </c>
      <c r="F147" t="s">
        <v>219</v>
      </c>
      <c r="G147" s="2">
        <f ca="1">INDIRECT("'"&amp;$E111&amp;"'!$N$16")</f>
        <v>0</v>
      </c>
      <c r="S147" s="2">
        <v>12</v>
      </c>
    </row>
    <row r="148" spans="1:19" x14ac:dyDescent="0.25">
      <c r="A148" s="2">
        <f t="shared" si="542"/>
        <v>5</v>
      </c>
      <c r="B148" s="2">
        <v>18</v>
      </c>
      <c r="C148" s="2" t="s">
        <v>189</v>
      </c>
      <c r="D148" s="88" t="s">
        <v>195</v>
      </c>
      <c r="E148" t="s">
        <v>111</v>
      </c>
      <c r="F148" t="s">
        <v>220</v>
      </c>
      <c r="G148" s="2">
        <f ca="1">INDIRECT("'"&amp;$E112&amp;"'!$N$20")</f>
        <v>0</v>
      </c>
      <c r="S148" s="2">
        <v>12</v>
      </c>
    </row>
    <row r="149" spans="1:19" x14ac:dyDescent="0.25">
      <c r="A149" s="2">
        <f t="shared" si="542"/>
        <v>5</v>
      </c>
      <c r="B149" s="2">
        <v>18</v>
      </c>
      <c r="C149" s="2" t="s">
        <v>189</v>
      </c>
      <c r="D149" s="88" t="s">
        <v>195</v>
      </c>
      <c r="E149" t="s">
        <v>111</v>
      </c>
      <c r="F149" t="s">
        <v>221</v>
      </c>
      <c r="G149" s="2">
        <f ca="1">INDIRECT("'"&amp;$E113&amp;"'!$N$24")</f>
        <v>0</v>
      </c>
      <c r="S149" s="2">
        <v>12</v>
      </c>
    </row>
    <row r="150" spans="1:19" x14ac:dyDescent="0.25">
      <c r="A150" s="2">
        <f t="shared" si="542"/>
        <v>5</v>
      </c>
      <c r="B150" s="2">
        <v>18</v>
      </c>
      <c r="C150" s="2" t="s">
        <v>189</v>
      </c>
      <c r="D150" s="88" t="s">
        <v>195</v>
      </c>
      <c r="E150" t="s">
        <v>109</v>
      </c>
      <c r="F150" t="s">
        <v>218</v>
      </c>
      <c r="G150" s="2">
        <f ca="1">INDIRECT("'"&amp;$E114&amp;"'!$N$12")</f>
        <v>0</v>
      </c>
      <c r="S150" s="2">
        <v>12</v>
      </c>
    </row>
    <row r="151" spans="1:19" x14ac:dyDescent="0.25">
      <c r="A151" s="2">
        <f t="shared" si="542"/>
        <v>5</v>
      </c>
      <c r="B151" s="2">
        <v>18</v>
      </c>
      <c r="C151" s="2" t="s">
        <v>189</v>
      </c>
      <c r="D151" s="88" t="s">
        <v>195</v>
      </c>
      <c r="E151" t="s">
        <v>109</v>
      </c>
      <c r="F151" t="s">
        <v>219</v>
      </c>
      <c r="G151" s="2">
        <f ca="1">INDIRECT("'"&amp;$E115&amp;"'!$N$16")</f>
        <v>0</v>
      </c>
      <c r="S151" s="2">
        <v>12</v>
      </c>
    </row>
    <row r="152" spans="1:19" x14ac:dyDescent="0.25">
      <c r="A152" s="2">
        <f t="shared" si="542"/>
        <v>5</v>
      </c>
      <c r="B152" s="2">
        <v>18</v>
      </c>
      <c r="C152" s="2" t="s">
        <v>189</v>
      </c>
      <c r="D152" s="88" t="s">
        <v>195</v>
      </c>
      <c r="E152" t="s">
        <v>109</v>
      </c>
      <c r="F152" t="s">
        <v>220</v>
      </c>
      <c r="G152" s="2">
        <f ca="1">INDIRECT("'"&amp;$E116&amp;"'!$N$20")</f>
        <v>0</v>
      </c>
      <c r="S152" s="2">
        <v>12</v>
      </c>
    </row>
    <row r="153" spans="1:19" x14ac:dyDescent="0.25">
      <c r="A153" s="2">
        <f t="shared" si="542"/>
        <v>5</v>
      </c>
      <c r="B153" s="2">
        <v>18</v>
      </c>
      <c r="C153" s="2" t="s">
        <v>189</v>
      </c>
      <c r="D153" s="88" t="s">
        <v>195</v>
      </c>
      <c r="E153" t="s">
        <v>109</v>
      </c>
      <c r="F153" t="s">
        <v>221</v>
      </c>
      <c r="G153" s="2">
        <f ca="1">INDIRECT("'"&amp;$E117&amp;"'!$N$24")</f>
        <v>0</v>
      </c>
      <c r="S153" s="2">
        <v>12</v>
      </c>
    </row>
    <row r="154" spans="1:19" x14ac:dyDescent="0.25">
      <c r="A154" s="2">
        <f t="shared" si="542"/>
        <v>5</v>
      </c>
      <c r="B154" s="2">
        <v>18</v>
      </c>
      <c r="C154" s="2" t="s">
        <v>189</v>
      </c>
      <c r="D154" s="88" t="s">
        <v>195</v>
      </c>
      <c r="E154" t="s">
        <v>106</v>
      </c>
      <c r="F154" t="s">
        <v>218</v>
      </c>
      <c r="G154" s="2">
        <f ca="1">INDIRECT("'"&amp;$E118&amp;"'!$N$12")</f>
        <v>0</v>
      </c>
      <c r="S154" s="2">
        <v>12</v>
      </c>
    </row>
    <row r="155" spans="1:19" x14ac:dyDescent="0.25">
      <c r="A155" s="2">
        <f t="shared" si="542"/>
        <v>5</v>
      </c>
      <c r="B155" s="2">
        <v>18</v>
      </c>
      <c r="C155" s="2" t="s">
        <v>189</v>
      </c>
      <c r="D155" s="88" t="s">
        <v>195</v>
      </c>
      <c r="E155" t="s">
        <v>106</v>
      </c>
      <c r="F155" t="s">
        <v>219</v>
      </c>
      <c r="G155" s="2">
        <f ca="1">INDIRECT("'"&amp;$E119&amp;"'!$N$16")</f>
        <v>0</v>
      </c>
      <c r="S155" s="2">
        <v>12</v>
      </c>
    </row>
    <row r="156" spans="1:19" x14ac:dyDescent="0.25">
      <c r="A156" s="2">
        <f t="shared" si="542"/>
        <v>5</v>
      </c>
      <c r="B156" s="2">
        <v>18</v>
      </c>
      <c r="C156" s="2" t="s">
        <v>189</v>
      </c>
      <c r="D156" s="88" t="s">
        <v>195</v>
      </c>
      <c r="E156" t="s">
        <v>106</v>
      </c>
      <c r="F156" t="s">
        <v>220</v>
      </c>
      <c r="G156" s="2">
        <f ca="1">INDIRECT("'"&amp;$E120&amp;"'!$N$20")</f>
        <v>0</v>
      </c>
      <c r="S156" s="2">
        <v>12</v>
      </c>
    </row>
    <row r="157" spans="1:19" x14ac:dyDescent="0.25">
      <c r="A157" s="2">
        <f t="shared" si="542"/>
        <v>5</v>
      </c>
      <c r="B157" s="2">
        <v>18</v>
      </c>
      <c r="C157" s="2" t="s">
        <v>189</v>
      </c>
      <c r="D157" s="88" t="s">
        <v>195</v>
      </c>
      <c r="E157" t="s">
        <v>106</v>
      </c>
      <c r="F157" t="s">
        <v>221</v>
      </c>
      <c r="G157" s="2">
        <f ca="1">INDIRECT("'"&amp;$E121&amp;"'!$N$24")</f>
        <v>0</v>
      </c>
      <c r="S157" s="2">
        <v>12</v>
      </c>
    </row>
    <row r="158" spans="1:19" x14ac:dyDescent="0.25">
      <c r="A158" s="2">
        <f t="shared" si="542"/>
        <v>5</v>
      </c>
      <c r="B158" s="2">
        <v>18</v>
      </c>
      <c r="C158" s="2" t="s">
        <v>189</v>
      </c>
      <c r="D158" s="88" t="s">
        <v>195</v>
      </c>
      <c r="E158" t="s">
        <v>107</v>
      </c>
      <c r="F158" t="s">
        <v>218</v>
      </c>
      <c r="G158" s="2">
        <f ca="1">INDIRECT("'"&amp;$E122&amp;"'!$N$12")</f>
        <v>0</v>
      </c>
      <c r="S158" s="2">
        <v>12</v>
      </c>
    </row>
    <row r="159" spans="1:19" x14ac:dyDescent="0.25">
      <c r="A159" s="2">
        <f t="shared" si="542"/>
        <v>5</v>
      </c>
      <c r="B159" s="2">
        <v>18</v>
      </c>
      <c r="C159" s="2" t="s">
        <v>189</v>
      </c>
      <c r="D159" s="88" t="s">
        <v>195</v>
      </c>
      <c r="E159" t="s">
        <v>107</v>
      </c>
      <c r="F159" t="s">
        <v>219</v>
      </c>
      <c r="G159" s="2">
        <f ca="1">INDIRECT("'"&amp;$E123&amp;"'!$N$16")</f>
        <v>0</v>
      </c>
      <c r="S159" s="2">
        <v>12</v>
      </c>
    </row>
    <row r="160" spans="1:19" x14ac:dyDescent="0.25">
      <c r="A160" s="2">
        <f t="shared" si="542"/>
        <v>5</v>
      </c>
      <c r="B160" s="2">
        <v>18</v>
      </c>
      <c r="C160" s="2" t="s">
        <v>189</v>
      </c>
      <c r="D160" s="88" t="s">
        <v>195</v>
      </c>
      <c r="E160" t="s">
        <v>107</v>
      </c>
      <c r="F160" t="s">
        <v>220</v>
      </c>
      <c r="G160" s="2">
        <f ca="1">INDIRECT("'"&amp;$E124&amp;"'!$N$20")</f>
        <v>0</v>
      </c>
      <c r="S160" s="2">
        <v>12</v>
      </c>
    </row>
    <row r="161" spans="1:19" x14ac:dyDescent="0.25">
      <c r="A161" s="2">
        <f t="shared" si="542"/>
        <v>5</v>
      </c>
      <c r="B161" s="2">
        <v>18</v>
      </c>
      <c r="C161" s="2" t="s">
        <v>189</v>
      </c>
      <c r="D161" s="88" t="s">
        <v>195</v>
      </c>
      <c r="E161" t="s">
        <v>107</v>
      </c>
      <c r="F161" t="s">
        <v>221</v>
      </c>
      <c r="G161" s="2">
        <f ca="1">INDIRECT("'"&amp;$E125&amp;"'!$N$24")</f>
        <v>0</v>
      </c>
      <c r="S161" s="2">
        <v>12</v>
      </c>
    </row>
    <row r="162" spans="1:19" x14ac:dyDescent="0.25">
      <c r="A162" s="2">
        <f t="shared" si="542"/>
        <v>5</v>
      </c>
      <c r="B162" s="2">
        <v>18</v>
      </c>
      <c r="C162" s="2" t="s">
        <v>189</v>
      </c>
      <c r="D162" s="88" t="s">
        <v>195</v>
      </c>
      <c r="E162" t="s">
        <v>110</v>
      </c>
      <c r="F162" t="s">
        <v>218</v>
      </c>
      <c r="G162" s="2">
        <f ca="1">INDIRECT("'"&amp;$E126&amp;"'!$N$12")</f>
        <v>0</v>
      </c>
      <c r="S162" s="2">
        <v>12</v>
      </c>
    </row>
    <row r="163" spans="1:19" x14ac:dyDescent="0.25">
      <c r="A163" s="2">
        <f t="shared" si="542"/>
        <v>5</v>
      </c>
      <c r="B163" s="2">
        <v>18</v>
      </c>
      <c r="C163" s="2" t="s">
        <v>189</v>
      </c>
      <c r="D163" s="88" t="s">
        <v>195</v>
      </c>
      <c r="E163" t="s">
        <v>110</v>
      </c>
      <c r="F163" t="s">
        <v>219</v>
      </c>
      <c r="G163" s="2">
        <f ca="1">INDIRECT("'"&amp;$E127&amp;"'!$N$16")</f>
        <v>0</v>
      </c>
      <c r="S163" s="2">
        <v>12</v>
      </c>
    </row>
    <row r="164" spans="1:19" x14ac:dyDescent="0.25">
      <c r="A164" s="2">
        <f t="shared" si="542"/>
        <v>5</v>
      </c>
      <c r="B164" s="2">
        <v>18</v>
      </c>
      <c r="C164" s="2" t="s">
        <v>189</v>
      </c>
      <c r="D164" s="88" t="s">
        <v>195</v>
      </c>
      <c r="E164" t="s">
        <v>110</v>
      </c>
      <c r="F164" t="s">
        <v>220</v>
      </c>
      <c r="G164" s="2">
        <f ca="1">INDIRECT("'"&amp;$E128&amp;"'!$N$20")</f>
        <v>0</v>
      </c>
      <c r="S164" s="2">
        <v>12</v>
      </c>
    </row>
    <row r="165" spans="1:19" x14ac:dyDescent="0.25">
      <c r="A165" s="2">
        <f t="shared" si="542"/>
        <v>5</v>
      </c>
      <c r="B165" s="2">
        <v>18</v>
      </c>
      <c r="C165" s="2" t="s">
        <v>189</v>
      </c>
      <c r="D165" s="88" t="s">
        <v>195</v>
      </c>
      <c r="E165" t="s">
        <v>110</v>
      </c>
      <c r="F165" t="s">
        <v>221</v>
      </c>
      <c r="G165" s="2">
        <f ca="1">INDIRECT("'"&amp;$E129&amp;"'!$N$24")</f>
        <v>0</v>
      </c>
      <c r="S165" s="2">
        <v>12</v>
      </c>
    </row>
    <row r="166" spans="1:19" x14ac:dyDescent="0.25">
      <c r="A166" s="2">
        <f t="shared" si="542"/>
        <v>5</v>
      </c>
      <c r="B166" s="2">
        <v>18</v>
      </c>
      <c r="C166" s="2" t="s">
        <v>189</v>
      </c>
      <c r="D166" s="88" t="s">
        <v>195</v>
      </c>
      <c r="E166" t="s">
        <v>108</v>
      </c>
      <c r="F166" t="s">
        <v>218</v>
      </c>
      <c r="G166" s="2">
        <f ca="1">INDIRECT("'"&amp;$E130&amp;"'!$N$12")</f>
        <v>0</v>
      </c>
      <c r="S166" s="2">
        <v>12</v>
      </c>
    </row>
    <row r="167" spans="1:19" x14ac:dyDescent="0.25">
      <c r="A167" s="2">
        <f t="shared" si="542"/>
        <v>5</v>
      </c>
      <c r="B167" s="2">
        <v>18</v>
      </c>
      <c r="C167" s="2" t="s">
        <v>189</v>
      </c>
      <c r="D167" s="88" t="s">
        <v>195</v>
      </c>
      <c r="E167" t="s">
        <v>108</v>
      </c>
      <c r="F167" t="s">
        <v>219</v>
      </c>
      <c r="G167" s="2">
        <f ca="1">INDIRECT("'"&amp;$E131&amp;"'!$N$16")</f>
        <v>0</v>
      </c>
      <c r="S167" s="2">
        <v>12</v>
      </c>
    </row>
    <row r="168" spans="1:19" x14ac:dyDescent="0.25">
      <c r="A168" s="2">
        <f t="shared" ref="A168:A209" si="543">A167</f>
        <v>5</v>
      </c>
      <c r="B168" s="2">
        <v>18</v>
      </c>
      <c r="C168" s="2" t="s">
        <v>189</v>
      </c>
      <c r="D168" s="88" t="s">
        <v>195</v>
      </c>
      <c r="E168" t="s">
        <v>108</v>
      </c>
      <c r="F168" t="s">
        <v>220</v>
      </c>
      <c r="G168" s="2">
        <f ca="1">INDIRECT("'"&amp;$E132&amp;"'!$N$20")</f>
        <v>0</v>
      </c>
      <c r="S168" s="2">
        <v>12</v>
      </c>
    </row>
    <row r="169" spans="1:19" x14ac:dyDescent="0.25">
      <c r="A169" s="2">
        <f t="shared" si="543"/>
        <v>5</v>
      </c>
      <c r="B169" s="2">
        <v>18</v>
      </c>
      <c r="C169" s="2" t="s">
        <v>189</v>
      </c>
      <c r="D169" s="88" t="s">
        <v>195</v>
      </c>
      <c r="E169" t="s">
        <v>108</v>
      </c>
      <c r="F169" t="s">
        <v>221</v>
      </c>
      <c r="G169" s="2">
        <f ca="1">INDIRECT("'"&amp;$E133&amp;"'!$N$24")</f>
        <v>0</v>
      </c>
      <c r="S169" s="2">
        <v>12</v>
      </c>
    </row>
    <row r="170" spans="1:19" x14ac:dyDescent="0.25">
      <c r="A170" s="2">
        <f t="shared" si="543"/>
        <v>5</v>
      </c>
      <c r="B170" s="2">
        <v>18</v>
      </c>
      <c r="C170" s="2" t="s">
        <v>189</v>
      </c>
      <c r="D170" s="88" t="s">
        <v>195</v>
      </c>
      <c r="E170" t="s">
        <v>70</v>
      </c>
      <c r="F170" t="s">
        <v>218</v>
      </c>
      <c r="G170" s="2">
        <f ca="1">INDIRECT("'"&amp;$E134&amp;"'!$N$12")</f>
        <v>0</v>
      </c>
      <c r="S170" s="2">
        <v>12</v>
      </c>
    </row>
    <row r="171" spans="1:19" x14ac:dyDescent="0.25">
      <c r="A171" s="2">
        <f t="shared" si="543"/>
        <v>5</v>
      </c>
      <c r="B171" s="2">
        <v>18</v>
      </c>
      <c r="C171" s="2" t="s">
        <v>189</v>
      </c>
      <c r="D171" s="88" t="s">
        <v>195</v>
      </c>
      <c r="E171" t="s">
        <v>70</v>
      </c>
      <c r="F171" t="s">
        <v>219</v>
      </c>
      <c r="G171" s="2">
        <f ca="1">INDIRECT("'"&amp;$E135&amp;"'!$N$16")</f>
        <v>0</v>
      </c>
      <c r="S171" s="2">
        <v>12</v>
      </c>
    </row>
    <row r="172" spans="1:19" x14ac:dyDescent="0.25">
      <c r="A172" s="2">
        <f t="shared" si="543"/>
        <v>5</v>
      </c>
      <c r="B172" s="2">
        <v>18</v>
      </c>
      <c r="C172" s="2" t="s">
        <v>189</v>
      </c>
      <c r="D172" s="88" t="s">
        <v>195</v>
      </c>
      <c r="E172" t="s">
        <v>70</v>
      </c>
      <c r="F172" t="s">
        <v>220</v>
      </c>
      <c r="G172" s="2">
        <f ca="1">INDIRECT("'"&amp;$E136&amp;"'!$N$20")</f>
        <v>0</v>
      </c>
      <c r="S172" s="2">
        <v>12</v>
      </c>
    </row>
    <row r="173" spans="1:19" x14ac:dyDescent="0.25">
      <c r="A173" s="2">
        <f t="shared" si="543"/>
        <v>5</v>
      </c>
      <c r="B173" s="2">
        <v>18</v>
      </c>
      <c r="C173" s="2" t="s">
        <v>189</v>
      </c>
      <c r="D173" s="88" t="s">
        <v>195</v>
      </c>
      <c r="E173" t="s">
        <v>70</v>
      </c>
      <c r="F173" t="s">
        <v>221</v>
      </c>
      <c r="G173" s="2">
        <f ca="1">INDIRECT("'"&amp;$E137&amp;"'!$N$24")</f>
        <v>0</v>
      </c>
      <c r="S173" s="2">
        <v>12</v>
      </c>
    </row>
    <row r="174" spans="1:19" x14ac:dyDescent="0.25">
      <c r="A174" s="2">
        <f t="shared" si="543"/>
        <v>5</v>
      </c>
      <c r="B174" s="2">
        <v>18</v>
      </c>
      <c r="C174" s="2" t="s">
        <v>189</v>
      </c>
      <c r="D174" s="88" t="s">
        <v>196</v>
      </c>
      <c r="E174" t="s">
        <v>104</v>
      </c>
      <c r="F174" t="s">
        <v>218</v>
      </c>
      <c r="G174" s="2">
        <f ca="1">IF(N21&lt;LookupData!$AA$3,1,0)</f>
        <v>0</v>
      </c>
      <c r="S174" s="2">
        <v>12</v>
      </c>
    </row>
    <row r="175" spans="1:19" x14ac:dyDescent="0.25">
      <c r="A175" s="2">
        <f t="shared" si="543"/>
        <v>5</v>
      </c>
      <c r="B175" s="2">
        <v>18</v>
      </c>
      <c r="C175" s="2" t="s">
        <v>189</v>
      </c>
      <c r="D175" s="88" t="s">
        <v>196</v>
      </c>
      <c r="E175" t="s">
        <v>104</v>
      </c>
      <c r="F175" t="s">
        <v>219</v>
      </c>
      <c r="G175" s="2">
        <f ca="1">IF(N22&lt;LookupData!$AA$3,1,0)</f>
        <v>1</v>
      </c>
      <c r="S175" s="2">
        <v>12</v>
      </c>
    </row>
    <row r="176" spans="1:19" x14ac:dyDescent="0.25">
      <c r="A176" s="2">
        <f t="shared" si="543"/>
        <v>5</v>
      </c>
      <c r="B176" s="2">
        <v>18</v>
      </c>
      <c r="C176" s="2" t="s">
        <v>189</v>
      </c>
      <c r="D176" s="88" t="s">
        <v>196</v>
      </c>
      <c r="E176" t="s">
        <v>104</v>
      </c>
      <c r="F176" t="s">
        <v>220</v>
      </c>
      <c r="G176" s="2">
        <f ca="1">IF(N23&lt;LookupData!$AA$3,1,0)</f>
        <v>0</v>
      </c>
      <c r="S176" s="2">
        <v>12</v>
      </c>
    </row>
    <row r="177" spans="1:19" x14ac:dyDescent="0.25">
      <c r="A177" s="2">
        <f t="shared" si="543"/>
        <v>5</v>
      </c>
      <c r="B177" s="2">
        <v>18</v>
      </c>
      <c r="C177" s="2" t="s">
        <v>189</v>
      </c>
      <c r="D177" s="88" t="s">
        <v>196</v>
      </c>
      <c r="E177" t="s">
        <v>104</v>
      </c>
      <c r="F177" t="s">
        <v>221</v>
      </c>
      <c r="G177" s="2">
        <f ca="1">IF(N24&lt;LookupData!$AA$3,1,0)</f>
        <v>0</v>
      </c>
      <c r="S177" s="2">
        <v>12</v>
      </c>
    </row>
    <row r="178" spans="1:19" x14ac:dyDescent="0.25">
      <c r="A178" s="2">
        <f t="shared" si="543"/>
        <v>5</v>
      </c>
      <c r="B178" s="2">
        <v>18</v>
      </c>
      <c r="C178" s="2" t="s">
        <v>189</v>
      </c>
      <c r="D178" s="88" t="s">
        <v>196</v>
      </c>
      <c r="E178" t="s">
        <v>105</v>
      </c>
      <c r="F178" t="s">
        <v>218</v>
      </c>
      <c r="G178" s="2">
        <f ca="1">IF(N37&lt;LookupData!$AA$5,1,0)</f>
        <v>1</v>
      </c>
      <c r="S178" s="2">
        <v>12</v>
      </c>
    </row>
    <row r="179" spans="1:19" x14ac:dyDescent="0.25">
      <c r="A179" s="2">
        <f t="shared" si="543"/>
        <v>5</v>
      </c>
      <c r="B179" s="2">
        <v>18</v>
      </c>
      <c r="C179" s="2" t="s">
        <v>189</v>
      </c>
      <c r="D179" s="88" t="s">
        <v>196</v>
      </c>
      <c r="E179" t="s">
        <v>105</v>
      </c>
      <c r="F179" t="s">
        <v>219</v>
      </c>
      <c r="G179" s="2">
        <f ca="1">IF(N38&lt;LookupData!$AA$5,1,0)</f>
        <v>1</v>
      </c>
      <c r="S179" s="2">
        <v>12</v>
      </c>
    </row>
    <row r="180" spans="1:19" x14ac:dyDescent="0.25">
      <c r="A180" s="2">
        <f t="shared" si="543"/>
        <v>5</v>
      </c>
      <c r="B180" s="2">
        <v>18</v>
      </c>
      <c r="C180" s="2" t="s">
        <v>189</v>
      </c>
      <c r="D180" s="88" t="s">
        <v>196</v>
      </c>
      <c r="E180" t="s">
        <v>105</v>
      </c>
      <c r="F180" t="s">
        <v>220</v>
      </c>
      <c r="G180" s="2">
        <f ca="1">IF(N39&lt;LookupData!$AA$5,1,0)</f>
        <v>0</v>
      </c>
      <c r="S180" s="2">
        <v>12</v>
      </c>
    </row>
    <row r="181" spans="1:19" x14ac:dyDescent="0.25">
      <c r="A181" s="2">
        <f t="shared" si="543"/>
        <v>5</v>
      </c>
      <c r="B181" s="2">
        <v>18</v>
      </c>
      <c r="C181" s="2" t="s">
        <v>189</v>
      </c>
      <c r="D181" s="88" t="s">
        <v>196</v>
      </c>
      <c r="E181" t="s">
        <v>105</v>
      </c>
      <c r="F181" t="s">
        <v>221</v>
      </c>
      <c r="G181" s="2">
        <f ca="1">IF(N40&lt;LookupData!$AA$5,1,0)</f>
        <v>0</v>
      </c>
      <c r="S181" s="2">
        <v>12</v>
      </c>
    </row>
    <row r="182" spans="1:19" x14ac:dyDescent="0.25">
      <c r="A182" s="2">
        <f t="shared" si="543"/>
        <v>5</v>
      </c>
      <c r="B182" s="2">
        <v>18</v>
      </c>
      <c r="C182" s="2" t="s">
        <v>189</v>
      </c>
      <c r="D182" s="88" t="s">
        <v>196</v>
      </c>
      <c r="E182" t="s">
        <v>111</v>
      </c>
      <c r="F182" t="s">
        <v>218</v>
      </c>
      <c r="G182" s="2">
        <f ca="1">IF(N45&lt;LookupData!$AA$6,1,0)</f>
        <v>1</v>
      </c>
      <c r="S182" s="2">
        <v>12</v>
      </c>
    </row>
    <row r="183" spans="1:19" x14ac:dyDescent="0.25">
      <c r="A183" s="2">
        <f t="shared" si="543"/>
        <v>5</v>
      </c>
      <c r="B183" s="2">
        <v>18</v>
      </c>
      <c r="C183" s="2" t="s">
        <v>189</v>
      </c>
      <c r="D183" s="88" t="s">
        <v>196</v>
      </c>
      <c r="E183" t="s">
        <v>111</v>
      </c>
      <c r="F183" t="s">
        <v>219</v>
      </c>
      <c r="G183" s="2">
        <f ca="1">IF(N46&lt;LookupData!$AA$6,1,0)</f>
        <v>1</v>
      </c>
      <c r="S183" s="2">
        <v>12</v>
      </c>
    </row>
    <row r="184" spans="1:19" x14ac:dyDescent="0.25">
      <c r="A184" s="2">
        <f t="shared" si="543"/>
        <v>5</v>
      </c>
      <c r="B184" s="2">
        <v>18</v>
      </c>
      <c r="C184" s="2" t="s">
        <v>189</v>
      </c>
      <c r="D184" s="88" t="s">
        <v>196</v>
      </c>
      <c r="E184" t="s">
        <v>111</v>
      </c>
      <c r="F184" t="s">
        <v>220</v>
      </c>
      <c r="G184" s="2">
        <f ca="1">IF(N47&lt;LookupData!$AA$6,1,0)</f>
        <v>0</v>
      </c>
      <c r="S184" s="2">
        <v>12</v>
      </c>
    </row>
    <row r="185" spans="1:19" x14ac:dyDescent="0.25">
      <c r="A185" s="2">
        <f t="shared" si="543"/>
        <v>5</v>
      </c>
      <c r="B185" s="2">
        <v>18</v>
      </c>
      <c r="C185" s="2" t="s">
        <v>189</v>
      </c>
      <c r="D185" s="88" t="s">
        <v>196</v>
      </c>
      <c r="E185" t="s">
        <v>111</v>
      </c>
      <c r="F185" t="s">
        <v>221</v>
      </c>
      <c r="G185" s="2">
        <f ca="1">IF(N48&lt;LookupData!$AA$6,1,0)</f>
        <v>0</v>
      </c>
      <c r="S185" s="2">
        <v>12</v>
      </c>
    </row>
    <row r="186" spans="1:19" x14ac:dyDescent="0.25">
      <c r="A186" s="2">
        <f t="shared" si="543"/>
        <v>5</v>
      </c>
      <c r="B186" s="2">
        <v>18</v>
      </c>
      <c r="C186" s="2" t="s">
        <v>189</v>
      </c>
      <c r="D186" s="88" t="s">
        <v>196</v>
      </c>
      <c r="E186" t="s">
        <v>109</v>
      </c>
      <c r="F186" t="s">
        <v>218</v>
      </c>
      <c r="G186" s="2">
        <f ca="1">IF(N53&lt;LookupData!$AA$7,1,0)</f>
        <v>0</v>
      </c>
      <c r="S186" s="2">
        <v>12</v>
      </c>
    </row>
    <row r="187" spans="1:19" x14ac:dyDescent="0.25">
      <c r="A187" s="2">
        <f t="shared" si="543"/>
        <v>5</v>
      </c>
      <c r="B187" s="2">
        <v>18</v>
      </c>
      <c r="C187" s="2" t="s">
        <v>189</v>
      </c>
      <c r="D187" s="88" t="s">
        <v>196</v>
      </c>
      <c r="E187" t="s">
        <v>109</v>
      </c>
      <c r="F187" t="s">
        <v>219</v>
      </c>
      <c r="G187" s="2">
        <f ca="1">IF(N54&lt;LookupData!$AA$7,1,0)</f>
        <v>0</v>
      </c>
      <c r="S187" s="2">
        <v>12</v>
      </c>
    </row>
    <row r="188" spans="1:19" x14ac:dyDescent="0.25">
      <c r="A188" s="2">
        <f t="shared" si="543"/>
        <v>5</v>
      </c>
      <c r="B188" s="2">
        <v>18</v>
      </c>
      <c r="C188" s="2" t="s">
        <v>189</v>
      </c>
      <c r="D188" s="88" t="s">
        <v>196</v>
      </c>
      <c r="E188" t="s">
        <v>109</v>
      </c>
      <c r="F188" t="s">
        <v>220</v>
      </c>
      <c r="G188" s="2">
        <f ca="1">IF(N55&lt;LookupData!$AA$7,1,0)</f>
        <v>0</v>
      </c>
      <c r="S188" s="2">
        <v>12</v>
      </c>
    </row>
    <row r="189" spans="1:19" x14ac:dyDescent="0.25">
      <c r="A189" s="2">
        <f t="shared" si="543"/>
        <v>5</v>
      </c>
      <c r="B189" s="2">
        <v>18</v>
      </c>
      <c r="C189" s="2" t="s">
        <v>189</v>
      </c>
      <c r="D189" s="88" t="s">
        <v>196</v>
      </c>
      <c r="E189" t="s">
        <v>109</v>
      </c>
      <c r="F189" t="s">
        <v>221</v>
      </c>
      <c r="G189" s="2">
        <f ca="1">IF(N56&lt;LookupData!$AA$7,1,0)</f>
        <v>0</v>
      </c>
      <c r="S189" s="2">
        <v>12</v>
      </c>
    </row>
    <row r="190" spans="1:19" x14ac:dyDescent="0.25">
      <c r="A190" s="2">
        <f t="shared" si="543"/>
        <v>5</v>
      </c>
      <c r="B190" s="2">
        <v>18</v>
      </c>
      <c r="C190" s="2" t="s">
        <v>189</v>
      </c>
      <c r="D190" s="88" t="s">
        <v>196</v>
      </c>
      <c r="E190" t="s">
        <v>106</v>
      </c>
      <c r="F190" t="s">
        <v>218</v>
      </c>
      <c r="G190" s="2">
        <f ca="1">IF(N61&lt;LookupData!$AA$8,1,0)</f>
        <v>0</v>
      </c>
      <c r="S190" s="2">
        <v>12</v>
      </c>
    </row>
    <row r="191" spans="1:19" x14ac:dyDescent="0.25">
      <c r="A191" s="2">
        <f t="shared" si="543"/>
        <v>5</v>
      </c>
      <c r="B191" s="2">
        <v>18</v>
      </c>
      <c r="C191" s="2" t="s">
        <v>189</v>
      </c>
      <c r="D191" s="88" t="s">
        <v>196</v>
      </c>
      <c r="E191" t="s">
        <v>106</v>
      </c>
      <c r="F191" t="s">
        <v>219</v>
      </c>
      <c r="G191" s="2">
        <f ca="1">IF(N62&lt;LookupData!$AA$8,1,0)</f>
        <v>0</v>
      </c>
      <c r="S191" s="2">
        <v>12</v>
      </c>
    </row>
    <row r="192" spans="1:19" x14ac:dyDescent="0.25">
      <c r="A192" s="2">
        <f t="shared" si="543"/>
        <v>5</v>
      </c>
      <c r="B192" s="2">
        <v>18</v>
      </c>
      <c r="C192" s="2" t="s">
        <v>189</v>
      </c>
      <c r="D192" s="88" t="s">
        <v>196</v>
      </c>
      <c r="E192" t="s">
        <v>106</v>
      </c>
      <c r="F192" t="s">
        <v>220</v>
      </c>
      <c r="G192" s="2">
        <f ca="1">IF(N63&lt;LookupData!$AA$8,1,0)</f>
        <v>0</v>
      </c>
      <c r="S192" s="2">
        <v>12</v>
      </c>
    </row>
    <row r="193" spans="1:19" x14ac:dyDescent="0.25">
      <c r="A193" s="2">
        <f t="shared" si="543"/>
        <v>5</v>
      </c>
      <c r="B193" s="2">
        <v>18</v>
      </c>
      <c r="C193" s="2" t="s">
        <v>189</v>
      </c>
      <c r="D193" s="88" t="s">
        <v>196</v>
      </c>
      <c r="E193" t="s">
        <v>106</v>
      </c>
      <c r="F193" t="s">
        <v>221</v>
      </c>
      <c r="G193" s="2">
        <f ca="1">IF(N64&lt;LookupData!$AA$8,1,0)</f>
        <v>0</v>
      </c>
      <c r="S193" s="2">
        <v>12</v>
      </c>
    </row>
    <row r="194" spans="1:19" x14ac:dyDescent="0.25">
      <c r="A194" s="2">
        <f t="shared" si="543"/>
        <v>5</v>
      </c>
      <c r="B194" s="2">
        <v>18</v>
      </c>
      <c r="C194" s="2" t="s">
        <v>189</v>
      </c>
      <c r="D194" s="88" t="s">
        <v>196</v>
      </c>
      <c r="E194" t="s">
        <v>107</v>
      </c>
      <c r="F194" t="s">
        <v>218</v>
      </c>
      <c r="G194" s="2">
        <f ca="1">IF(N69&lt;LookupData!$AA$9,1,0)</f>
        <v>0</v>
      </c>
      <c r="S194" s="2">
        <v>12</v>
      </c>
    </row>
    <row r="195" spans="1:19" x14ac:dyDescent="0.25">
      <c r="A195" s="2">
        <f t="shared" si="543"/>
        <v>5</v>
      </c>
      <c r="B195" s="2">
        <v>18</v>
      </c>
      <c r="C195" s="2" t="s">
        <v>189</v>
      </c>
      <c r="D195" s="88" t="s">
        <v>196</v>
      </c>
      <c r="E195" t="s">
        <v>107</v>
      </c>
      <c r="F195" t="s">
        <v>219</v>
      </c>
      <c r="G195" s="2">
        <f ca="1">IF(N70&lt;LookupData!$AA$9,1,0)</f>
        <v>0</v>
      </c>
      <c r="S195" s="2">
        <v>12</v>
      </c>
    </row>
    <row r="196" spans="1:19" x14ac:dyDescent="0.25">
      <c r="A196" s="2">
        <f t="shared" si="543"/>
        <v>5</v>
      </c>
      <c r="B196" s="2">
        <v>18</v>
      </c>
      <c r="C196" s="2" t="s">
        <v>189</v>
      </c>
      <c r="D196" s="88" t="s">
        <v>196</v>
      </c>
      <c r="E196" t="s">
        <v>107</v>
      </c>
      <c r="F196" t="s">
        <v>220</v>
      </c>
      <c r="G196" s="2">
        <f ca="1">IF(N71&lt;LookupData!$AA$9,1,0)</f>
        <v>0</v>
      </c>
      <c r="S196" s="2">
        <v>12</v>
      </c>
    </row>
    <row r="197" spans="1:19" x14ac:dyDescent="0.25">
      <c r="A197" s="2">
        <f t="shared" si="543"/>
        <v>5</v>
      </c>
      <c r="B197" s="2">
        <v>18</v>
      </c>
      <c r="C197" s="2" t="s">
        <v>189</v>
      </c>
      <c r="D197" s="88" t="s">
        <v>196</v>
      </c>
      <c r="E197" t="s">
        <v>107</v>
      </c>
      <c r="F197" t="s">
        <v>221</v>
      </c>
      <c r="G197" s="2">
        <f ca="1">IF(N72&lt;LookupData!$AA$9,1,0)</f>
        <v>0</v>
      </c>
      <c r="S197" s="2">
        <v>12</v>
      </c>
    </row>
    <row r="198" spans="1:19" x14ac:dyDescent="0.25">
      <c r="A198" s="2">
        <f t="shared" si="543"/>
        <v>5</v>
      </c>
      <c r="B198" s="2">
        <v>18</v>
      </c>
      <c r="C198" s="2" t="s">
        <v>189</v>
      </c>
      <c r="D198" s="88" t="s">
        <v>196</v>
      </c>
      <c r="E198" t="s">
        <v>110</v>
      </c>
      <c r="F198" t="s">
        <v>218</v>
      </c>
      <c r="G198" s="2">
        <f ca="1">IF(N77&lt;LookupData!$AA$10,1,0)</f>
        <v>1</v>
      </c>
      <c r="S198" s="2">
        <v>12</v>
      </c>
    </row>
    <row r="199" spans="1:19" x14ac:dyDescent="0.25">
      <c r="A199" s="2">
        <f t="shared" si="543"/>
        <v>5</v>
      </c>
      <c r="B199" s="2">
        <v>18</v>
      </c>
      <c r="C199" s="2" t="s">
        <v>189</v>
      </c>
      <c r="D199" s="88" t="s">
        <v>196</v>
      </c>
      <c r="E199" t="s">
        <v>110</v>
      </c>
      <c r="F199" t="s">
        <v>219</v>
      </c>
      <c r="G199" s="2">
        <f ca="1">IF(N78&lt;LookupData!$AA$10,1,0)</f>
        <v>1</v>
      </c>
      <c r="S199" s="2">
        <v>12</v>
      </c>
    </row>
    <row r="200" spans="1:19" x14ac:dyDescent="0.25">
      <c r="A200" s="2">
        <f t="shared" si="543"/>
        <v>5</v>
      </c>
      <c r="B200" s="2">
        <v>18</v>
      </c>
      <c r="C200" s="2" t="s">
        <v>189</v>
      </c>
      <c r="D200" s="88" t="s">
        <v>196</v>
      </c>
      <c r="E200" t="s">
        <v>110</v>
      </c>
      <c r="F200" t="s">
        <v>220</v>
      </c>
      <c r="G200" s="2">
        <f ca="1">IF(N79&lt;LookupData!$AA$10,1,0)</f>
        <v>0</v>
      </c>
      <c r="S200" s="2">
        <v>12</v>
      </c>
    </row>
    <row r="201" spans="1:19" x14ac:dyDescent="0.25">
      <c r="A201" s="2">
        <f t="shared" si="543"/>
        <v>5</v>
      </c>
      <c r="B201" s="2">
        <v>18</v>
      </c>
      <c r="C201" s="2" t="s">
        <v>189</v>
      </c>
      <c r="D201" s="88" t="s">
        <v>196</v>
      </c>
      <c r="E201" t="s">
        <v>110</v>
      </c>
      <c r="F201" t="s">
        <v>221</v>
      </c>
      <c r="G201" s="2">
        <f ca="1">IF(N80&lt;LookupData!$AA$10,1,0)</f>
        <v>0</v>
      </c>
      <c r="S201" s="2">
        <v>12</v>
      </c>
    </row>
    <row r="202" spans="1:19" x14ac:dyDescent="0.25">
      <c r="A202" s="2">
        <f t="shared" si="543"/>
        <v>5</v>
      </c>
      <c r="B202" s="2">
        <v>18</v>
      </c>
      <c r="C202" s="2" t="s">
        <v>189</v>
      </c>
      <c r="D202" s="88" t="s">
        <v>196</v>
      </c>
      <c r="E202" t="s">
        <v>108</v>
      </c>
      <c r="F202" t="s">
        <v>218</v>
      </c>
      <c r="G202" s="2">
        <f ca="1">IF(N85&lt;LookupData!$AA$11,1,0)</f>
        <v>0</v>
      </c>
      <c r="S202" s="2">
        <v>12</v>
      </c>
    </row>
    <row r="203" spans="1:19" x14ac:dyDescent="0.25">
      <c r="A203" s="2">
        <f t="shared" si="543"/>
        <v>5</v>
      </c>
      <c r="B203" s="2">
        <v>18</v>
      </c>
      <c r="C203" s="2" t="s">
        <v>189</v>
      </c>
      <c r="D203" s="88" t="s">
        <v>196</v>
      </c>
      <c r="E203" t="s">
        <v>108</v>
      </c>
      <c r="F203" t="s">
        <v>219</v>
      </c>
      <c r="G203" s="2">
        <f ca="1">IF(N86&lt;LookupData!$AA$11,1,0)</f>
        <v>0</v>
      </c>
      <c r="S203" s="2">
        <v>12</v>
      </c>
    </row>
    <row r="204" spans="1:19" x14ac:dyDescent="0.25">
      <c r="A204" s="2">
        <f t="shared" si="543"/>
        <v>5</v>
      </c>
      <c r="B204" s="2">
        <v>18</v>
      </c>
      <c r="C204" s="2" t="s">
        <v>189</v>
      </c>
      <c r="D204" s="88" t="s">
        <v>196</v>
      </c>
      <c r="E204" t="s">
        <v>108</v>
      </c>
      <c r="F204" t="s">
        <v>220</v>
      </c>
      <c r="G204" s="2">
        <f ca="1">IF(N87&lt;LookupData!$AA$11,1,0)</f>
        <v>0</v>
      </c>
      <c r="S204" s="2">
        <v>12</v>
      </c>
    </row>
    <row r="205" spans="1:19" x14ac:dyDescent="0.25">
      <c r="A205" s="2">
        <f t="shared" si="543"/>
        <v>5</v>
      </c>
      <c r="B205" s="2">
        <v>18</v>
      </c>
      <c r="C205" s="2" t="s">
        <v>189</v>
      </c>
      <c r="D205" s="88" t="s">
        <v>196</v>
      </c>
      <c r="E205" t="s">
        <v>108</v>
      </c>
      <c r="F205" t="s">
        <v>221</v>
      </c>
      <c r="G205" s="2">
        <f ca="1">IF(N88&lt;LookupData!$AA$11,1,0)</f>
        <v>0</v>
      </c>
      <c r="S205" s="2">
        <v>12</v>
      </c>
    </row>
    <row r="206" spans="1:19" x14ac:dyDescent="0.25">
      <c r="A206" s="2">
        <f t="shared" si="543"/>
        <v>5</v>
      </c>
      <c r="B206" s="2">
        <v>18</v>
      </c>
      <c r="C206" s="2" t="s">
        <v>189</v>
      </c>
      <c r="D206" s="88" t="s">
        <v>196</v>
      </c>
      <c r="E206" t="s">
        <v>70</v>
      </c>
      <c r="F206" t="s">
        <v>218</v>
      </c>
      <c r="G206" s="2">
        <f ca="1">IF(N93&lt;LookupData!$AA$12,1,0)</f>
        <v>0</v>
      </c>
      <c r="S206" s="2">
        <v>12</v>
      </c>
    </row>
    <row r="207" spans="1:19" x14ac:dyDescent="0.25">
      <c r="A207" s="2">
        <f t="shared" si="543"/>
        <v>5</v>
      </c>
      <c r="B207" s="2">
        <v>18</v>
      </c>
      <c r="C207" s="2" t="s">
        <v>189</v>
      </c>
      <c r="D207" s="88" t="s">
        <v>196</v>
      </c>
      <c r="E207" t="s">
        <v>70</v>
      </c>
      <c r="F207" t="s">
        <v>219</v>
      </c>
      <c r="G207" s="2">
        <f ca="1">IF(N94&lt;LookupData!$AA$12,1,0)</f>
        <v>0</v>
      </c>
      <c r="S207" s="2">
        <v>12</v>
      </c>
    </row>
    <row r="208" spans="1:19" x14ac:dyDescent="0.25">
      <c r="A208" s="2">
        <f t="shared" si="543"/>
        <v>5</v>
      </c>
      <c r="B208" s="2">
        <v>18</v>
      </c>
      <c r="C208" s="2" t="s">
        <v>189</v>
      </c>
      <c r="D208" s="88" t="s">
        <v>196</v>
      </c>
      <c r="E208" t="s">
        <v>70</v>
      </c>
      <c r="F208" t="s">
        <v>220</v>
      </c>
      <c r="G208" s="2">
        <f ca="1">IF(N95&lt;LookupData!$AA$12,1,0)</f>
        <v>0</v>
      </c>
      <c r="S208" s="2">
        <v>12</v>
      </c>
    </row>
    <row r="209" spans="1:19" x14ac:dyDescent="0.25">
      <c r="A209" s="2">
        <f t="shared" si="543"/>
        <v>5</v>
      </c>
      <c r="B209" s="2">
        <v>18</v>
      </c>
      <c r="C209" s="2" t="s">
        <v>189</v>
      </c>
      <c r="D209" s="88" t="s">
        <v>196</v>
      </c>
      <c r="E209" t="s">
        <v>70</v>
      </c>
      <c r="F209" t="s">
        <v>221</v>
      </c>
      <c r="G209" s="2">
        <f ca="1">IF(N96&lt;LookupData!$AA$12,1,0)</f>
        <v>0</v>
      </c>
      <c r="S209" s="2">
        <v>12</v>
      </c>
    </row>
    <row r="210" spans="1:19" x14ac:dyDescent="0.25">
      <c r="A210" s="87" t="s">
        <v>71</v>
      </c>
      <c r="B210" s="87" t="s">
        <v>90</v>
      </c>
      <c r="C210" s="87" t="s">
        <v>122</v>
      </c>
      <c r="D210" s="87" t="s">
        <v>123</v>
      </c>
      <c r="E210" s="87" t="s">
        <v>124</v>
      </c>
      <c r="F210" s="87" t="s">
        <v>125</v>
      </c>
      <c r="G210" s="87" t="s">
        <v>103</v>
      </c>
    </row>
    <row r="211" spans="1:19" x14ac:dyDescent="0.25">
      <c r="A211" s="88">
        <f t="shared" ref="A211:A220" si="544">A$21</f>
        <v>5</v>
      </c>
      <c r="B211" s="88">
        <v>18</v>
      </c>
      <c r="C211" s="88" t="s">
        <v>200</v>
      </c>
      <c r="D211" t="s">
        <v>104</v>
      </c>
      <c r="E211" s="89">
        <f ca="1">INDIRECT("'"&amp;$D211&amp;"'!$M$33")</f>
        <v>0</v>
      </c>
      <c r="F211" s="88"/>
      <c r="G211" s="88">
        <v>12</v>
      </c>
    </row>
    <row r="212" spans="1:19" x14ac:dyDescent="0.25">
      <c r="A212" s="88">
        <f t="shared" si="544"/>
        <v>5</v>
      </c>
      <c r="B212" s="88">
        <v>18</v>
      </c>
      <c r="C212" s="88" t="s">
        <v>201</v>
      </c>
      <c r="D212" t="s">
        <v>104</v>
      </c>
      <c r="E212" s="89">
        <f ca="1">INDIRECT("'"&amp;$D212&amp;"'!$M$36")</f>
        <v>0</v>
      </c>
      <c r="F212" s="88"/>
      <c r="G212" s="88">
        <v>12</v>
      </c>
    </row>
    <row r="213" spans="1:19" x14ac:dyDescent="0.25">
      <c r="A213" s="88">
        <f t="shared" si="544"/>
        <v>5</v>
      </c>
      <c r="B213" s="88">
        <v>18</v>
      </c>
      <c r="C213" s="88" t="s">
        <v>202</v>
      </c>
      <c r="D213" t="s">
        <v>104</v>
      </c>
      <c r="E213" s="89">
        <f ca="1">INDIRECT("'"&amp;$D213&amp;"'!$M$39")</f>
        <v>0</v>
      </c>
      <c r="F213" s="88"/>
      <c r="G213" s="88">
        <v>12</v>
      </c>
    </row>
    <row r="214" spans="1:19" x14ac:dyDescent="0.25">
      <c r="A214" s="88">
        <f t="shared" si="544"/>
        <v>5</v>
      </c>
      <c r="B214" s="88">
        <v>18</v>
      </c>
      <c r="C214" s="88" t="s">
        <v>203</v>
      </c>
      <c r="D214" t="s">
        <v>104</v>
      </c>
      <c r="E214" s="89">
        <f ca="1">INDIRECT("'"&amp;$D214&amp;"'!$M$42")</f>
        <v>0</v>
      </c>
      <c r="F214" s="88"/>
      <c r="G214" s="88">
        <v>12</v>
      </c>
    </row>
    <row r="215" spans="1:19" x14ac:dyDescent="0.25">
      <c r="A215" s="88">
        <f t="shared" si="544"/>
        <v>5</v>
      </c>
      <c r="B215" s="88">
        <v>18</v>
      </c>
      <c r="C215" s="88" t="s">
        <v>200</v>
      </c>
      <c r="D215" t="s">
        <v>105</v>
      </c>
      <c r="E215" s="89">
        <f ca="1">INDIRECT("'"&amp;$D215&amp;"'!$M$33")</f>
        <v>0</v>
      </c>
      <c r="F215" s="88"/>
      <c r="G215" s="88">
        <v>12</v>
      </c>
    </row>
    <row r="216" spans="1:19" x14ac:dyDescent="0.25">
      <c r="A216" s="88">
        <f t="shared" si="544"/>
        <v>5</v>
      </c>
      <c r="B216" s="88">
        <v>18</v>
      </c>
      <c r="C216" s="88" t="s">
        <v>201</v>
      </c>
      <c r="D216" t="s">
        <v>105</v>
      </c>
      <c r="E216" s="89">
        <f ca="1">INDIRECT("'"&amp;$D216&amp;"'!$M$36")</f>
        <v>0</v>
      </c>
      <c r="F216" s="88"/>
      <c r="G216" s="88">
        <v>12</v>
      </c>
    </row>
    <row r="217" spans="1:19" x14ac:dyDescent="0.25">
      <c r="A217" s="88">
        <f t="shared" si="544"/>
        <v>5</v>
      </c>
      <c r="B217" s="88">
        <v>18</v>
      </c>
      <c r="C217" s="88" t="s">
        <v>202</v>
      </c>
      <c r="D217" t="s">
        <v>105</v>
      </c>
      <c r="E217" s="89">
        <f ca="1">INDIRECT("'"&amp;$D217&amp;"'!$M$39")</f>
        <v>0</v>
      </c>
      <c r="F217" s="88"/>
      <c r="G217" s="88">
        <v>12</v>
      </c>
    </row>
    <row r="218" spans="1:19" x14ac:dyDescent="0.25">
      <c r="A218" s="88">
        <f t="shared" si="544"/>
        <v>5</v>
      </c>
      <c r="B218" s="88">
        <v>18</v>
      </c>
      <c r="C218" s="88" t="s">
        <v>203</v>
      </c>
      <c r="D218" t="s">
        <v>105</v>
      </c>
      <c r="E218" s="89">
        <f ca="1">INDIRECT("'"&amp;$D218&amp;"'!$M$42")</f>
        <v>0</v>
      </c>
      <c r="F218" s="88"/>
      <c r="G218" s="88">
        <v>12</v>
      </c>
    </row>
    <row r="219" spans="1:19" x14ac:dyDescent="0.25">
      <c r="A219" s="88">
        <f t="shared" si="544"/>
        <v>5</v>
      </c>
      <c r="B219" s="88">
        <v>18</v>
      </c>
      <c r="C219" s="88" t="s">
        <v>200</v>
      </c>
      <c r="D219" t="s">
        <v>111</v>
      </c>
      <c r="E219" s="89">
        <f ca="1">INDIRECT("'"&amp;$D219&amp;"'!$M$33")</f>
        <v>0</v>
      </c>
      <c r="F219" s="88"/>
      <c r="G219" s="88">
        <v>12</v>
      </c>
    </row>
    <row r="220" spans="1:19" x14ac:dyDescent="0.25">
      <c r="A220" s="88">
        <f t="shared" si="544"/>
        <v>5</v>
      </c>
      <c r="B220" s="88">
        <v>18</v>
      </c>
      <c r="C220" s="88" t="s">
        <v>201</v>
      </c>
      <c r="D220" t="s">
        <v>111</v>
      </c>
      <c r="E220" s="89">
        <f ca="1">INDIRECT("'"&amp;$D220&amp;"'!$M$36")</f>
        <v>0</v>
      </c>
      <c r="F220" s="88"/>
      <c r="G220" s="88">
        <v>12</v>
      </c>
    </row>
    <row r="221" spans="1:19" x14ac:dyDescent="0.25">
      <c r="C221" s="88" t="s">
        <v>202</v>
      </c>
      <c r="D221" t="s">
        <v>111</v>
      </c>
      <c r="E221" s="89">
        <f ca="1">INDIRECT("'"&amp;$D221&amp;"'!$M$39")</f>
        <v>0</v>
      </c>
      <c r="G221" s="88">
        <v>12</v>
      </c>
    </row>
    <row r="222" spans="1:19" x14ac:dyDescent="0.25">
      <c r="C222" s="88" t="s">
        <v>203</v>
      </c>
      <c r="D222" t="s">
        <v>111</v>
      </c>
      <c r="E222" s="89">
        <f ca="1">INDIRECT("'"&amp;$D222&amp;"'!$M$42")</f>
        <v>0</v>
      </c>
      <c r="G222" s="88">
        <v>12</v>
      </c>
    </row>
    <row r="223" spans="1:19" x14ac:dyDescent="0.25">
      <c r="C223" s="88" t="s">
        <v>200</v>
      </c>
      <c r="D223" t="s">
        <v>109</v>
      </c>
      <c r="E223" s="89">
        <f ca="1">INDIRECT("'"&amp;$D223&amp;"'!$M$33")</f>
        <v>0</v>
      </c>
      <c r="G223" s="88">
        <v>12</v>
      </c>
    </row>
    <row r="224" spans="1:19" x14ac:dyDescent="0.25">
      <c r="C224" s="88" t="s">
        <v>201</v>
      </c>
      <c r="D224" t="s">
        <v>109</v>
      </c>
      <c r="E224" s="89">
        <f ca="1">INDIRECT("'"&amp;$D224&amp;"'!$M$36")</f>
        <v>0</v>
      </c>
      <c r="G224" s="88">
        <v>12</v>
      </c>
    </row>
    <row r="225" spans="3:7" x14ac:dyDescent="0.25">
      <c r="C225" s="88" t="s">
        <v>202</v>
      </c>
      <c r="D225" t="s">
        <v>109</v>
      </c>
      <c r="E225" s="89">
        <f ca="1">INDIRECT("'"&amp;$D225&amp;"'!$M$39")</f>
        <v>0</v>
      </c>
      <c r="G225" s="88">
        <v>12</v>
      </c>
    </row>
    <row r="226" spans="3:7" x14ac:dyDescent="0.25">
      <c r="C226" s="88" t="s">
        <v>203</v>
      </c>
      <c r="D226" t="s">
        <v>109</v>
      </c>
      <c r="E226" s="89">
        <f ca="1">INDIRECT("'"&amp;$D226&amp;"'!$M$42")</f>
        <v>0</v>
      </c>
      <c r="G226" s="88">
        <v>12</v>
      </c>
    </row>
    <row r="227" spans="3:7" x14ac:dyDescent="0.25">
      <c r="C227" s="88" t="s">
        <v>200</v>
      </c>
      <c r="D227" t="s">
        <v>106</v>
      </c>
      <c r="E227" s="89">
        <f ca="1">INDIRECT("'"&amp;$D227&amp;"'!$M$33")</f>
        <v>0</v>
      </c>
      <c r="G227" s="88">
        <v>12</v>
      </c>
    </row>
    <row r="228" spans="3:7" x14ac:dyDescent="0.25">
      <c r="C228" s="88" t="s">
        <v>201</v>
      </c>
      <c r="D228" t="s">
        <v>106</v>
      </c>
      <c r="E228" s="89">
        <f ca="1">INDIRECT("'"&amp;$D228&amp;"'!$M$36")</f>
        <v>0</v>
      </c>
      <c r="G228" s="88">
        <v>12</v>
      </c>
    </row>
    <row r="229" spans="3:7" x14ac:dyDescent="0.25">
      <c r="C229" s="88" t="s">
        <v>202</v>
      </c>
      <c r="D229" t="s">
        <v>106</v>
      </c>
      <c r="E229" s="89">
        <f ca="1">INDIRECT("'"&amp;$D229&amp;"'!$M$39")</f>
        <v>0</v>
      </c>
      <c r="G229" s="88">
        <v>12</v>
      </c>
    </row>
    <row r="230" spans="3:7" x14ac:dyDescent="0.25">
      <c r="C230" s="88" t="s">
        <v>203</v>
      </c>
      <c r="D230" t="s">
        <v>106</v>
      </c>
      <c r="E230" s="89">
        <f ca="1">INDIRECT("'"&amp;$D230&amp;"'!$M$42")</f>
        <v>0</v>
      </c>
      <c r="G230" s="88">
        <v>12</v>
      </c>
    </row>
    <row r="231" spans="3:7" x14ac:dyDescent="0.25">
      <c r="C231" s="88" t="s">
        <v>200</v>
      </c>
      <c r="D231" t="s">
        <v>107</v>
      </c>
      <c r="E231" s="89">
        <f ca="1">INDIRECT("'"&amp;$D231&amp;"'!$M$33")</f>
        <v>0</v>
      </c>
      <c r="G231" s="88">
        <v>12</v>
      </c>
    </row>
    <row r="232" spans="3:7" x14ac:dyDescent="0.25">
      <c r="C232" s="88" t="s">
        <v>201</v>
      </c>
      <c r="D232" t="s">
        <v>107</v>
      </c>
      <c r="E232" s="89">
        <f ca="1">INDIRECT("'"&amp;$D232&amp;"'!$M$36")</f>
        <v>0</v>
      </c>
      <c r="G232" s="88">
        <v>12</v>
      </c>
    </row>
    <row r="233" spans="3:7" x14ac:dyDescent="0.25">
      <c r="C233" s="88" t="s">
        <v>202</v>
      </c>
      <c r="D233" t="s">
        <v>107</v>
      </c>
      <c r="E233" s="89">
        <f ca="1">INDIRECT("'"&amp;$D233&amp;"'!$M$39")</f>
        <v>0</v>
      </c>
      <c r="G233" s="88">
        <v>12</v>
      </c>
    </row>
    <row r="234" spans="3:7" x14ac:dyDescent="0.25">
      <c r="C234" s="88" t="s">
        <v>203</v>
      </c>
      <c r="D234" t="s">
        <v>107</v>
      </c>
      <c r="E234" s="89">
        <f ca="1">INDIRECT("'"&amp;$D234&amp;"'!$M$42")</f>
        <v>0</v>
      </c>
      <c r="G234" s="88">
        <v>12</v>
      </c>
    </row>
    <row r="235" spans="3:7" x14ac:dyDescent="0.25">
      <c r="C235" s="88" t="s">
        <v>200</v>
      </c>
      <c r="D235" t="s">
        <v>110</v>
      </c>
      <c r="E235" s="89">
        <f ca="1">INDIRECT("'"&amp;$D235&amp;"'!$M$33")</f>
        <v>0</v>
      </c>
      <c r="G235" s="88">
        <v>12</v>
      </c>
    </row>
    <row r="236" spans="3:7" x14ac:dyDescent="0.25">
      <c r="C236" s="88" t="s">
        <v>201</v>
      </c>
      <c r="D236" t="s">
        <v>110</v>
      </c>
      <c r="E236" s="89">
        <f ca="1">INDIRECT("'"&amp;$D236&amp;"'!$M$36")</f>
        <v>0</v>
      </c>
      <c r="G236" s="88">
        <v>12</v>
      </c>
    </row>
    <row r="237" spans="3:7" x14ac:dyDescent="0.25">
      <c r="C237" s="88" t="s">
        <v>202</v>
      </c>
      <c r="D237" t="s">
        <v>110</v>
      </c>
      <c r="E237" s="89">
        <f ca="1">INDIRECT("'"&amp;$D237&amp;"'!$M$39")</f>
        <v>0</v>
      </c>
      <c r="G237" s="88">
        <v>12</v>
      </c>
    </row>
    <row r="238" spans="3:7" x14ac:dyDescent="0.25">
      <c r="C238" s="88" t="s">
        <v>203</v>
      </c>
      <c r="D238" t="s">
        <v>110</v>
      </c>
      <c r="E238" s="89">
        <f ca="1">INDIRECT("'"&amp;$D238&amp;"'!$M$42")</f>
        <v>0</v>
      </c>
      <c r="G238" s="88">
        <v>12</v>
      </c>
    </row>
    <row r="239" spans="3:7" x14ac:dyDescent="0.25">
      <c r="C239" s="88" t="s">
        <v>200</v>
      </c>
      <c r="D239" t="s">
        <v>108</v>
      </c>
      <c r="E239" s="89">
        <f ca="1">INDIRECT("'"&amp;$D239&amp;"'!$M$33")</f>
        <v>0</v>
      </c>
      <c r="G239" s="88">
        <v>12</v>
      </c>
    </row>
    <row r="240" spans="3:7" x14ac:dyDescent="0.25">
      <c r="C240" s="88" t="s">
        <v>201</v>
      </c>
      <c r="D240" t="s">
        <v>108</v>
      </c>
      <c r="E240" s="89">
        <f ca="1">INDIRECT("'"&amp;$D240&amp;"'!$M$36")</f>
        <v>0</v>
      </c>
      <c r="G240" s="88">
        <v>12</v>
      </c>
    </row>
    <row r="241" spans="3:7" x14ac:dyDescent="0.25">
      <c r="C241" s="88" t="s">
        <v>202</v>
      </c>
      <c r="D241" t="s">
        <v>108</v>
      </c>
      <c r="E241" s="89">
        <f ca="1">INDIRECT("'"&amp;$D241&amp;"'!$M$39")</f>
        <v>0</v>
      </c>
      <c r="G241" s="88">
        <v>12</v>
      </c>
    </row>
    <row r="242" spans="3:7" x14ac:dyDescent="0.25">
      <c r="C242" s="88" t="s">
        <v>203</v>
      </c>
      <c r="D242" t="s">
        <v>108</v>
      </c>
      <c r="E242" s="89">
        <f ca="1">INDIRECT("'"&amp;$D242&amp;"'!$M$42")</f>
        <v>0</v>
      </c>
      <c r="G242" s="88">
        <v>12</v>
      </c>
    </row>
    <row r="243" spans="3:7" x14ac:dyDescent="0.25">
      <c r="C243" s="88" t="s">
        <v>200</v>
      </c>
      <c r="D243" t="s">
        <v>70</v>
      </c>
      <c r="E243" s="89">
        <f ca="1">INDIRECT("'"&amp;$D243&amp;"'!$M$33")</f>
        <v>0</v>
      </c>
      <c r="G243" s="88">
        <v>12</v>
      </c>
    </row>
    <row r="244" spans="3:7" x14ac:dyDescent="0.25">
      <c r="C244" s="88" t="s">
        <v>201</v>
      </c>
      <c r="D244" t="s">
        <v>70</v>
      </c>
      <c r="E244" s="89">
        <f ca="1">INDIRECT("'"&amp;$D244&amp;"'!$M$36")</f>
        <v>0</v>
      </c>
      <c r="G244" s="88">
        <v>12</v>
      </c>
    </row>
    <row r="245" spans="3:7" x14ac:dyDescent="0.25">
      <c r="C245" s="88" t="s">
        <v>202</v>
      </c>
      <c r="D245" t="s">
        <v>70</v>
      </c>
      <c r="E245" s="89">
        <f ca="1">INDIRECT("'"&amp;$D245&amp;"'!$M$39")</f>
        <v>0</v>
      </c>
      <c r="G245" s="88">
        <v>12</v>
      </c>
    </row>
    <row r="246" spans="3:7" x14ac:dyDescent="0.25">
      <c r="C246" s="88" t="s">
        <v>203</v>
      </c>
      <c r="D246" t="s">
        <v>70</v>
      </c>
      <c r="E246" s="89">
        <f ca="1">INDIRECT("'"&amp;$D246&amp;"'!$M$42")</f>
        <v>0</v>
      </c>
      <c r="G246" s="88">
        <v>12</v>
      </c>
    </row>
  </sheetData>
  <sortState ref="E102:I153">
    <sortCondition ref="I102:I153"/>
    <sortCondition ref="H102:H153"/>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2" zoomScale="90" zoomScaleNormal="90" zoomScaleSheetLayoutView="100" zoomScalePageLayoutView="75" workbookViewId="0">
      <selection activeCell="J35" sqref="J35"/>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23.140625" style="6" bestFit="1" customWidth="1"/>
    <col min="14" max="14" width="21.140625" style="6" customWidth="1"/>
    <col min="15" max="16384" width="9.140625" style="6"/>
  </cols>
  <sheetData>
    <row r="1" spans="1:14" ht="24" customHeight="1" x14ac:dyDescent="0.2">
      <c r="A1" s="101" t="s">
        <v>126</v>
      </c>
    </row>
    <row r="2" spans="1:14" ht="24" customHeight="1" x14ac:dyDescent="0.2">
      <c r="A2" s="101" t="str">
        <f>'Circuit Criminal'!A2</f>
        <v>County Fiscal Year 2020-2021</v>
      </c>
    </row>
    <row r="3" spans="1:14" ht="24" customHeight="1" x14ac:dyDescent="0.2"/>
    <row r="4" spans="1:14" ht="24" customHeight="1" x14ac:dyDescent="0.2">
      <c r="A4" s="8"/>
      <c r="C4" s="32" t="s">
        <v>0</v>
      </c>
      <c r="D4" s="229" t="str">
        <f>'Circuit Criminal'!D4</f>
        <v>Brevard</v>
      </c>
      <c r="E4" s="229"/>
      <c r="F4" s="9"/>
      <c r="G4" s="32" t="s">
        <v>135</v>
      </c>
      <c r="H4" s="97" t="str">
        <f>'Circuit Criminal'!H4</f>
        <v>Qtr 2: Jan - Mar</v>
      </c>
      <c r="I4"/>
      <c r="M4" s="208" t="str">
        <f>'Circuit Criminal'!N4</f>
        <v>CCOC Form Version 1
Created 10/01/2020</v>
      </c>
      <c r="N4" s="208"/>
    </row>
    <row r="5" spans="1:14" ht="24" customHeight="1" thickBot="1" x14ac:dyDescent="0.25">
      <c r="A5" s="8"/>
      <c r="C5" s="32" t="s">
        <v>68</v>
      </c>
      <c r="D5" s="207" t="str">
        <f>'Circuit Criminal'!D5</f>
        <v>Andrea Butler</v>
      </c>
      <c r="E5" s="207"/>
      <c r="F5" s="9"/>
      <c r="M5" s="209"/>
      <c r="N5" s="209"/>
    </row>
    <row r="6" spans="1:14" ht="24" customHeight="1" x14ac:dyDescent="0.2">
      <c r="A6" s="8"/>
      <c r="C6" s="32" t="s">
        <v>69</v>
      </c>
      <c r="D6" s="206" t="str">
        <f>'Circuit Criminal'!D6</f>
        <v>andrea.butler@brevardclerk.us</v>
      </c>
      <c r="E6" s="206"/>
      <c r="F6" s="9"/>
      <c r="G6" s="32" t="s">
        <v>1</v>
      </c>
      <c r="H6" s="79">
        <f>'Circuit Criminal'!L4</f>
        <v>1</v>
      </c>
      <c r="L6" s="230" t="s">
        <v>228</v>
      </c>
      <c r="M6" s="231"/>
      <c r="N6" s="232"/>
    </row>
    <row r="7" spans="1:14" ht="24" customHeight="1" thickBot="1" x14ac:dyDescent="0.25">
      <c r="A7" s="8"/>
      <c r="I7"/>
      <c r="L7" s="233"/>
      <c r="M7" s="234"/>
      <c r="N7" s="235"/>
    </row>
    <row r="8" spans="1:14" ht="24" customHeight="1" thickTop="1" thickBot="1" x14ac:dyDescent="0.25">
      <c r="A8" s="214" t="s">
        <v>136</v>
      </c>
      <c r="B8" s="214"/>
      <c r="C8" s="215"/>
      <c r="D8" s="29" t="str">
        <f ca="1">MID(CELL("filename",A1),FIND("]",CELL("filename",A1))+1,255)</f>
        <v>Drug Trafficking</v>
      </c>
      <c r="E8" s="10"/>
      <c r="F8" s="224" t="s">
        <v>137</v>
      </c>
      <c r="G8" s="224"/>
      <c r="H8" s="80">
        <f ca="1">INDEX(LookupData!AA3:AA12,MATCH(D8,LookupData!Z3:Z12,0))</f>
        <v>0</v>
      </c>
      <c r="I8"/>
      <c r="L8" s="233"/>
      <c r="M8" s="234"/>
      <c r="N8" s="235"/>
    </row>
    <row r="9" spans="1:14" ht="19.5" customHeight="1" thickTop="1" thickBot="1" x14ac:dyDescent="0.25">
      <c r="A9" s="8"/>
      <c r="D9" s="8"/>
      <c r="E9" s="8"/>
      <c r="I9"/>
      <c r="L9" s="236"/>
      <c r="M9" s="237"/>
      <c r="N9" s="238"/>
    </row>
    <row r="10" spans="1:14" ht="25.5" customHeight="1" thickBot="1" x14ac:dyDescent="0.25">
      <c r="D10" s="1"/>
      <c r="F10" s="95"/>
      <c r="G10" s="95"/>
      <c r="H10" s="95"/>
      <c r="I10" s="95"/>
      <c r="J10" s="95"/>
      <c r="K10" s="95"/>
      <c r="L10" s="96"/>
      <c r="M10" s="225" t="s">
        <v>183</v>
      </c>
      <c r="N10" s="226"/>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220" t="s">
        <v>184</v>
      </c>
      <c r="N11" s="221"/>
    </row>
    <row r="12" spans="1:14" ht="19.5" customHeight="1" thickBot="1" x14ac:dyDescent="0.25">
      <c r="A12" s="198" t="str">
        <f>LookupData!W3</f>
        <v>CGE CQ1-21</v>
      </c>
      <c r="B12" s="199"/>
      <c r="C12" s="179" t="str">
        <f>LookupData!X3</f>
        <v>RPE 12/31/19</v>
      </c>
      <c r="D12" s="180"/>
      <c r="E12" s="39" t="s">
        <v>145</v>
      </c>
      <c r="F12" s="40" t="s">
        <v>146</v>
      </c>
      <c r="G12" s="40" t="s">
        <v>147</v>
      </c>
      <c r="H12" s="40" t="s">
        <v>148</v>
      </c>
      <c r="I12" s="41" t="s">
        <v>149</v>
      </c>
      <c r="J12" s="218"/>
      <c r="K12" s="218"/>
      <c r="L12" s="227"/>
      <c r="M12" s="222"/>
      <c r="N12" s="223"/>
    </row>
    <row r="13" spans="1:14" ht="19.5" customHeight="1" x14ac:dyDescent="0.2">
      <c r="A13" s="200"/>
      <c r="B13" s="201"/>
      <c r="C13" s="181" t="s">
        <v>150</v>
      </c>
      <c r="D13" s="182"/>
      <c r="E13" s="52">
        <f ca="1">SUMIFS(LookupData!I$3:I$2682,LookupData!$A$3:$A$2682,$D$4,LookupData!$B$3:$B$2682,$D$8,LookupData!$C$3:$C$2682,$A12)</f>
        <v>247</v>
      </c>
      <c r="F13" s="53">
        <f ca="1">SUMIFS(LookupData!J$3:J$2682,LookupData!$A$3:$A$2682,$D$4,LookupData!$B$3:$B$2682,$D$8,LookupData!$C$3:$C$2682,$A12)</f>
        <v>247</v>
      </c>
      <c r="G13" s="53">
        <f ca="1">SUMIFS(LookupData!K$3:K$2682,LookupData!$A$3:$A$2682,$D$4,LookupData!$B$3:$B$2682,$D$8,LookupData!$C$3:$C$2682,$A12)</f>
        <v>247</v>
      </c>
      <c r="H13" s="53">
        <f ca="1">SUMIFS(LookupData!L$3:L$2682,LookupData!$A$3:$A$2682,$D$4,LookupData!$B$3:$B$2682,$D$8,LookupData!$C$3:$C$2682,$A12)</f>
        <v>247</v>
      </c>
      <c r="I13" s="43">
        <v>247</v>
      </c>
      <c r="J13" s="219"/>
      <c r="K13" s="219"/>
      <c r="L13" s="228"/>
      <c r="M13" s="92" t="s">
        <v>185</v>
      </c>
      <c r="N13" s="81">
        <f>'Circuit Criminal'!I13-'Drug Trafficking'!I13</f>
        <v>112061.84</v>
      </c>
    </row>
    <row r="14" spans="1:14" ht="19.5" customHeight="1" thickBot="1" x14ac:dyDescent="0.25">
      <c r="A14" s="200"/>
      <c r="B14" s="201"/>
      <c r="C14" s="181" t="s">
        <v>151</v>
      </c>
      <c r="D14" s="182"/>
      <c r="E14" s="54">
        <f ca="1">SUMIFS(LookupData!D$3:D$2682,LookupData!$A$3:$A$2682,$D$4,LookupData!$B$3:$B$2682,$D$8,LookupData!$C$3:$C$2682,$A12)</f>
        <v>82148</v>
      </c>
      <c r="F14" s="55">
        <f ca="1">SUMIFS(LookupData!E$3:E$2682,LookupData!$A$3:$A$2682,$D$4,LookupData!$B$3:$B$2682,$D$8,LookupData!$C$3:$C$2682,$A12)</f>
        <v>32148</v>
      </c>
      <c r="G14" s="55">
        <f ca="1">SUMIFS(LookupData!F$3:F$2682,LookupData!$A$3:$A$2682,$D$4,LookupData!$B$3:$B$2682,$D$8,LookupData!$C$3:$C$2682,$A12)</f>
        <v>32148</v>
      </c>
      <c r="H14" s="55">
        <f ca="1">SUMIFS(LookupData!G$3:G$2682,LookupData!$A$3:$A$2682,$D$4,LookupData!$B$3:$B$2682,$D$8,LookupData!$C$3:$C$2682,$A12)</f>
        <v>32148</v>
      </c>
      <c r="I14" s="44">
        <v>32148</v>
      </c>
      <c r="J14" s="219"/>
      <c r="K14" s="219"/>
      <c r="L14" s="228"/>
      <c r="M14" s="93" t="s">
        <v>186</v>
      </c>
      <c r="N14" s="82">
        <f>'Circuit Criminal'!I14-'Drug Trafficking'!I14</f>
        <v>810464.15</v>
      </c>
    </row>
    <row r="15" spans="1:14" ht="19.5" customHeight="1" thickTop="1" thickBot="1" x14ac:dyDescent="0.25">
      <c r="A15" s="202"/>
      <c r="B15" s="203"/>
      <c r="C15" s="181" t="s">
        <v>152</v>
      </c>
      <c r="D15" s="182"/>
      <c r="E15" s="71">
        <f ca="1">IFERROR(IF(E14=0,1,ROUND(E13/E14,4)),0)</f>
        <v>3.0000000000000001E-3</v>
      </c>
      <c r="F15" s="77">
        <f t="shared" ref="F15:I15" ca="1" si="0">IFERROR(IF(F14=0,1,ROUND(F13/F14,4)),0)</f>
        <v>7.7000000000000002E-3</v>
      </c>
      <c r="G15" s="77">
        <f t="shared" ca="1" si="0"/>
        <v>7.7000000000000002E-3</v>
      </c>
      <c r="H15" s="77">
        <f t="shared" ca="1" si="0"/>
        <v>7.7000000000000002E-3</v>
      </c>
      <c r="I15" s="78">
        <f t="shared" si="0"/>
        <v>7.7000000000000002E-3</v>
      </c>
      <c r="J15" s="219"/>
      <c r="K15" s="219"/>
      <c r="L15" s="228"/>
      <c r="M15" s="106" t="s">
        <v>187</v>
      </c>
      <c r="N15" s="107">
        <f>IFERROR(N13/N14,1)</f>
        <v>0.13826871922712436</v>
      </c>
    </row>
    <row r="16" spans="1:14" ht="20.25" customHeight="1" thickBot="1" x14ac:dyDescent="0.25">
      <c r="A16" s="173" t="str">
        <f>LookupData!W4</f>
        <v>CGE CQ2-21</v>
      </c>
      <c r="B16" s="174"/>
      <c r="C16" s="179" t="str">
        <f>LookupData!X4</f>
        <v>RPE 03/31/20</v>
      </c>
      <c r="D16" s="180"/>
      <c r="E16" s="185"/>
      <c r="F16" s="39" t="s">
        <v>145</v>
      </c>
      <c r="G16" s="40" t="s">
        <v>146</v>
      </c>
      <c r="H16" s="40" t="s">
        <v>147</v>
      </c>
      <c r="I16" s="40" t="s">
        <v>148</v>
      </c>
      <c r="J16" s="41" t="s">
        <v>149</v>
      </c>
      <c r="K16" s="189"/>
      <c r="L16" s="191"/>
      <c r="M16" s="84"/>
      <c r="N16" s="83"/>
    </row>
    <row r="17" spans="1:16" ht="20.25" customHeight="1" x14ac:dyDescent="0.2">
      <c r="A17" s="175"/>
      <c r="B17" s="176"/>
      <c r="C17" s="181" t="s">
        <v>150</v>
      </c>
      <c r="D17" s="182"/>
      <c r="E17" s="186"/>
      <c r="F17" s="52">
        <f ca="1">SUMIFS(LookupData!I$3:I$2682,LookupData!$A$3:$A$2682,$D$4,LookupData!$B$3:$B$2682,$D$8,LookupData!$C$3:$C$2682,$A16)</f>
        <v>263</v>
      </c>
      <c r="G17" s="53">
        <f ca="1">SUMIFS(LookupData!J$3:J$2682,LookupData!$A$3:$A$2682,$D$4,LookupData!$B$3:$B$2682,$D$8,LookupData!$C$3:$C$2682,$A16)</f>
        <v>263</v>
      </c>
      <c r="H17" s="53">
        <f ca="1">SUMIFS(LookupData!K$3:K$2682,LookupData!$A$3:$A$2682,$D$4,LookupData!$B$3:$B$2682,$D$8,LookupData!$C$3:$C$2682,$A16)</f>
        <v>263</v>
      </c>
      <c r="I17" s="30">
        <v>263</v>
      </c>
      <c r="J17" s="43">
        <v>263</v>
      </c>
      <c r="K17" s="192"/>
      <c r="L17" s="194"/>
      <c r="M17" s="92" t="s">
        <v>185</v>
      </c>
      <c r="N17" s="81">
        <f>'Circuit Criminal'!J17-'Drug Trafficking'!J17</f>
        <v>103443.12</v>
      </c>
    </row>
    <row r="18" spans="1:16" ht="20.25" customHeight="1" thickBot="1" x14ac:dyDescent="0.25">
      <c r="A18" s="175"/>
      <c r="B18" s="176"/>
      <c r="C18" s="181" t="s">
        <v>151</v>
      </c>
      <c r="D18" s="182"/>
      <c r="E18" s="186"/>
      <c r="F18" s="54">
        <f ca="1">SUMIFS(LookupData!D$3:D$2682,LookupData!$A$3:$A$2682,$D$4,LookupData!$B$3:$B$2682,$D$8,LookupData!$C$3:$C$2682,$A16)</f>
        <v>841075</v>
      </c>
      <c r="G18" s="55">
        <f ca="1">SUMIFS(LookupData!E$3:E$2682,LookupData!$A$3:$A$2682,$D$4,LookupData!$B$3:$B$2682,$D$8,LookupData!$C$3:$C$2682,$A16)</f>
        <v>841075</v>
      </c>
      <c r="H18" s="55">
        <f ca="1">SUMIFS(LookupData!F$3:F$2682,LookupData!$A$3:$A$2682,$D$4,LookupData!$B$3:$B$2682,$D$8,LookupData!$C$3:$C$2682,$A16)</f>
        <v>841075</v>
      </c>
      <c r="I18" s="38">
        <v>841075</v>
      </c>
      <c r="J18" s="44">
        <v>841075</v>
      </c>
      <c r="K18" s="192"/>
      <c r="L18" s="194"/>
      <c r="M18" s="93" t="s">
        <v>186</v>
      </c>
      <c r="N18" s="82">
        <f>'Circuit Criminal'!J18-'Drug Trafficking'!J18</f>
        <v>774858.45</v>
      </c>
    </row>
    <row r="19" spans="1:16" ht="20.25" customHeight="1" thickTop="1" thickBot="1" x14ac:dyDescent="0.25">
      <c r="A19" s="177"/>
      <c r="B19" s="178"/>
      <c r="C19" s="183" t="s">
        <v>152</v>
      </c>
      <c r="D19" s="184"/>
      <c r="E19" s="187"/>
      <c r="F19" s="73">
        <f ca="1">IFERROR(IF(F18=0,1,ROUND(F17/F18,4)),0)</f>
        <v>2.9999999999999997E-4</v>
      </c>
      <c r="G19" s="75">
        <f t="shared" ref="G19:I19" ca="1" si="1">IFERROR(IF(G18=0,1,ROUND(G17/G18,4)),0)</f>
        <v>2.9999999999999997E-4</v>
      </c>
      <c r="H19" s="75">
        <f t="shared" ca="1" si="1"/>
        <v>2.9999999999999997E-4</v>
      </c>
      <c r="I19" s="75">
        <f t="shared" si="1"/>
        <v>2.9999999999999997E-4</v>
      </c>
      <c r="J19" s="76">
        <f t="shared" ref="J19" si="2">IFERROR(IF(J18=0,1,ROUND(J17/J18,4)),0)</f>
        <v>2.9999999999999997E-4</v>
      </c>
      <c r="K19" s="195"/>
      <c r="L19" s="197"/>
      <c r="M19" s="106" t="s">
        <v>187</v>
      </c>
      <c r="N19" s="107">
        <f>IFERROR(N17/N18,1)</f>
        <v>0.13349937656355171</v>
      </c>
    </row>
    <row r="20" spans="1:16" ht="20.25" customHeight="1" thickBot="1" x14ac:dyDescent="0.25">
      <c r="A20" s="198" t="str">
        <f>LookupData!W5</f>
        <v>CGE CQ3-21</v>
      </c>
      <c r="B20" s="199"/>
      <c r="C20" s="204" t="str">
        <f>LookupData!X5</f>
        <v>RPE 06/30/20</v>
      </c>
      <c r="D20" s="205"/>
      <c r="E20" s="163"/>
      <c r="F20" s="188"/>
      <c r="G20" s="50" t="s">
        <v>145</v>
      </c>
      <c r="H20" s="36" t="s">
        <v>146</v>
      </c>
      <c r="I20" s="36" t="s">
        <v>147</v>
      </c>
      <c r="J20" s="36" t="s">
        <v>148</v>
      </c>
      <c r="K20" s="51" t="s">
        <v>149</v>
      </c>
      <c r="L20" s="186"/>
      <c r="M20" s="84"/>
      <c r="N20" s="83"/>
    </row>
    <row r="21" spans="1:16" ht="20.25" customHeight="1" x14ac:dyDescent="0.2">
      <c r="A21" s="200"/>
      <c r="B21" s="201"/>
      <c r="C21" s="181" t="s">
        <v>150</v>
      </c>
      <c r="D21" s="182"/>
      <c r="E21" s="163"/>
      <c r="F21" s="188"/>
      <c r="G21" s="52">
        <f ca="1">SUMIFS(LookupData!I$3:I$2682,LookupData!$A$3:$A$2682,$D$4,LookupData!$B$3:$B$2682,$D$8,LookupData!$C$3:$C$2682,$A20)</f>
        <v>211</v>
      </c>
      <c r="H21" s="53">
        <f ca="1">SUMIFS(LookupData!J$3:J$2682,LookupData!$A$3:$A$2682,$D$4,LookupData!$B$3:$B$2682,$D$8,LookupData!$C$3:$C$2682,$A20)</f>
        <v>211</v>
      </c>
      <c r="I21" s="30">
        <v>211</v>
      </c>
      <c r="J21" s="30">
        <v>211</v>
      </c>
      <c r="K21" s="43"/>
      <c r="L21" s="186"/>
      <c r="M21" s="92" t="s">
        <v>185</v>
      </c>
      <c r="N21" s="81">
        <f>'Circuit Criminal'!K21-'Drug Trafficking'!K21</f>
        <v>0</v>
      </c>
    </row>
    <row r="22" spans="1:16" ht="20.25" customHeight="1" thickBot="1" x14ac:dyDescent="0.25">
      <c r="A22" s="200"/>
      <c r="B22" s="201"/>
      <c r="C22" s="181" t="s">
        <v>151</v>
      </c>
      <c r="D22" s="182"/>
      <c r="E22" s="163"/>
      <c r="F22" s="188"/>
      <c r="G22" s="54">
        <f ca="1">SUMIFS(LookupData!D$3:D$2682,LookupData!$A$3:$A$2682,$D$4,LookupData!$B$3:$B$2682,$D$8,LookupData!$C$3:$C$2682,$A20)</f>
        <v>105755</v>
      </c>
      <c r="H22" s="55">
        <f ca="1">SUMIFS(LookupData!E$3:E$2682,LookupData!$A$3:$A$2682,$D$4,LookupData!$B$3:$B$2682,$D$8,LookupData!$C$3:$C$2682,$A20)</f>
        <v>105755</v>
      </c>
      <c r="I22" s="38">
        <v>105755</v>
      </c>
      <c r="J22" s="38">
        <v>105755</v>
      </c>
      <c r="K22" s="44"/>
      <c r="L22" s="186"/>
      <c r="M22" s="93" t="s">
        <v>186</v>
      </c>
      <c r="N22" s="82">
        <f>'Circuit Criminal'!K22-'Drug Trafficking'!K22</f>
        <v>0</v>
      </c>
    </row>
    <row r="23" spans="1:16" ht="20.25" customHeight="1" thickTop="1" thickBot="1" x14ac:dyDescent="0.25">
      <c r="A23" s="202"/>
      <c r="B23" s="203"/>
      <c r="C23" s="181" t="s">
        <v>152</v>
      </c>
      <c r="D23" s="182"/>
      <c r="E23" s="163"/>
      <c r="F23" s="188"/>
      <c r="G23" s="71">
        <f t="shared" ref="G23:I23" ca="1" si="3">IFERROR(IF(G22=0,1,ROUND(G21/G22,4)),0)</f>
        <v>2E-3</v>
      </c>
      <c r="H23" s="77">
        <f t="shared" ca="1" si="3"/>
        <v>2E-3</v>
      </c>
      <c r="I23" s="77">
        <f t="shared" si="3"/>
        <v>2E-3</v>
      </c>
      <c r="J23" s="77">
        <f t="shared" ref="J23:K23" si="4">IFERROR(IF(J22=0,1,ROUND(J21/J22,4)),0)</f>
        <v>2E-3</v>
      </c>
      <c r="K23" s="78">
        <f t="shared" si="4"/>
        <v>1</v>
      </c>
      <c r="L23" s="186"/>
      <c r="M23" s="106" t="s">
        <v>187</v>
      </c>
      <c r="N23" s="107">
        <f>IFERROR(N21/N22,1)</f>
        <v>1</v>
      </c>
      <c r="O23"/>
      <c r="P23"/>
    </row>
    <row r="24" spans="1:16" ht="20.25" customHeight="1" thickBot="1" x14ac:dyDescent="0.25">
      <c r="A24" s="173" t="str">
        <f>LookupData!W6</f>
        <v>CGE CQ4-21</v>
      </c>
      <c r="B24" s="174"/>
      <c r="C24" s="179" t="str">
        <f>LookupData!X6</f>
        <v>RPE 09/30/20</v>
      </c>
      <c r="D24" s="180"/>
      <c r="E24" s="189"/>
      <c r="F24" s="190"/>
      <c r="G24" s="191"/>
      <c r="H24" s="39" t="s">
        <v>145</v>
      </c>
      <c r="I24" s="40" t="s">
        <v>146</v>
      </c>
      <c r="J24" s="40" t="s">
        <v>147</v>
      </c>
      <c r="K24" s="40" t="s">
        <v>148</v>
      </c>
      <c r="L24" s="41" t="s">
        <v>149</v>
      </c>
      <c r="M24" s="84"/>
      <c r="N24" s="83"/>
      <c r="O24"/>
      <c r="P24"/>
    </row>
    <row r="25" spans="1:16" ht="20.25" customHeight="1" x14ac:dyDescent="0.2">
      <c r="A25" s="175"/>
      <c r="B25" s="176"/>
      <c r="C25" s="181" t="s">
        <v>150</v>
      </c>
      <c r="D25" s="182"/>
      <c r="E25" s="192"/>
      <c r="F25" s="193"/>
      <c r="G25" s="194"/>
      <c r="H25" s="52">
        <f ca="1">SUMIFS(LookupData!I$3:I$2682,LookupData!$A$3:$A$2682,$D$4,LookupData!$B$3:$B$2682,$D$8,LookupData!$C$3:$C$2682,$A24)</f>
        <v>166</v>
      </c>
      <c r="I25" s="30">
        <v>166</v>
      </c>
      <c r="J25" s="30">
        <v>166</v>
      </c>
      <c r="K25" s="30"/>
      <c r="L25" s="43"/>
      <c r="M25" s="92" t="s">
        <v>185</v>
      </c>
      <c r="N25" s="81">
        <f>'Circuit Criminal'!L25-'Drug Trafficking'!L25</f>
        <v>0</v>
      </c>
      <c r="O25"/>
      <c r="P25"/>
    </row>
    <row r="26" spans="1:16" ht="20.25" customHeight="1" thickBot="1" x14ac:dyDescent="0.25">
      <c r="A26" s="175"/>
      <c r="B26" s="176"/>
      <c r="C26" s="181" t="s">
        <v>151</v>
      </c>
      <c r="D26" s="182"/>
      <c r="E26" s="192"/>
      <c r="F26" s="193"/>
      <c r="G26" s="194"/>
      <c r="H26" s="54">
        <f ca="1">SUMIFS(LookupData!D$3:D$2682,LookupData!$A$3:$A$2682,$D$4,LookupData!$B$3:$B$2682,$D$8,LookupData!$C$3:$C$2682,$A24)</f>
        <v>173474</v>
      </c>
      <c r="I26" s="38">
        <v>173474</v>
      </c>
      <c r="J26" s="38">
        <v>173474</v>
      </c>
      <c r="K26" s="38"/>
      <c r="L26" s="44"/>
      <c r="M26" s="93" t="s">
        <v>186</v>
      </c>
      <c r="N26" s="82">
        <f>'Circuit Criminal'!L26-'Drug Trafficking'!L26</f>
        <v>0</v>
      </c>
      <c r="O26"/>
      <c r="P26"/>
    </row>
    <row r="27" spans="1:16" ht="20.25" customHeight="1" thickTop="1" thickBot="1" x14ac:dyDescent="0.25">
      <c r="A27" s="177"/>
      <c r="B27" s="178"/>
      <c r="C27" s="183" t="s">
        <v>152</v>
      </c>
      <c r="D27" s="184"/>
      <c r="E27" s="195"/>
      <c r="F27" s="196"/>
      <c r="G27" s="197"/>
      <c r="H27" s="73">
        <f t="shared" ref="H27:I27" ca="1" si="5">IFERROR(IF(H26=0,1,ROUND(H25/H26,4)),0)</f>
        <v>1E-3</v>
      </c>
      <c r="I27" s="75">
        <f t="shared" si="5"/>
        <v>1E-3</v>
      </c>
      <c r="J27" s="75">
        <f t="shared" ref="J27:L27" si="6">IFERROR(IF(J26=0,1,ROUND(J25/J26,4)),0)</f>
        <v>1E-3</v>
      </c>
      <c r="K27" s="75">
        <f t="shared" si="6"/>
        <v>1</v>
      </c>
      <c r="L27" s="76">
        <f t="shared" si="6"/>
        <v>1</v>
      </c>
      <c r="M27" s="108" t="s">
        <v>187</v>
      </c>
      <c r="N27" s="109">
        <f>IFERROR(N25/N26,1)</f>
        <v>1</v>
      </c>
      <c r="O27"/>
      <c r="P27"/>
    </row>
    <row r="28" spans="1:16" ht="20.25" customHeight="1" thickBot="1" x14ac:dyDescent="0.25">
      <c r="A28" s="198" t="str">
        <f>LookupData!W7</f>
        <v>CGE CQ1-22</v>
      </c>
      <c r="B28" s="199"/>
      <c r="C28" s="179" t="str">
        <f>LookupData!X7</f>
        <v>RPE 12/31/20</v>
      </c>
      <c r="D28" s="180"/>
      <c r="E28" s="189"/>
      <c r="F28" s="190"/>
      <c r="G28" s="190"/>
      <c r="H28" s="191"/>
      <c r="I28" s="39" t="s">
        <v>145</v>
      </c>
      <c r="J28" s="40" t="s">
        <v>146</v>
      </c>
      <c r="K28" s="40" t="s">
        <v>147</v>
      </c>
      <c r="L28" s="41" t="s">
        <v>148</v>
      </c>
      <c r="M28"/>
      <c r="N28"/>
      <c r="O28"/>
      <c r="P28"/>
    </row>
    <row r="29" spans="1:16" ht="20.25" customHeight="1" x14ac:dyDescent="0.2">
      <c r="A29" s="200"/>
      <c r="B29" s="201"/>
      <c r="C29" s="181" t="s">
        <v>150</v>
      </c>
      <c r="D29" s="182"/>
      <c r="E29" s="192"/>
      <c r="F29" s="193"/>
      <c r="G29" s="193"/>
      <c r="H29" s="194"/>
      <c r="I29" s="42">
        <v>166.5</v>
      </c>
      <c r="J29" s="30">
        <v>171.5</v>
      </c>
      <c r="K29" s="30"/>
      <c r="L29" s="43"/>
      <c r="M29"/>
      <c r="N29"/>
      <c r="O29"/>
      <c r="P29"/>
    </row>
    <row r="30" spans="1:16" ht="20.25" customHeight="1" thickBot="1" x14ac:dyDescent="0.25">
      <c r="A30" s="200"/>
      <c r="B30" s="201"/>
      <c r="C30" s="181" t="s">
        <v>151</v>
      </c>
      <c r="D30" s="182"/>
      <c r="E30" s="192"/>
      <c r="F30" s="193"/>
      <c r="G30" s="193"/>
      <c r="H30" s="194"/>
      <c r="I30" s="37">
        <v>286769.5</v>
      </c>
      <c r="J30" s="38">
        <v>286769.5</v>
      </c>
      <c r="K30" s="38"/>
      <c r="L30" s="44"/>
      <c r="M30"/>
      <c r="N30"/>
      <c r="O30"/>
      <c r="P30"/>
    </row>
    <row r="31" spans="1:16" ht="20.25" customHeight="1" thickTop="1" thickBot="1" x14ac:dyDescent="0.25">
      <c r="A31" s="202"/>
      <c r="B31" s="203"/>
      <c r="C31" s="183" t="s">
        <v>152</v>
      </c>
      <c r="D31" s="184"/>
      <c r="E31" s="195"/>
      <c r="F31" s="196"/>
      <c r="G31" s="196"/>
      <c r="H31" s="197"/>
      <c r="I31" s="73">
        <f t="shared" ref="I31" si="7">IFERROR(IF(I30=0,1,ROUND(I29/I30,4)),0)</f>
        <v>5.9999999999999995E-4</v>
      </c>
      <c r="J31" s="75">
        <f t="shared" ref="J31:L31" si="8">IFERROR(IF(J30=0,1,ROUND(J29/J30,4)),0)</f>
        <v>5.9999999999999995E-4</v>
      </c>
      <c r="K31" s="75">
        <f t="shared" si="8"/>
        <v>1</v>
      </c>
      <c r="L31" s="76">
        <f t="shared" si="8"/>
        <v>1</v>
      </c>
      <c r="M31"/>
      <c r="N31"/>
      <c r="O31"/>
      <c r="P31"/>
    </row>
    <row r="32" spans="1:16" ht="20.25" customHeight="1" thickBot="1" x14ac:dyDescent="0.25">
      <c r="A32" s="173" t="str">
        <f>LookupData!W8</f>
        <v>CGE CQ2-22</v>
      </c>
      <c r="B32" s="174"/>
      <c r="C32" s="179" t="str">
        <f>LookupData!X8</f>
        <v>RPE 03/31/21</v>
      </c>
      <c r="D32" s="180"/>
      <c r="E32" s="189"/>
      <c r="F32" s="190"/>
      <c r="G32" s="190"/>
      <c r="H32" s="190"/>
      <c r="I32" s="191"/>
      <c r="J32" s="39" t="s">
        <v>145</v>
      </c>
      <c r="K32" s="40" t="s">
        <v>146</v>
      </c>
      <c r="L32" s="41" t="s">
        <v>147</v>
      </c>
      <c r="M32"/>
      <c r="N32"/>
      <c r="O32"/>
      <c r="P32"/>
    </row>
    <row r="33" spans="1:16" ht="20.25" customHeight="1" x14ac:dyDescent="0.2">
      <c r="A33" s="175"/>
      <c r="B33" s="176"/>
      <c r="C33" s="181" t="s">
        <v>150</v>
      </c>
      <c r="D33" s="182"/>
      <c r="E33" s="192"/>
      <c r="F33" s="193"/>
      <c r="G33" s="193"/>
      <c r="H33" s="193"/>
      <c r="I33" s="194"/>
      <c r="J33" s="42">
        <v>171</v>
      </c>
      <c r="K33" s="30"/>
      <c r="L33" s="43"/>
      <c r="M33"/>
      <c r="N33"/>
      <c r="O33"/>
      <c r="P33"/>
    </row>
    <row r="34" spans="1:16" ht="20.25" customHeight="1" thickBot="1" x14ac:dyDescent="0.25">
      <c r="A34" s="175"/>
      <c r="B34" s="176"/>
      <c r="C34" s="181" t="s">
        <v>151</v>
      </c>
      <c r="D34" s="182"/>
      <c r="E34" s="192"/>
      <c r="F34" s="193"/>
      <c r="G34" s="193"/>
      <c r="H34" s="193"/>
      <c r="I34" s="194"/>
      <c r="J34" s="37">
        <v>121081</v>
      </c>
      <c r="K34" s="38"/>
      <c r="L34" s="44"/>
      <c r="M34"/>
      <c r="N34"/>
      <c r="O34"/>
      <c r="P34"/>
    </row>
    <row r="35" spans="1:16" ht="20.25" customHeight="1" thickTop="1" thickBot="1" x14ac:dyDescent="0.25">
      <c r="A35" s="177"/>
      <c r="B35" s="178"/>
      <c r="C35" s="183" t="s">
        <v>152</v>
      </c>
      <c r="D35" s="184"/>
      <c r="E35" s="195"/>
      <c r="F35" s="196"/>
      <c r="G35" s="196"/>
      <c r="H35" s="196"/>
      <c r="I35" s="197"/>
      <c r="J35" s="73">
        <f t="shared" ref="J35:L35" si="9">IFERROR(IF(J34=0,1,ROUND(J33/J34,4)),0)</f>
        <v>1.4E-3</v>
      </c>
      <c r="K35" s="75">
        <f t="shared" si="9"/>
        <v>1</v>
      </c>
      <c r="L35" s="76">
        <f t="shared" si="9"/>
        <v>1</v>
      </c>
      <c r="M35"/>
      <c r="N35"/>
      <c r="O35"/>
      <c r="P35"/>
    </row>
    <row r="36" spans="1:16" ht="20.25" customHeight="1" thickBot="1" x14ac:dyDescent="0.25">
      <c r="A36" s="198" t="str">
        <f>LookupData!W9</f>
        <v>CGE CQ3-22</v>
      </c>
      <c r="B36" s="199"/>
      <c r="C36" s="179" t="str">
        <f>LookupData!X9</f>
        <v>RPE 06/30/21</v>
      </c>
      <c r="D36" s="180"/>
      <c r="E36" s="189"/>
      <c r="F36" s="190"/>
      <c r="G36" s="190"/>
      <c r="H36" s="190"/>
      <c r="I36" s="190"/>
      <c r="J36" s="191"/>
      <c r="K36" s="39" t="s">
        <v>145</v>
      </c>
      <c r="L36" s="41" t="s">
        <v>146</v>
      </c>
      <c r="M36"/>
      <c r="N36"/>
      <c r="O36"/>
      <c r="P36"/>
    </row>
    <row r="37" spans="1:16" ht="20.25" customHeight="1" x14ac:dyDescent="0.2">
      <c r="A37" s="200"/>
      <c r="B37" s="201"/>
      <c r="C37" s="181" t="s">
        <v>150</v>
      </c>
      <c r="D37" s="182"/>
      <c r="E37" s="192"/>
      <c r="F37" s="193"/>
      <c r="G37" s="193"/>
      <c r="H37" s="193"/>
      <c r="I37" s="193"/>
      <c r="J37" s="194"/>
      <c r="K37" s="42"/>
      <c r="L37" s="43"/>
      <c r="M37"/>
      <c r="N37"/>
      <c r="O37"/>
      <c r="P37"/>
    </row>
    <row r="38" spans="1:16" ht="20.25" customHeight="1" thickBot="1" x14ac:dyDescent="0.25">
      <c r="A38" s="200"/>
      <c r="B38" s="201"/>
      <c r="C38" s="181" t="s">
        <v>151</v>
      </c>
      <c r="D38" s="182"/>
      <c r="E38" s="192"/>
      <c r="F38" s="193"/>
      <c r="G38" s="193"/>
      <c r="H38" s="193"/>
      <c r="I38" s="193"/>
      <c r="J38" s="194"/>
      <c r="K38" s="37"/>
      <c r="L38" s="44"/>
      <c r="M38"/>
      <c r="N38"/>
      <c r="O38"/>
      <c r="P38"/>
    </row>
    <row r="39" spans="1:16" ht="20.25" customHeight="1" thickTop="1" thickBot="1" x14ac:dyDescent="0.25">
      <c r="A39" s="202"/>
      <c r="B39" s="203"/>
      <c r="C39" s="183" t="s">
        <v>152</v>
      </c>
      <c r="D39" s="184"/>
      <c r="E39" s="195"/>
      <c r="F39" s="196"/>
      <c r="G39" s="196"/>
      <c r="H39" s="196"/>
      <c r="I39" s="196"/>
      <c r="J39" s="197"/>
      <c r="K39" s="73">
        <f t="shared" ref="K39:L39" si="10">IFERROR(IF(K38=0,1,ROUND(K37/K38,4)),0)</f>
        <v>1</v>
      </c>
      <c r="L39" s="76">
        <f t="shared" si="10"/>
        <v>1</v>
      </c>
      <c r="M39"/>
      <c r="N39"/>
      <c r="O39"/>
      <c r="P39"/>
    </row>
    <row r="40" spans="1:16" ht="20.25" customHeight="1" thickBot="1" x14ac:dyDescent="0.25">
      <c r="A40" s="173" t="str">
        <f>LookupData!W10</f>
        <v>CGE CQ4-22</v>
      </c>
      <c r="B40" s="174"/>
      <c r="C40" s="179" t="str">
        <f>LookupData!X10</f>
        <v>RPE 09/30/21</v>
      </c>
      <c r="D40" s="180"/>
      <c r="E40" s="189"/>
      <c r="F40" s="190"/>
      <c r="G40" s="190"/>
      <c r="H40" s="190"/>
      <c r="I40" s="190"/>
      <c r="J40" s="190"/>
      <c r="K40" s="191"/>
      <c r="L40" s="45" t="s">
        <v>145</v>
      </c>
      <c r="M40"/>
      <c r="N40"/>
      <c r="O40"/>
      <c r="P40"/>
    </row>
    <row r="41" spans="1:16" ht="20.25" customHeight="1" x14ac:dyDescent="0.2">
      <c r="A41" s="175"/>
      <c r="B41" s="176"/>
      <c r="C41" s="181" t="s">
        <v>150</v>
      </c>
      <c r="D41" s="182"/>
      <c r="E41" s="192"/>
      <c r="F41" s="193"/>
      <c r="G41" s="193"/>
      <c r="H41" s="193"/>
      <c r="I41" s="193"/>
      <c r="J41" s="193"/>
      <c r="K41" s="194"/>
      <c r="L41" s="46"/>
      <c r="M41"/>
      <c r="N41"/>
      <c r="O41"/>
      <c r="P41"/>
    </row>
    <row r="42" spans="1:16" ht="20.25" customHeight="1" thickBot="1" x14ac:dyDescent="0.25">
      <c r="A42" s="175"/>
      <c r="B42" s="176"/>
      <c r="C42" s="181" t="s">
        <v>151</v>
      </c>
      <c r="D42" s="182"/>
      <c r="E42" s="192"/>
      <c r="F42" s="193"/>
      <c r="G42" s="193"/>
      <c r="H42" s="193"/>
      <c r="I42" s="193"/>
      <c r="J42" s="193"/>
      <c r="K42" s="194"/>
      <c r="L42" s="47"/>
      <c r="M42"/>
      <c r="N42"/>
      <c r="O42"/>
      <c r="P42"/>
    </row>
    <row r="43" spans="1:16" ht="20.25" customHeight="1" thickTop="1" thickBot="1" x14ac:dyDescent="0.25">
      <c r="A43" s="177"/>
      <c r="B43" s="178"/>
      <c r="C43" s="183" t="s">
        <v>152</v>
      </c>
      <c r="D43" s="184"/>
      <c r="E43" s="195"/>
      <c r="F43" s="196"/>
      <c r="G43" s="196"/>
      <c r="H43" s="196"/>
      <c r="I43" s="196"/>
      <c r="J43" s="196"/>
      <c r="K43" s="197"/>
      <c r="L43" s="85">
        <f>IFERROR(IF(L42=0,1,ROUND(L41/L42,4)),0)</f>
        <v>1</v>
      </c>
      <c r="M43"/>
      <c r="N43"/>
      <c r="O43"/>
      <c r="P43"/>
    </row>
    <row r="44" spans="1:16" ht="20.25" customHeight="1" x14ac:dyDescent="0.25">
      <c r="D44" s="11"/>
      <c r="E44" s="11"/>
      <c r="F44" s="11"/>
      <c r="G44" s="11"/>
      <c r="H44" s="11"/>
      <c r="I44" s="11"/>
      <c r="J44" s="11"/>
      <c r="K44" s="11"/>
      <c r="L44" s="11"/>
      <c r="M44" s="11"/>
      <c r="N44" s="12"/>
    </row>
    <row r="45" spans="1:16" ht="53.25" customHeight="1" x14ac:dyDescent="0.3">
      <c r="B45" s="137" t="s">
        <v>162</v>
      </c>
      <c r="C45" s="137"/>
      <c r="D45" s="148" t="s">
        <v>169</v>
      </c>
      <c r="E45" s="148"/>
      <c r="F45" s="148"/>
      <c r="G45" s="148"/>
      <c r="H45" s="148" t="s">
        <v>166</v>
      </c>
      <c r="I45" s="148"/>
      <c r="J45" s="148"/>
      <c r="K45" s="148"/>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211</v>
      </c>
      <c r="E47" s="100" t="s">
        <v>212</v>
      </c>
      <c r="F47" s="58"/>
      <c r="G47" s="58"/>
      <c r="H47" s="58"/>
      <c r="I47" s="58"/>
      <c r="J47" s="58"/>
      <c r="K47" s="58"/>
      <c r="L47" s="58"/>
      <c r="M47" s="58"/>
      <c r="N47" s="12"/>
    </row>
    <row r="48" spans="1:16" ht="20.25" customHeight="1" x14ac:dyDescent="0.3">
      <c r="C48" s="58"/>
      <c r="D48" s="58" t="s">
        <v>213</v>
      </c>
      <c r="E48" s="58"/>
      <c r="F48" s="58"/>
      <c r="G48" s="58"/>
      <c r="H48" s="58"/>
      <c r="I48" s="58"/>
      <c r="J48" s="58"/>
      <c r="K48" s="58"/>
      <c r="L48" s="58"/>
      <c r="M48" s="58"/>
      <c r="N48" s="12"/>
    </row>
    <row r="49" spans="3:14" ht="20.25" customHeight="1" x14ac:dyDescent="0.3">
      <c r="C49" s="58"/>
      <c r="D49" s="58" t="s">
        <v>214</v>
      </c>
      <c r="F49" s="58"/>
      <c r="G49" s="58"/>
      <c r="H49" s="58"/>
      <c r="I49" s="58"/>
      <c r="J49" s="58"/>
      <c r="K49" s="58"/>
      <c r="L49" s="58"/>
      <c r="M49" s="58"/>
      <c r="N49" s="12"/>
    </row>
    <row r="50" spans="3:14" ht="20.25" customHeight="1" x14ac:dyDescent="0.3">
      <c r="C50" s="58"/>
      <c r="D50" s="58"/>
      <c r="E50" s="58" t="s">
        <v>209</v>
      </c>
      <c r="F50" s="58"/>
      <c r="G50" s="58"/>
      <c r="H50" s="58"/>
      <c r="I50" s="58"/>
      <c r="J50" s="58"/>
      <c r="K50" s="58"/>
      <c r="L50" s="58"/>
      <c r="M50" s="58"/>
      <c r="N50" s="12"/>
    </row>
    <row r="51" spans="3:14" ht="20.25" customHeight="1" x14ac:dyDescent="0.3">
      <c r="C51" s="69"/>
      <c r="D51" s="58"/>
      <c r="E51" s="58" t="s">
        <v>210</v>
      </c>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hRh4y1XFwsmbPTYPHe44Y2B9bH6XHmUtS7aglG4X5blzwtmLv+f8tJU6lMQ1PGpU8ZTvtO2JOHXMjWjKif//Ew==" saltValue="sAe2lgujQJ61tXowOWdfdQ==" spinCount="100000" sheet="1" formatColumns="0" formatRows="0"/>
  <mergeCells count="62">
    <mergeCell ref="M10:N10"/>
    <mergeCell ref="A12:B15"/>
    <mergeCell ref="C12:D12"/>
    <mergeCell ref="J12:L15"/>
    <mergeCell ref="D4:E4"/>
    <mergeCell ref="D5:E5"/>
    <mergeCell ref="D6:E6"/>
    <mergeCell ref="M4:N5"/>
    <mergeCell ref="L6:N9"/>
    <mergeCell ref="A16:B19"/>
    <mergeCell ref="C16:D16"/>
    <mergeCell ref="E16:E19"/>
    <mergeCell ref="A8:C8"/>
    <mergeCell ref="F8:G8"/>
    <mergeCell ref="K16:L19"/>
    <mergeCell ref="C17:D17"/>
    <mergeCell ref="C18:D18"/>
    <mergeCell ref="C19:D19"/>
    <mergeCell ref="C13:D13"/>
    <mergeCell ref="C14:D14"/>
    <mergeCell ref="C15:D15"/>
    <mergeCell ref="A20:B23"/>
    <mergeCell ref="C20:D20"/>
    <mergeCell ref="E20:F23"/>
    <mergeCell ref="L20:L23"/>
    <mergeCell ref="C21:D21"/>
    <mergeCell ref="C22:D22"/>
    <mergeCell ref="C23:D23"/>
    <mergeCell ref="A24:B27"/>
    <mergeCell ref="C24:D24"/>
    <mergeCell ref="E24:G27"/>
    <mergeCell ref="C25:D25"/>
    <mergeCell ref="C26:D26"/>
    <mergeCell ref="C27:D27"/>
    <mergeCell ref="A28:B31"/>
    <mergeCell ref="C28:D28"/>
    <mergeCell ref="E28:H31"/>
    <mergeCell ref="C29:D29"/>
    <mergeCell ref="C30:D30"/>
    <mergeCell ref="C31:D31"/>
    <mergeCell ref="A32:B35"/>
    <mergeCell ref="C32:D32"/>
    <mergeCell ref="E32:I35"/>
    <mergeCell ref="C33:D33"/>
    <mergeCell ref="C34:D34"/>
    <mergeCell ref="C35:D35"/>
    <mergeCell ref="B45:C45"/>
    <mergeCell ref="D45:G45"/>
    <mergeCell ref="H45:K45"/>
    <mergeCell ref="M11:N12"/>
    <mergeCell ref="C40:D40"/>
    <mergeCell ref="E40:K43"/>
    <mergeCell ref="C41:D41"/>
    <mergeCell ref="C42:D42"/>
    <mergeCell ref="C43:D43"/>
    <mergeCell ref="A36:B39"/>
    <mergeCell ref="C36:D36"/>
    <mergeCell ref="E36:J39"/>
    <mergeCell ref="C37:D37"/>
    <mergeCell ref="C38:D38"/>
    <mergeCell ref="C39:D39"/>
    <mergeCell ref="A40:B43"/>
  </mergeCells>
  <conditionalFormatting sqref="F14:I14">
    <cfRule type="expression" dxfId="165" priority="14">
      <formula>F14&gt;(MIN($E14:E14))</formula>
    </cfRule>
  </conditionalFormatting>
  <conditionalFormatting sqref="F13:I13">
    <cfRule type="expression" dxfId="164" priority="13">
      <formula>F13&lt;(MAX($E13:E13))</formula>
    </cfRule>
  </conditionalFormatting>
  <conditionalFormatting sqref="G17:J17">
    <cfRule type="expression" dxfId="163" priority="12">
      <formula>G17&lt;(MAX($F17:F17))</formula>
    </cfRule>
  </conditionalFormatting>
  <conditionalFormatting sqref="G18:J18">
    <cfRule type="expression" dxfId="162" priority="11">
      <formula>G18&gt;(MIN($F18:F18))</formula>
    </cfRule>
  </conditionalFormatting>
  <conditionalFormatting sqref="H22:K22">
    <cfRule type="expression" dxfId="161" priority="10">
      <formula>H22&gt;(MIN($G22:G22))</formula>
    </cfRule>
  </conditionalFormatting>
  <conditionalFormatting sqref="H21:K21">
    <cfRule type="expression" dxfId="160" priority="9">
      <formula>H21&lt;(MAX($G21:G21))</formula>
    </cfRule>
  </conditionalFormatting>
  <conditionalFormatting sqref="I26:L26">
    <cfRule type="expression" dxfId="159" priority="8">
      <formula>I26&gt;(MIN($H26:H26))</formula>
    </cfRule>
  </conditionalFormatting>
  <conditionalFormatting sqref="I25:L25">
    <cfRule type="expression" dxfId="158" priority="7">
      <formula>I25&lt;(MAX($H25:H25))</formula>
    </cfRule>
  </conditionalFormatting>
  <conditionalFormatting sqref="J30:L30">
    <cfRule type="expression" dxfId="157" priority="6">
      <formula>J30&gt;(MIN($I30:I30))</formula>
    </cfRule>
  </conditionalFormatting>
  <conditionalFormatting sqref="J29:L29">
    <cfRule type="expression" dxfId="156" priority="5">
      <formula>J29&lt;(MAX($I29:I29))</formula>
    </cfRule>
  </conditionalFormatting>
  <conditionalFormatting sqref="K34:L34">
    <cfRule type="expression" dxfId="155" priority="4">
      <formula>K34&gt;(MIN($J34:J34))</formula>
    </cfRule>
  </conditionalFormatting>
  <conditionalFormatting sqref="K33:L33">
    <cfRule type="expression" dxfId="154" priority="3">
      <formula>K33&lt;(MAX($J33:J33))</formula>
    </cfRule>
  </conditionalFormatting>
  <conditionalFormatting sqref="L38">
    <cfRule type="expression" dxfId="153" priority="2">
      <formula>L38&gt;(MIN($G38:K38))</formula>
    </cfRule>
  </conditionalFormatting>
  <conditionalFormatting sqref="L37">
    <cfRule type="expression" dxfId="152" priority="1">
      <formula>L37&lt;(MAX($K37:K37))</formula>
    </cfRule>
  </conditionalFormatting>
  <dataValidations count="1">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H6</xm:sqref>
        </x14:dataValidation>
        <x14:dataValidation type="list" allowBlank="1" showInputMessage="1" showErrorMessage="1">
          <x14:formula1>
            <xm:f>LookupData!$U$3:$U$6</xm:f>
          </x14:formula1>
          <xm:sqref>H4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7" zoomScale="90" zoomScaleNormal="90" zoomScaleSheetLayoutView="75" zoomScalePageLayoutView="75" workbookViewId="0">
      <selection activeCell="J35" sqref="J35"/>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1" t="s">
        <v>126</v>
      </c>
    </row>
    <row r="2" spans="1:14" ht="24" customHeight="1" x14ac:dyDescent="0.2">
      <c r="A2" s="101" t="str">
        <f>'Circuit Criminal'!A2</f>
        <v>County Fiscal Year 2020-2021</v>
      </c>
    </row>
    <row r="3" spans="1:14" ht="24" customHeight="1" x14ac:dyDescent="0.2"/>
    <row r="4" spans="1:14" ht="24" customHeight="1" x14ac:dyDescent="0.2">
      <c r="A4" s="8"/>
      <c r="C4" s="32" t="s">
        <v>0</v>
      </c>
      <c r="D4" s="229" t="str">
        <f>'Circuit Criminal'!D4</f>
        <v>Brevard</v>
      </c>
      <c r="E4" s="229"/>
      <c r="F4" s="9"/>
      <c r="G4" s="32" t="s">
        <v>135</v>
      </c>
      <c r="H4" s="97" t="str">
        <f>'Circuit Criminal'!H4</f>
        <v>Qtr 2: Jan - Mar</v>
      </c>
      <c r="I4"/>
      <c r="K4" s="32" t="s">
        <v>1</v>
      </c>
      <c r="L4" s="79">
        <f>'Circuit Criminal'!L4</f>
        <v>1</v>
      </c>
      <c r="N4" s="208" t="str">
        <f>'Circuit Criminal'!N4</f>
        <v>CCOC Form Version 1
Created 10/01/2020</v>
      </c>
    </row>
    <row r="5" spans="1:14" ht="24" customHeight="1" thickBot="1" x14ac:dyDescent="0.25">
      <c r="A5" s="8"/>
      <c r="C5" s="32" t="s">
        <v>68</v>
      </c>
      <c r="D5" s="207" t="str">
        <f>'Circuit Criminal'!D5</f>
        <v>Andrea Butler</v>
      </c>
      <c r="E5" s="207"/>
      <c r="F5" s="9"/>
      <c r="N5" s="209"/>
    </row>
    <row r="6" spans="1:14" ht="24" customHeight="1" x14ac:dyDescent="0.2">
      <c r="A6" s="8"/>
      <c r="C6" s="32" t="s">
        <v>69</v>
      </c>
      <c r="D6" s="206" t="str">
        <f>'Circuit Criminal'!D6</f>
        <v>andrea.butler@brevardclerk.us</v>
      </c>
      <c r="E6" s="206"/>
      <c r="F6" s="9"/>
      <c r="J6" s="140" t="s">
        <v>161</v>
      </c>
      <c r="K6" s="141"/>
      <c r="L6" s="141"/>
      <c r="M6" s="141"/>
      <c r="N6" s="142"/>
    </row>
    <row r="7" spans="1:14" ht="24" customHeight="1" thickBot="1" x14ac:dyDescent="0.25">
      <c r="A7" s="8"/>
      <c r="J7" s="66" t="s">
        <v>157</v>
      </c>
      <c r="K7" s="143" t="s">
        <v>159</v>
      </c>
      <c r="L7" s="143"/>
      <c r="M7" s="143"/>
      <c r="N7" s="144"/>
    </row>
    <row r="8" spans="1:14" ht="24" customHeight="1" thickTop="1" thickBot="1" x14ac:dyDescent="0.25">
      <c r="A8" s="214" t="s">
        <v>136</v>
      </c>
      <c r="B8" s="214"/>
      <c r="C8" s="215"/>
      <c r="D8" s="29" t="str">
        <f ca="1">MID(CELL("filename",A1),FIND("]",CELL("filename",A1))+1,255)</f>
        <v>County Criminal</v>
      </c>
      <c r="E8" s="10"/>
      <c r="F8" s="214" t="s">
        <v>137</v>
      </c>
      <c r="G8" s="214"/>
      <c r="H8" s="98">
        <f ca="1">INDEX(LookupData!AA3:AA12,MATCH(D8,LookupData!Z3:Z12,0))</f>
        <v>0.4</v>
      </c>
      <c r="J8" s="63" t="s">
        <v>158</v>
      </c>
      <c r="K8" s="145" t="s">
        <v>160</v>
      </c>
      <c r="L8" s="145"/>
      <c r="M8" s="145"/>
      <c r="N8" s="146"/>
    </row>
    <row r="9" spans="1:14" ht="19.5" customHeight="1" thickTop="1" thickBot="1" x14ac:dyDescent="0.25">
      <c r="A9" s="8"/>
      <c r="D9" s="8"/>
      <c r="E9" s="8"/>
    </row>
    <row r="10" spans="1:14" ht="25.5" customHeight="1" thickBot="1" x14ac:dyDescent="0.25">
      <c r="D10" s="1"/>
      <c r="E10" s="1"/>
      <c r="F10" s="1"/>
      <c r="G10" s="1"/>
      <c r="H10" s="1"/>
      <c r="I10" s="1"/>
      <c r="J10" s="1"/>
      <c r="K10" s="1"/>
      <c r="L10" s="1"/>
      <c r="M10" s="216" t="s">
        <v>141</v>
      </c>
      <c r="N10" s="217"/>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61" t="s">
        <v>142</v>
      </c>
      <c r="N11" s="62" t="s">
        <v>143</v>
      </c>
    </row>
    <row r="12" spans="1:14" ht="19.5" customHeight="1" thickBot="1" x14ac:dyDescent="0.25">
      <c r="A12" s="198" t="str">
        <f>LookupData!W3</f>
        <v>CGE CQ1-21</v>
      </c>
      <c r="B12" s="199"/>
      <c r="C12" s="179" t="str">
        <f>LookupData!X3</f>
        <v>RPE 12/31/19</v>
      </c>
      <c r="D12" s="180"/>
      <c r="E12" s="39" t="s">
        <v>145</v>
      </c>
      <c r="F12" s="40" t="s">
        <v>146</v>
      </c>
      <c r="G12" s="40" t="s">
        <v>147</v>
      </c>
      <c r="H12" s="40" t="s">
        <v>148</v>
      </c>
      <c r="I12" s="41" t="s">
        <v>149</v>
      </c>
      <c r="J12" s="218"/>
      <c r="K12" s="218"/>
      <c r="L12" s="218"/>
      <c r="M12" s="210"/>
      <c r="N12" s="212"/>
    </row>
    <row r="13" spans="1:14" ht="19.5" customHeight="1" x14ac:dyDescent="0.2">
      <c r="A13" s="200"/>
      <c r="B13" s="201"/>
      <c r="C13" s="181" t="s">
        <v>150</v>
      </c>
      <c r="D13" s="182"/>
      <c r="E13" s="52">
        <f ca="1">SUMIFS(LookupData!I$3:I$2682,LookupData!$A$3:$A$2682,$D$4,LookupData!$B$3:$B$2682,$D$8,LookupData!$C$3:$C$2682,$A12)</f>
        <v>81175.59</v>
      </c>
      <c r="F13" s="53">
        <f ca="1">SUMIFS(LookupData!J$3:J$2682,LookupData!$A$3:$A$2682,$D$4,LookupData!$B$3:$B$2682,$D$8,LookupData!$C$3:$C$2682,$A12)</f>
        <v>102201.72</v>
      </c>
      <c r="G13" s="53">
        <f ca="1">SUMIFS(LookupData!K$3:K$2682,LookupData!$A$3:$A$2682,$D$4,LookupData!$B$3:$B$2682,$D$8,LookupData!$C$3:$C$2682,$A12)</f>
        <v>126194.55</v>
      </c>
      <c r="H13" s="53">
        <f ca="1">SUMIFS(LookupData!L$3:L$2682,LookupData!$A$3:$A$2682,$D$4,LookupData!$B$3:$B$2682,$D$8,LookupData!$C$3:$C$2682,$A12)</f>
        <v>143139.15</v>
      </c>
      <c r="I13" s="43">
        <v>158066.42000000001</v>
      </c>
      <c r="J13" s="219"/>
      <c r="K13" s="219"/>
      <c r="L13" s="219"/>
      <c r="M13" s="211"/>
      <c r="N13" s="213"/>
    </row>
    <row r="14" spans="1:14" ht="19.5" customHeight="1" thickBot="1" x14ac:dyDescent="0.25">
      <c r="A14" s="200"/>
      <c r="B14" s="201"/>
      <c r="C14" s="181" t="s">
        <v>151</v>
      </c>
      <c r="D14" s="182"/>
      <c r="E14" s="54">
        <f ca="1">SUMIFS(LookupData!D$3:D$2682,LookupData!$A$3:$A$2682,$D$4,LookupData!$B$3:$B$2682,$D$8,LookupData!$C$3:$C$2682,$A12)</f>
        <v>437097.7</v>
      </c>
      <c r="F14" s="55">
        <f ca="1">SUMIFS(LookupData!E$3:E$2682,LookupData!$A$3:$A$2682,$D$4,LookupData!$B$3:$B$2682,$D$8,LookupData!$C$3:$C$2682,$A12)</f>
        <v>432292.2</v>
      </c>
      <c r="G14" s="55">
        <f ca="1">SUMIFS(LookupData!F$3:F$2682,LookupData!$A$3:$A$2682,$D$4,LookupData!$B$3:$B$2682,$D$8,LookupData!$C$3:$C$2682,$A12)</f>
        <v>431867.2</v>
      </c>
      <c r="H14" s="55">
        <f ca="1">SUMIFS(LookupData!G$3:G$2682,LookupData!$A$3:$A$2682,$D$4,LookupData!$B$3:$B$2682,$D$8,LookupData!$C$3:$C$2682,$A12)</f>
        <v>430870.2</v>
      </c>
      <c r="I14" s="44">
        <v>429592.2</v>
      </c>
      <c r="J14" s="219"/>
      <c r="K14" s="219"/>
      <c r="L14" s="219"/>
      <c r="M14" s="211"/>
      <c r="N14" s="213"/>
    </row>
    <row r="15" spans="1:14" ht="19.5" customHeight="1" thickTop="1" thickBot="1" x14ac:dyDescent="0.25">
      <c r="A15" s="202"/>
      <c r="B15" s="203"/>
      <c r="C15" s="181" t="s">
        <v>152</v>
      </c>
      <c r="D15" s="182"/>
      <c r="E15" s="71">
        <f ca="1">IFERROR(IF(E14=0,1,ROUND(E13/E14,4)),0)</f>
        <v>0.1857</v>
      </c>
      <c r="F15" s="77">
        <f t="shared" ref="F15:H15" ca="1" si="0">IFERROR(IF(F14=0,1,ROUND(F13/F14,4)),0)</f>
        <v>0.2364</v>
      </c>
      <c r="G15" s="77">
        <f t="shared" ca="1" si="0"/>
        <v>0.29220000000000002</v>
      </c>
      <c r="H15" s="77">
        <f t="shared" ca="1" si="0"/>
        <v>0.3322</v>
      </c>
      <c r="I15" s="78">
        <f t="shared" ref="I15" si="1">IFERROR(IF(I14=0,1,ROUND(I13/I14,4)),0)</f>
        <v>0.3679</v>
      </c>
      <c r="J15" s="219"/>
      <c r="K15" s="219"/>
      <c r="L15" s="219"/>
      <c r="M15" s="211"/>
      <c r="N15" s="213"/>
    </row>
    <row r="16" spans="1:14" ht="20.25" customHeight="1" thickBot="1" x14ac:dyDescent="0.25">
      <c r="A16" s="173" t="str">
        <f>LookupData!W4</f>
        <v>CGE CQ2-21</v>
      </c>
      <c r="B16" s="174"/>
      <c r="C16" s="179" t="str">
        <f>LookupData!X4</f>
        <v>RPE 03/31/20</v>
      </c>
      <c r="D16" s="180"/>
      <c r="E16" s="185"/>
      <c r="F16" s="39" t="s">
        <v>145</v>
      </c>
      <c r="G16" s="40" t="s">
        <v>146</v>
      </c>
      <c r="H16" s="40" t="s">
        <v>147</v>
      </c>
      <c r="I16" s="40" t="s">
        <v>148</v>
      </c>
      <c r="J16" s="41" t="s">
        <v>149</v>
      </c>
      <c r="K16" s="189"/>
      <c r="L16" s="191"/>
      <c r="M16" s="167"/>
      <c r="N16" s="168"/>
    </row>
    <row r="17" spans="1:16" ht="20.25" customHeight="1" x14ac:dyDescent="0.2">
      <c r="A17" s="175"/>
      <c r="B17" s="176"/>
      <c r="C17" s="181" t="s">
        <v>150</v>
      </c>
      <c r="D17" s="182"/>
      <c r="E17" s="186"/>
      <c r="F17" s="52">
        <f ca="1">SUMIFS(LookupData!I$3:I$2682,LookupData!$A$3:$A$2682,$D$4,LookupData!$B$3:$B$2682,$D$8,LookupData!$C$3:$C$2682,$A16)</f>
        <v>77127.429999999993</v>
      </c>
      <c r="G17" s="53">
        <f ca="1">SUMIFS(LookupData!J$3:J$2682,LookupData!$A$3:$A$2682,$D$4,LookupData!$B$3:$B$2682,$D$8,LookupData!$C$3:$C$2682,$A16)</f>
        <v>104279.34</v>
      </c>
      <c r="H17" s="53">
        <f ca="1">SUMIFS(LookupData!K$3:K$2682,LookupData!$A$3:$A$2682,$D$4,LookupData!$B$3:$B$2682,$D$8,LookupData!$C$3:$C$2682,$A16)</f>
        <v>124662.41</v>
      </c>
      <c r="I17" s="30">
        <v>140158.78</v>
      </c>
      <c r="J17" s="43">
        <v>160052.10999999999</v>
      </c>
      <c r="K17" s="192"/>
      <c r="L17" s="194"/>
      <c r="M17" s="167"/>
      <c r="N17" s="168"/>
    </row>
    <row r="18" spans="1:16" ht="20.25" customHeight="1" thickBot="1" x14ac:dyDescent="0.25">
      <c r="A18" s="175"/>
      <c r="B18" s="176"/>
      <c r="C18" s="181" t="s">
        <v>151</v>
      </c>
      <c r="D18" s="182"/>
      <c r="E18" s="186"/>
      <c r="F18" s="54">
        <f ca="1">SUMIFS(LookupData!D$3:D$2682,LookupData!$A$3:$A$2682,$D$4,LookupData!$B$3:$B$2682,$D$8,LookupData!$C$3:$C$2682,$A16)</f>
        <v>439055.9</v>
      </c>
      <c r="G18" s="55">
        <f ca="1">SUMIFS(LookupData!E$3:E$2682,LookupData!$A$3:$A$2682,$D$4,LookupData!$B$3:$B$2682,$D$8,LookupData!$C$3:$C$2682,$A16)</f>
        <v>434306.9</v>
      </c>
      <c r="H18" s="55">
        <f ca="1">SUMIFS(LookupData!F$3:F$2682,LookupData!$A$3:$A$2682,$D$4,LookupData!$B$3:$B$2682,$D$8,LookupData!$C$3:$C$2682,$A16)</f>
        <v>432490.9</v>
      </c>
      <c r="I18" s="38">
        <v>431390.9</v>
      </c>
      <c r="J18" s="44">
        <v>430940.9</v>
      </c>
      <c r="K18" s="192"/>
      <c r="L18" s="194"/>
      <c r="M18" s="167"/>
      <c r="N18" s="168"/>
    </row>
    <row r="19" spans="1:16" ht="20.25" customHeight="1" thickTop="1" thickBot="1" x14ac:dyDescent="0.25">
      <c r="A19" s="177"/>
      <c r="B19" s="178"/>
      <c r="C19" s="183" t="s">
        <v>152</v>
      </c>
      <c r="D19" s="184"/>
      <c r="E19" s="187"/>
      <c r="F19" s="73">
        <f ca="1">IFERROR(IF(F18=0,1,ROUND(F17/F18,4)),0)</f>
        <v>0.1757</v>
      </c>
      <c r="G19" s="75">
        <f t="shared" ref="G19:H19" ca="1" si="2">IFERROR(IF(G18=0,1,ROUND(G17/G18,4)),0)</f>
        <v>0.24010000000000001</v>
      </c>
      <c r="H19" s="75">
        <f t="shared" ca="1" si="2"/>
        <v>0.28820000000000001</v>
      </c>
      <c r="I19" s="75">
        <f t="shared" ref="I19:J19" si="3">IFERROR(IF(I18=0,1,ROUND(I17/I18,4)),0)</f>
        <v>0.32490000000000002</v>
      </c>
      <c r="J19" s="76">
        <f t="shared" si="3"/>
        <v>0.37140000000000001</v>
      </c>
      <c r="K19" s="195"/>
      <c r="L19" s="197"/>
      <c r="M19" s="167"/>
      <c r="N19" s="168"/>
    </row>
    <row r="20" spans="1:16" ht="20.25" customHeight="1" thickBot="1" x14ac:dyDescent="0.25">
      <c r="A20" s="198" t="str">
        <f>LookupData!W5</f>
        <v>CGE CQ3-21</v>
      </c>
      <c r="B20" s="199"/>
      <c r="C20" s="204" t="str">
        <f>LookupData!X5</f>
        <v>RPE 06/30/20</v>
      </c>
      <c r="D20" s="205"/>
      <c r="E20" s="163"/>
      <c r="F20" s="188"/>
      <c r="G20" s="50" t="s">
        <v>145</v>
      </c>
      <c r="H20" s="36" t="s">
        <v>146</v>
      </c>
      <c r="I20" s="36" t="s">
        <v>147</v>
      </c>
      <c r="J20" s="36" t="s">
        <v>148</v>
      </c>
      <c r="K20" s="51" t="s">
        <v>149</v>
      </c>
      <c r="L20" s="192"/>
      <c r="M20" s="167"/>
      <c r="N20" s="168"/>
    </row>
    <row r="21" spans="1:16" ht="20.25" customHeight="1" x14ac:dyDescent="0.2">
      <c r="A21" s="200"/>
      <c r="B21" s="201"/>
      <c r="C21" s="181" t="s">
        <v>150</v>
      </c>
      <c r="D21" s="182"/>
      <c r="E21" s="163"/>
      <c r="F21" s="188"/>
      <c r="G21" s="52">
        <f ca="1">SUMIFS(LookupData!I$3:I$2682,LookupData!$A$3:$A$2682,$D$4,LookupData!$B$3:$B$2682,$D$8,LookupData!$C$3:$C$2682,$A20)</f>
        <v>54757.66</v>
      </c>
      <c r="H21" s="53">
        <f ca="1">SUMIFS(LookupData!J$3:J$2682,LookupData!$A$3:$A$2682,$D$4,LookupData!$B$3:$B$2682,$D$8,LookupData!$C$3:$C$2682,$A20)</f>
        <v>69999.240000000005</v>
      </c>
      <c r="I21" s="30">
        <v>79854.34</v>
      </c>
      <c r="J21" s="30">
        <v>86937.33</v>
      </c>
      <c r="K21" s="43"/>
      <c r="L21" s="192"/>
      <c r="M21" s="167"/>
      <c r="N21" s="168"/>
    </row>
    <row r="22" spans="1:16" ht="20.25" customHeight="1" thickBot="1" x14ac:dyDescent="0.25">
      <c r="A22" s="200"/>
      <c r="B22" s="201"/>
      <c r="C22" s="181" t="s">
        <v>151</v>
      </c>
      <c r="D22" s="182"/>
      <c r="E22" s="163"/>
      <c r="F22" s="188"/>
      <c r="G22" s="54">
        <f ca="1">SUMIFS(LookupData!D$3:D$2682,LookupData!$A$3:$A$2682,$D$4,LookupData!$B$3:$B$2682,$D$8,LookupData!$C$3:$C$2682,$A20)</f>
        <v>228683.88</v>
      </c>
      <c r="H22" s="55">
        <f ca="1">SUMIFS(LookupData!E$3:E$2682,LookupData!$A$3:$A$2682,$D$4,LookupData!$B$3:$B$2682,$D$8,LookupData!$C$3:$C$2682,$A20)</f>
        <v>223782.88</v>
      </c>
      <c r="I22" s="38">
        <v>222100.88</v>
      </c>
      <c r="J22" s="38">
        <v>221704.88</v>
      </c>
      <c r="K22" s="44"/>
      <c r="L22" s="192"/>
      <c r="M22" s="167"/>
      <c r="N22" s="168"/>
    </row>
    <row r="23" spans="1:16" ht="20.25" customHeight="1" thickTop="1" thickBot="1" x14ac:dyDescent="0.25">
      <c r="A23" s="202"/>
      <c r="B23" s="203"/>
      <c r="C23" s="181" t="s">
        <v>152</v>
      </c>
      <c r="D23" s="182"/>
      <c r="E23" s="163"/>
      <c r="F23" s="188"/>
      <c r="G23" s="71">
        <f t="shared" ref="G23:H23" ca="1" si="4">IFERROR(IF(G22=0,1,ROUND(G21/G22,4)),0)</f>
        <v>0.2394</v>
      </c>
      <c r="H23" s="77">
        <f t="shared" ca="1" si="4"/>
        <v>0.31280000000000002</v>
      </c>
      <c r="I23" s="77">
        <f t="shared" ref="I23:K23" si="5">IFERROR(IF(I22=0,1,ROUND(I21/I22,4)),0)</f>
        <v>0.35949999999999999</v>
      </c>
      <c r="J23" s="77">
        <f t="shared" si="5"/>
        <v>0.3921</v>
      </c>
      <c r="K23" s="78">
        <f t="shared" si="5"/>
        <v>1</v>
      </c>
      <c r="L23" s="192"/>
      <c r="M23" s="167"/>
      <c r="N23" s="168"/>
      <c r="O23"/>
      <c r="P23"/>
    </row>
    <row r="24" spans="1:16" ht="20.25" customHeight="1" thickBot="1" x14ac:dyDescent="0.25">
      <c r="A24" s="173" t="str">
        <f>LookupData!W6</f>
        <v>CGE CQ4-21</v>
      </c>
      <c r="B24" s="174"/>
      <c r="C24" s="179" t="str">
        <f>LookupData!X6</f>
        <v>RPE 09/30/20</v>
      </c>
      <c r="D24" s="180"/>
      <c r="E24" s="189"/>
      <c r="F24" s="190"/>
      <c r="G24" s="191"/>
      <c r="H24" s="39" t="s">
        <v>145</v>
      </c>
      <c r="I24" s="40" t="s">
        <v>146</v>
      </c>
      <c r="J24" s="40" t="s">
        <v>147</v>
      </c>
      <c r="K24" s="40" t="s">
        <v>148</v>
      </c>
      <c r="L24" s="41" t="s">
        <v>149</v>
      </c>
      <c r="M24" s="169"/>
      <c r="N24" s="171"/>
      <c r="O24"/>
      <c r="P24"/>
    </row>
    <row r="25" spans="1:16" ht="20.25" customHeight="1" x14ac:dyDescent="0.2">
      <c r="A25" s="175"/>
      <c r="B25" s="176"/>
      <c r="C25" s="181" t="s">
        <v>150</v>
      </c>
      <c r="D25" s="182"/>
      <c r="E25" s="192"/>
      <c r="F25" s="193"/>
      <c r="G25" s="194"/>
      <c r="H25" s="52">
        <f ca="1">SUMIFS(LookupData!I$3:I$2682,LookupData!$A$3:$A$2682,$D$4,LookupData!$B$3:$B$2682,$D$8,LookupData!$C$3:$C$2682,$A24)</f>
        <v>72301.58</v>
      </c>
      <c r="I25" s="30">
        <v>101754.24000000001</v>
      </c>
      <c r="J25" s="30">
        <v>126082.08</v>
      </c>
      <c r="K25" s="30"/>
      <c r="L25" s="43"/>
      <c r="M25" s="169"/>
      <c r="N25" s="171"/>
      <c r="O25"/>
      <c r="P25"/>
    </row>
    <row r="26" spans="1:16" ht="20.25" customHeight="1" thickBot="1" x14ac:dyDescent="0.25">
      <c r="A26" s="175"/>
      <c r="B26" s="176"/>
      <c r="C26" s="181" t="s">
        <v>151</v>
      </c>
      <c r="D26" s="182"/>
      <c r="E26" s="192"/>
      <c r="F26" s="193"/>
      <c r="G26" s="194"/>
      <c r="H26" s="54">
        <f ca="1">SUMIFS(LookupData!D$3:D$2682,LookupData!$A$3:$A$2682,$D$4,LookupData!$B$3:$B$2682,$D$8,LookupData!$C$3:$C$2682,$A24)</f>
        <v>401132.71</v>
      </c>
      <c r="I26" s="38">
        <v>395201.71</v>
      </c>
      <c r="J26" s="38">
        <v>391883.71</v>
      </c>
      <c r="K26" s="38"/>
      <c r="L26" s="44"/>
      <c r="M26" s="169"/>
      <c r="N26" s="171"/>
      <c r="O26"/>
      <c r="P26"/>
    </row>
    <row r="27" spans="1:16" ht="20.25" customHeight="1" thickTop="1" thickBot="1" x14ac:dyDescent="0.25">
      <c r="A27" s="177"/>
      <c r="B27" s="178"/>
      <c r="C27" s="183" t="s">
        <v>152</v>
      </c>
      <c r="D27" s="184"/>
      <c r="E27" s="195"/>
      <c r="F27" s="196"/>
      <c r="G27" s="197"/>
      <c r="H27" s="73">
        <f t="shared" ref="H27" ca="1" si="6">IFERROR(IF(H26=0,1,ROUND(H25/H26,4)),0)</f>
        <v>0.1802</v>
      </c>
      <c r="I27" s="75">
        <f t="shared" ref="I27:L27" si="7">IFERROR(IF(I26=0,1,ROUND(I25/I26,4)),0)</f>
        <v>0.25750000000000001</v>
      </c>
      <c r="J27" s="75">
        <f t="shared" si="7"/>
        <v>0.32169999999999999</v>
      </c>
      <c r="K27" s="75">
        <f t="shared" si="7"/>
        <v>1</v>
      </c>
      <c r="L27" s="76">
        <f t="shared" si="7"/>
        <v>1</v>
      </c>
      <c r="M27" s="170"/>
      <c r="N27" s="172"/>
      <c r="O27"/>
      <c r="P27"/>
    </row>
    <row r="28" spans="1:16" ht="20.25" customHeight="1" thickBot="1" x14ac:dyDescent="0.25">
      <c r="A28" s="198" t="str">
        <f>LookupData!W7</f>
        <v>CGE CQ1-22</v>
      </c>
      <c r="B28" s="199"/>
      <c r="C28" s="179" t="str">
        <f>LookupData!X7</f>
        <v>RPE 12/31/20</v>
      </c>
      <c r="D28" s="180"/>
      <c r="E28" s="189"/>
      <c r="F28" s="190"/>
      <c r="G28" s="190"/>
      <c r="H28" s="191"/>
      <c r="I28" s="39" t="s">
        <v>145</v>
      </c>
      <c r="J28" s="40" t="s">
        <v>146</v>
      </c>
      <c r="K28" s="40" t="s">
        <v>147</v>
      </c>
      <c r="L28" s="41" t="s">
        <v>148</v>
      </c>
      <c r="M28" s="161"/>
      <c r="N28" s="162"/>
      <c r="O28"/>
      <c r="P28"/>
    </row>
    <row r="29" spans="1:16" ht="20.25" customHeight="1" x14ac:dyDescent="0.2">
      <c r="A29" s="200"/>
      <c r="B29" s="201"/>
      <c r="C29" s="181" t="s">
        <v>150</v>
      </c>
      <c r="D29" s="182"/>
      <c r="E29" s="192"/>
      <c r="F29" s="193"/>
      <c r="G29" s="193"/>
      <c r="H29" s="194"/>
      <c r="I29" s="42">
        <v>67348.58</v>
      </c>
      <c r="J29" s="30">
        <v>96098.47</v>
      </c>
      <c r="K29" s="30"/>
      <c r="L29" s="43"/>
      <c r="M29" s="163"/>
      <c r="N29" s="164"/>
      <c r="O29"/>
      <c r="P29"/>
    </row>
    <row r="30" spans="1:16" ht="20.25" customHeight="1" thickBot="1" x14ac:dyDescent="0.25">
      <c r="A30" s="200"/>
      <c r="B30" s="201"/>
      <c r="C30" s="181" t="s">
        <v>151</v>
      </c>
      <c r="D30" s="182"/>
      <c r="E30" s="192"/>
      <c r="F30" s="193"/>
      <c r="G30" s="193"/>
      <c r="H30" s="194"/>
      <c r="I30" s="37">
        <v>418904.45</v>
      </c>
      <c r="J30" s="38">
        <v>410622.45</v>
      </c>
      <c r="K30" s="38"/>
      <c r="L30" s="44"/>
      <c r="M30" s="165"/>
      <c r="N30" s="166"/>
      <c r="O30"/>
      <c r="P30"/>
    </row>
    <row r="31" spans="1:16" ht="20.25" customHeight="1" thickTop="1" thickBot="1" x14ac:dyDescent="0.25">
      <c r="A31" s="202"/>
      <c r="B31" s="203"/>
      <c r="C31" s="183" t="s">
        <v>152</v>
      </c>
      <c r="D31" s="184"/>
      <c r="E31" s="195"/>
      <c r="F31" s="196"/>
      <c r="G31" s="196"/>
      <c r="H31" s="197"/>
      <c r="I31" s="73">
        <f t="shared" ref="I31:L31" si="8">IFERROR(IF(I30=0,1,ROUND(I29/I30,4)),0)</f>
        <v>0.1608</v>
      </c>
      <c r="J31" s="75">
        <f t="shared" si="8"/>
        <v>0.23400000000000001</v>
      </c>
      <c r="K31" s="75">
        <f t="shared" si="8"/>
        <v>1</v>
      </c>
      <c r="L31" s="74">
        <f t="shared" si="8"/>
        <v>1</v>
      </c>
      <c r="M31" s="138" t="s">
        <v>153</v>
      </c>
      <c r="N31" s="139"/>
      <c r="O31"/>
      <c r="P31"/>
    </row>
    <row r="32" spans="1:16" ht="20.25" customHeight="1" thickBot="1" x14ac:dyDescent="0.25">
      <c r="A32" s="173" t="str">
        <f>LookupData!W8</f>
        <v>CGE CQ2-22</v>
      </c>
      <c r="B32" s="174"/>
      <c r="C32" s="179" t="str">
        <f>LookupData!X8</f>
        <v>RPE 03/31/21</v>
      </c>
      <c r="D32" s="180"/>
      <c r="E32" s="189"/>
      <c r="F32" s="190"/>
      <c r="G32" s="190"/>
      <c r="H32" s="190"/>
      <c r="I32" s="191"/>
      <c r="J32" s="39" t="s">
        <v>145</v>
      </c>
      <c r="K32" s="40" t="s">
        <v>146</v>
      </c>
      <c r="L32" s="40" t="s">
        <v>147</v>
      </c>
      <c r="M32" s="149" t="str">
        <f>LookupData!Y7</f>
        <v>10/01/20 - 12/31/20</v>
      </c>
      <c r="N32" s="150"/>
      <c r="O32"/>
      <c r="P32"/>
    </row>
    <row r="33" spans="1:16" ht="20.25" customHeight="1" x14ac:dyDescent="0.2">
      <c r="A33" s="175"/>
      <c r="B33" s="176"/>
      <c r="C33" s="181" t="s">
        <v>150</v>
      </c>
      <c r="D33" s="182"/>
      <c r="E33" s="192"/>
      <c r="F33" s="193"/>
      <c r="G33" s="193"/>
      <c r="H33" s="193"/>
      <c r="I33" s="194"/>
      <c r="J33" s="42">
        <v>76454.740000000005</v>
      </c>
      <c r="K33" s="30"/>
      <c r="L33" s="48"/>
      <c r="M33" s="153"/>
      <c r="N33" s="154"/>
      <c r="O33"/>
      <c r="P33"/>
    </row>
    <row r="34" spans="1:16" ht="20.25" customHeight="1" thickBot="1" x14ac:dyDescent="0.25">
      <c r="A34" s="175"/>
      <c r="B34" s="176"/>
      <c r="C34" s="181" t="s">
        <v>151</v>
      </c>
      <c r="D34" s="182"/>
      <c r="E34" s="192"/>
      <c r="F34" s="193"/>
      <c r="G34" s="193"/>
      <c r="H34" s="193"/>
      <c r="I34" s="194"/>
      <c r="J34" s="37">
        <v>376390</v>
      </c>
      <c r="K34" s="38"/>
      <c r="L34" s="49"/>
      <c r="M34" s="155"/>
      <c r="N34" s="156"/>
      <c r="O34"/>
      <c r="P34"/>
    </row>
    <row r="35" spans="1:16" ht="20.25" customHeight="1" thickTop="1" thickBot="1" x14ac:dyDescent="0.25">
      <c r="A35" s="177"/>
      <c r="B35" s="178"/>
      <c r="C35" s="183" t="s">
        <v>152</v>
      </c>
      <c r="D35" s="184"/>
      <c r="E35" s="195"/>
      <c r="F35" s="196"/>
      <c r="G35" s="196"/>
      <c r="H35" s="196"/>
      <c r="I35" s="197"/>
      <c r="J35" s="73">
        <f t="shared" ref="J35:L35" si="9">IFERROR(IF(J34=0,1,ROUND(J33/J34,4)),0)</f>
        <v>0.2031</v>
      </c>
      <c r="K35" s="75">
        <f t="shared" si="9"/>
        <v>1</v>
      </c>
      <c r="L35" s="74">
        <f t="shared" si="9"/>
        <v>1</v>
      </c>
      <c r="M35" s="151" t="str">
        <f>LookupData!Y8</f>
        <v>01/01/21 - 03/31/21</v>
      </c>
      <c r="N35" s="152"/>
      <c r="O35"/>
      <c r="P35"/>
    </row>
    <row r="36" spans="1:16" ht="20.25" customHeight="1" thickBot="1" x14ac:dyDescent="0.25">
      <c r="A36" s="198" t="str">
        <f>LookupData!W9</f>
        <v>CGE CQ3-22</v>
      </c>
      <c r="B36" s="199"/>
      <c r="C36" s="179" t="str">
        <f>LookupData!X9</f>
        <v>RPE 06/30/21</v>
      </c>
      <c r="D36" s="180"/>
      <c r="E36" s="189"/>
      <c r="F36" s="190"/>
      <c r="G36" s="190"/>
      <c r="H36" s="190"/>
      <c r="I36" s="190"/>
      <c r="J36" s="191"/>
      <c r="K36" s="39" t="s">
        <v>145</v>
      </c>
      <c r="L36" s="40" t="s">
        <v>146</v>
      </c>
      <c r="M36" s="157"/>
      <c r="N36" s="158"/>
      <c r="O36"/>
      <c r="P36"/>
    </row>
    <row r="37" spans="1:16" ht="20.25" customHeight="1" thickBot="1" x14ac:dyDescent="0.25">
      <c r="A37" s="200"/>
      <c r="B37" s="201"/>
      <c r="C37" s="181" t="s">
        <v>150</v>
      </c>
      <c r="D37" s="182"/>
      <c r="E37" s="192"/>
      <c r="F37" s="193"/>
      <c r="G37" s="193"/>
      <c r="H37" s="193"/>
      <c r="I37" s="193"/>
      <c r="J37" s="194"/>
      <c r="K37" s="42"/>
      <c r="L37" s="30"/>
      <c r="M37" s="159"/>
      <c r="N37" s="160"/>
      <c r="O37"/>
      <c r="P37"/>
    </row>
    <row r="38" spans="1:16" ht="20.25" customHeight="1" thickBot="1" x14ac:dyDescent="0.25">
      <c r="A38" s="200"/>
      <c r="B38" s="201"/>
      <c r="C38" s="181" t="s">
        <v>151</v>
      </c>
      <c r="D38" s="182"/>
      <c r="E38" s="192"/>
      <c r="F38" s="193"/>
      <c r="G38" s="193"/>
      <c r="H38" s="193"/>
      <c r="I38" s="193"/>
      <c r="J38" s="194"/>
      <c r="K38" s="37"/>
      <c r="L38" s="38"/>
      <c r="M38" s="151" t="str">
        <f>LookupData!Y9</f>
        <v>04/01/21 - 06/30/21</v>
      </c>
      <c r="N38" s="152"/>
      <c r="O38"/>
      <c r="P38"/>
    </row>
    <row r="39" spans="1:16" ht="20.25" customHeight="1" thickTop="1" thickBot="1" x14ac:dyDescent="0.25">
      <c r="A39" s="202"/>
      <c r="B39" s="203"/>
      <c r="C39" s="183" t="s">
        <v>152</v>
      </c>
      <c r="D39" s="184"/>
      <c r="E39" s="195"/>
      <c r="F39" s="196"/>
      <c r="G39" s="196"/>
      <c r="H39" s="196"/>
      <c r="I39" s="196"/>
      <c r="J39" s="197"/>
      <c r="K39" s="73">
        <f t="shared" ref="K39:L39" si="10">IFERROR(IF(K38=0,1,ROUND(K37/K38,4)),0)</f>
        <v>1</v>
      </c>
      <c r="L39" s="74">
        <f t="shared" si="10"/>
        <v>1</v>
      </c>
      <c r="M39" s="157"/>
      <c r="N39" s="158"/>
      <c r="O39"/>
      <c r="P39"/>
    </row>
    <row r="40" spans="1:16" ht="20.25" customHeight="1" thickBot="1" x14ac:dyDescent="0.25">
      <c r="A40" s="173" t="str">
        <f>LookupData!W10</f>
        <v>CGE CQ4-22</v>
      </c>
      <c r="B40" s="174"/>
      <c r="C40" s="179" t="str">
        <f>LookupData!X10</f>
        <v>RPE 09/30/21</v>
      </c>
      <c r="D40" s="180"/>
      <c r="E40" s="189"/>
      <c r="F40" s="190"/>
      <c r="G40" s="190"/>
      <c r="H40" s="190"/>
      <c r="I40" s="190"/>
      <c r="J40" s="190"/>
      <c r="K40" s="191"/>
      <c r="L40" s="39" t="s">
        <v>145</v>
      </c>
      <c r="M40" s="159"/>
      <c r="N40" s="160"/>
      <c r="O40"/>
      <c r="P40"/>
    </row>
    <row r="41" spans="1:16" ht="20.25" customHeight="1" x14ac:dyDescent="0.2">
      <c r="A41" s="175"/>
      <c r="B41" s="176"/>
      <c r="C41" s="181" t="s">
        <v>150</v>
      </c>
      <c r="D41" s="182"/>
      <c r="E41" s="192"/>
      <c r="F41" s="193"/>
      <c r="G41" s="193"/>
      <c r="H41" s="193"/>
      <c r="I41" s="193"/>
      <c r="J41" s="193"/>
      <c r="K41" s="194"/>
      <c r="L41" s="59"/>
      <c r="M41" s="151" t="str">
        <f>LookupData!Y10</f>
        <v>07/01/21 - 09/30/21</v>
      </c>
      <c r="N41" s="152"/>
      <c r="O41"/>
      <c r="P41"/>
    </row>
    <row r="42" spans="1:16" ht="20.25" customHeight="1" thickBot="1" x14ac:dyDescent="0.25">
      <c r="A42" s="175"/>
      <c r="B42" s="176"/>
      <c r="C42" s="181" t="s">
        <v>151</v>
      </c>
      <c r="D42" s="182"/>
      <c r="E42" s="192"/>
      <c r="F42" s="193"/>
      <c r="G42" s="193"/>
      <c r="H42" s="193"/>
      <c r="I42" s="193"/>
      <c r="J42" s="193"/>
      <c r="K42" s="194"/>
      <c r="L42" s="60"/>
      <c r="M42" s="157"/>
      <c r="N42" s="158"/>
      <c r="O42"/>
      <c r="P42"/>
    </row>
    <row r="43" spans="1:16" ht="20.25" customHeight="1" thickTop="1" thickBot="1" x14ac:dyDescent="0.25">
      <c r="A43" s="177"/>
      <c r="B43" s="178"/>
      <c r="C43" s="183" t="s">
        <v>152</v>
      </c>
      <c r="D43" s="184"/>
      <c r="E43" s="195"/>
      <c r="F43" s="196"/>
      <c r="G43" s="196"/>
      <c r="H43" s="196"/>
      <c r="I43" s="196"/>
      <c r="J43" s="196"/>
      <c r="K43" s="197"/>
      <c r="L43" s="72">
        <f>IFERROR(IF(L42=0,1,ROUND(L41/L42,4)),0)</f>
        <v>1</v>
      </c>
      <c r="M43" s="159"/>
      <c r="N43" s="160"/>
      <c r="O43"/>
      <c r="P43"/>
    </row>
    <row r="44" spans="1:16" ht="20.25" customHeight="1" x14ac:dyDescent="0.25">
      <c r="D44" s="11"/>
      <c r="E44" s="11"/>
      <c r="F44" s="11"/>
      <c r="G44" s="11"/>
      <c r="H44" s="11"/>
      <c r="I44" s="11"/>
      <c r="J44" s="11"/>
      <c r="K44" s="11"/>
      <c r="L44" s="11"/>
      <c r="M44" s="11"/>
      <c r="N44" s="12"/>
    </row>
    <row r="45" spans="1:16" ht="53.25" customHeight="1" x14ac:dyDescent="0.3">
      <c r="B45" s="137" t="s">
        <v>162</v>
      </c>
      <c r="C45" s="137"/>
      <c r="D45" s="148" t="s">
        <v>169</v>
      </c>
      <c r="E45" s="148"/>
      <c r="F45" s="148"/>
      <c r="G45" s="148"/>
      <c r="H45" s="148" t="s">
        <v>166</v>
      </c>
      <c r="I45" s="148"/>
      <c r="J45" s="148"/>
      <c r="K45" s="148"/>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WBUHn4GpUHpI1n2wboqxfIZjQpV9S4eZxzVrWzGHmHxst4NV+3P4P7vpXleT3+kkke8zVtdf8zccoT2WWjO9Qg==" saltValue="WkruazhzgC4KJMkmfhYWZQ==" spinCount="100000" sheet="1" formatColumns="0" formatRows="0"/>
  <mergeCells count="81">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B45:C45"/>
    <mergeCell ref="C40:D40"/>
    <mergeCell ref="E40:K43"/>
    <mergeCell ref="C41:D41"/>
  </mergeCells>
  <conditionalFormatting sqref="F14:I14">
    <cfRule type="expression" dxfId="151" priority="24">
      <formula>F14&gt;(MIN($E14:E14))</formula>
    </cfRule>
  </conditionalFormatting>
  <conditionalFormatting sqref="F13:I13">
    <cfRule type="expression" dxfId="150" priority="23">
      <formula>F13&lt;(MAX($E13:E13))</formula>
    </cfRule>
  </conditionalFormatting>
  <conditionalFormatting sqref="G17:J17">
    <cfRule type="expression" dxfId="149" priority="22">
      <formula>G17&lt;(MAX($F17:F17))</formula>
    </cfRule>
  </conditionalFormatting>
  <conditionalFormatting sqref="G18:J18">
    <cfRule type="expression" dxfId="148" priority="21">
      <formula>G18&gt;(MIN($F18:F18))</formula>
    </cfRule>
  </conditionalFormatting>
  <conditionalFormatting sqref="H22:K22">
    <cfRule type="expression" dxfId="147" priority="20">
      <formula>H22&gt;(MIN($G22:G22))</formula>
    </cfRule>
  </conditionalFormatting>
  <conditionalFormatting sqref="H21:K21">
    <cfRule type="expression" dxfId="146" priority="19">
      <formula>H21&lt;(MAX($G21:G21))</formula>
    </cfRule>
  </conditionalFormatting>
  <conditionalFormatting sqref="I26:L26">
    <cfRule type="expression" dxfId="145" priority="18">
      <formula>I26&gt;(MIN($H26:H26))</formula>
    </cfRule>
  </conditionalFormatting>
  <conditionalFormatting sqref="I25:L25">
    <cfRule type="expression" dxfId="144" priority="17">
      <formula>I25&lt;(MAX($H25:H25))</formula>
    </cfRule>
  </conditionalFormatting>
  <conditionalFormatting sqref="J30:L30">
    <cfRule type="expression" dxfId="143" priority="16">
      <formula>J30&gt;(MIN($I30:I30))</formula>
    </cfRule>
  </conditionalFormatting>
  <conditionalFormatting sqref="J29:L29">
    <cfRule type="expression" dxfId="142" priority="15">
      <formula>J29&lt;(MAX($I29:I29))</formula>
    </cfRule>
  </conditionalFormatting>
  <conditionalFormatting sqref="K34:L34">
    <cfRule type="expression" dxfId="141" priority="14">
      <formula>K34&gt;(MIN($J34:J34))</formula>
    </cfRule>
  </conditionalFormatting>
  <conditionalFormatting sqref="K33:L33">
    <cfRule type="expression" dxfId="140" priority="13">
      <formula>K33&lt;(MAX($J33:J33))</formula>
    </cfRule>
  </conditionalFormatting>
  <conditionalFormatting sqref="L38">
    <cfRule type="expression" dxfId="139" priority="12">
      <formula>L38&gt;(MIN($G38:K38))</formula>
    </cfRule>
  </conditionalFormatting>
  <conditionalFormatting sqref="L37">
    <cfRule type="expression" dxfId="138" priority="11">
      <formula>L37&lt;(MAX($K37:K37))</formula>
    </cfRule>
  </conditionalFormatting>
  <conditionalFormatting sqref="I15 J19 K23 L27">
    <cfRule type="expression" dxfId="137" priority="10">
      <formula>I15&lt;$H$8</formula>
    </cfRule>
  </conditionalFormatting>
  <conditionalFormatting sqref="M16:N19">
    <cfRule type="expression" dxfId="136" priority="4">
      <formula>$J$19&lt;$H$8</formula>
    </cfRule>
  </conditionalFormatting>
  <conditionalFormatting sqref="M20:N23">
    <cfRule type="expression" dxfId="135" priority="3">
      <formula>$K$23&lt;$H$8</formula>
    </cfRule>
  </conditionalFormatting>
  <conditionalFormatting sqref="M24:N27">
    <cfRule type="expression" dxfId="134" priority="2">
      <formula>$L$27&lt;$H$8</formula>
    </cfRule>
  </conditionalFormatting>
  <conditionalFormatting sqref="M12:N15">
    <cfRule type="expression" dxfId="133"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7" zoomScale="90" zoomScaleNormal="90" zoomScaleSheetLayoutView="75" zoomScalePageLayoutView="75" workbookViewId="0">
      <selection activeCell="J35" sqref="J35"/>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1" t="s">
        <v>126</v>
      </c>
    </row>
    <row r="2" spans="1:14" ht="24" customHeight="1" x14ac:dyDescent="0.2">
      <c r="A2" s="101" t="str">
        <f>'Circuit Criminal'!A2</f>
        <v>County Fiscal Year 2020-2021</v>
      </c>
    </row>
    <row r="3" spans="1:14" ht="24" customHeight="1" x14ac:dyDescent="0.2"/>
    <row r="4" spans="1:14" ht="24" customHeight="1" x14ac:dyDescent="0.2">
      <c r="A4" s="8"/>
      <c r="C4" s="32" t="s">
        <v>0</v>
      </c>
      <c r="D4" s="229" t="str">
        <f>'Circuit Criminal'!D4</f>
        <v>Brevard</v>
      </c>
      <c r="E4" s="229"/>
      <c r="F4" s="9"/>
      <c r="G4" s="32" t="s">
        <v>135</v>
      </c>
      <c r="H4" s="97" t="str">
        <f>'Circuit Criminal'!H4</f>
        <v>Qtr 2: Jan - Mar</v>
      </c>
      <c r="I4"/>
      <c r="K4" s="32" t="s">
        <v>1</v>
      </c>
      <c r="L4" s="79">
        <f>'Circuit Criminal'!L4</f>
        <v>1</v>
      </c>
      <c r="N4" s="208" t="str">
        <f>'Circuit Criminal'!N4</f>
        <v>CCOC Form Version 1
Created 10/01/2020</v>
      </c>
    </row>
    <row r="5" spans="1:14" ht="24" customHeight="1" thickBot="1" x14ac:dyDescent="0.25">
      <c r="A5" s="8"/>
      <c r="C5" s="32" t="s">
        <v>68</v>
      </c>
      <c r="D5" s="207" t="str">
        <f>'Circuit Criminal'!D5</f>
        <v>Andrea Butler</v>
      </c>
      <c r="E5" s="207"/>
      <c r="F5" s="9"/>
      <c r="N5" s="209"/>
    </row>
    <row r="6" spans="1:14" ht="24" customHeight="1" x14ac:dyDescent="0.2">
      <c r="A6" s="8"/>
      <c r="C6" s="32" t="s">
        <v>69</v>
      </c>
      <c r="D6" s="206" t="str">
        <f>'Circuit Criminal'!D6</f>
        <v>andrea.butler@brevardclerk.us</v>
      </c>
      <c r="E6" s="206"/>
      <c r="F6" s="9"/>
      <c r="J6" s="140" t="s">
        <v>161</v>
      </c>
      <c r="K6" s="141"/>
      <c r="L6" s="141"/>
      <c r="M6" s="141"/>
      <c r="N6" s="142"/>
    </row>
    <row r="7" spans="1:14" ht="24" customHeight="1" thickBot="1" x14ac:dyDescent="0.25">
      <c r="A7" s="8"/>
      <c r="J7" s="66" t="s">
        <v>157</v>
      </c>
      <c r="K7" s="143" t="s">
        <v>159</v>
      </c>
      <c r="L7" s="143"/>
      <c r="M7" s="143"/>
      <c r="N7" s="144"/>
    </row>
    <row r="8" spans="1:14" ht="24" customHeight="1" thickTop="1" thickBot="1" x14ac:dyDescent="0.25">
      <c r="A8" s="214" t="s">
        <v>136</v>
      </c>
      <c r="B8" s="214"/>
      <c r="C8" s="215"/>
      <c r="D8" s="29" t="str">
        <f ca="1">MID(CELL("filename",A1),FIND("]",CELL("filename",A1))+1,255)</f>
        <v>Juvenile Delinquency</v>
      </c>
      <c r="E8" s="10"/>
      <c r="F8" s="214" t="s">
        <v>137</v>
      </c>
      <c r="G8" s="214"/>
      <c r="H8" s="98">
        <f ca="1">INDEX(LookupData!AA3:AA12,MATCH(D8,LookupData!Z3:Z12,0))</f>
        <v>0.09</v>
      </c>
      <c r="J8" s="63" t="s">
        <v>158</v>
      </c>
      <c r="K8" s="145" t="s">
        <v>160</v>
      </c>
      <c r="L8" s="145"/>
      <c r="M8" s="145"/>
      <c r="N8" s="146"/>
    </row>
    <row r="9" spans="1:14" ht="19.5" customHeight="1" thickTop="1" thickBot="1" x14ac:dyDescent="0.25">
      <c r="A9" s="8"/>
      <c r="D9" s="8"/>
      <c r="E9" s="8"/>
    </row>
    <row r="10" spans="1:14" ht="25.5" customHeight="1" thickBot="1" x14ac:dyDescent="0.25">
      <c r="D10" s="1"/>
      <c r="E10" s="1"/>
      <c r="F10" s="1"/>
      <c r="G10" s="1"/>
      <c r="H10" s="1"/>
      <c r="I10" s="1"/>
      <c r="J10" s="1"/>
      <c r="K10" s="1"/>
      <c r="L10" s="1"/>
      <c r="M10" s="216" t="s">
        <v>141</v>
      </c>
      <c r="N10" s="217"/>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61" t="s">
        <v>142</v>
      </c>
      <c r="N11" s="62" t="s">
        <v>143</v>
      </c>
    </row>
    <row r="12" spans="1:14" ht="19.5" customHeight="1" thickBot="1" x14ac:dyDescent="0.25">
      <c r="A12" s="198" t="str">
        <f>LookupData!W3</f>
        <v>CGE CQ1-21</v>
      </c>
      <c r="B12" s="199"/>
      <c r="C12" s="179" t="str">
        <f>LookupData!X3</f>
        <v>RPE 12/31/19</v>
      </c>
      <c r="D12" s="180"/>
      <c r="E12" s="39" t="s">
        <v>145</v>
      </c>
      <c r="F12" s="40" t="s">
        <v>146</v>
      </c>
      <c r="G12" s="40" t="s">
        <v>147</v>
      </c>
      <c r="H12" s="40" t="s">
        <v>148</v>
      </c>
      <c r="I12" s="41" t="s">
        <v>149</v>
      </c>
      <c r="J12" s="218"/>
      <c r="K12" s="218"/>
      <c r="L12" s="218"/>
      <c r="M12" s="210"/>
      <c r="N12" s="212"/>
    </row>
    <row r="13" spans="1:14" ht="19.5" customHeight="1" x14ac:dyDescent="0.2">
      <c r="A13" s="200"/>
      <c r="B13" s="201"/>
      <c r="C13" s="181" t="s">
        <v>150</v>
      </c>
      <c r="D13" s="182"/>
      <c r="E13" s="52">
        <f ca="1">SUMIFS(LookupData!I$3:I$2682,LookupData!$A$3:$A$2682,$D$4,LookupData!$B$3:$B$2682,$D$8,LookupData!$C$3:$C$2682,$A12)</f>
        <v>550.54999999999995</v>
      </c>
      <c r="F13" s="53">
        <f ca="1">SUMIFS(LookupData!J$3:J$2682,LookupData!$A$3:$A$2682,$D$4,LookupData!$B$3:$B$2682,$D$8,LookupData!$C$3:$C$2682,$A12)</f>
        <v>657.55</v>
      </c>
      <c r="G13" s="53">
        <f ca="1">SUMIFS(LookupData!K$3:K$2682,LookupData!$A$3:$A$2682,$D$4,LookupData!$B$3:$B$2682,$D$8,LookupData!$C$3:$C$2682,$A12)</f>
        <v>757.55</v>
      </c>
      <c r="H13" s="53">
        <f ca="1">SUMIFS(LookupData!L$3:L$2682,LookupData!$A$3:$A$2682,$D$4,LookupData!$B$3:$B$2682,$D$8,LookupData!$C$3:$C$2682,$A12)</f>
        <v>952.55</v>
      </c>
      <c r="I13" s="43">
        <v>1002.55</v>
      </c>
      <c r="J13" s="219"/>
      <c r="K13" s="219"/>
      <c r="L13" s="219"/>
      <c r="M13" s="211"/>
      <c r="N13" s="213"/>
    </row>
    <row r="14" spans="1:14" ht="19.5" customHeight="1" thickBot="1" x14ac:dyDescent="0.25">
      <c r="A14" s="200"/>
      <c r="B14" s="201"/>
      <c r="C14" s="181" t="s">
        <v>151</v>
      </c>
      <c r="D14" s="182"/>
      <c r="E14" s="54">
        <f ca="1">SUMIFS(LookupData!D$3:D$2682,LookupData!$A$3:$A$2682,$D$4,LookupData!$B$3:$B$2682,$D$8,LookupData!$C$3:$C$2682,$A12)</f>
        <v>28571.05</v>
      </c>
      <c r="F14" s="55">
        <f ca="1">SUMIFS(LookupData!E$3:E$2682,LookupData!$A$3:$A$2682,$D$4,LookupData!$B$3:$B$2682,$D$8,LookupData!$C$3:$C$2682,$A12)</f>
        <v>27971.05</v>
      </c>
      <c r="G14" s="55">
        <f ca="1">SUMIFS(LookupData!F$3:F$2682,LookupData!$A$3:$A$2682,$D$4,LookupData!$B$3:$B$2682,$D$8,LookupData!$C$3:$C$2682,$A12)</f>
        <v>27671.05</v>
      </c>
      <c r="H14" s="55">
        <f ca="1">SUMIFS(LookupData!G$3:G$2682,LookupData!$A$3:$A$2682,$D$4,LookupData!$B$3:$B$2682,$D$8,LookupData!$C$3:$C$2682,$A12)</f>
        <v>27171.05</v>
      </c>
      <c r="I14" s="44">
        <v>27121.05</v>
      </c>
      <c r="J14" s="219"/>
      <c r="K14" s="219"/>
      <c r="L14" s="219"/>
      <c r="M14" s="211"/>
      <c r="N14" s="213"/>
    </row>
    <row r="15" spans="1:14" ht="19.5" customHeight="1" thickTop="1" thickBot="1" x14ac:dyDescent="0.25">
      <c r="A15" s="202"/>
      <c r="B15" s="203"/>
      <c r="C15" s="181" t="s">
        <v>152</v>
      </c>
      <c r="D15" s="182"/>
      <c r="E15" s="71">
        <f ca="1">IFERROR(IF(E14=0,1,ROUND(E13/E14,4)),0)</f>
        <v>1.9300000000000001E-2</v>
      </c>
      <c r="F15" s="77">
        <f t="shared" ref="F15:H15" ca="1" si="0">IFERROR(IF(F14=0,1,ROUND(F13/F14,4)),0)</f>
        <v>2.35E-2</v>
      </c>
      <c r="G15" s="77">
        <f t="shared" ca="1" si="0"/>
        <v>2.7400000000000001E-2</v>
      </c>
      <c r="H15" s="77">
        <f t="shared" ca="1" si="0"/>
        <v>3.5099999999999999E-2</v>
      </c>
      <c r="I15" s="78">
        <f t="shared" ref="I15" si="1">IFERROR(IF(I14=0,1,ROUND(I13/I14,4)),0)</f>
        <v>3.6999999999999998E-2</v>
      </c>
      <c r="J15" s="219"/>
      <c r="K15" s="219"/>
      <c r="L15" s="219"/>
      <c r="M15" s="211"/>
      <c r="N15" s="213"/>
    </row>
    <row r="16" spans="1:14" ht="20.25" customHeight="1" thickBot="1" x14ac:dyDescent="0.25">
      <c r="A16" s="173" t="str">
        <f>LookupData!W4</f>
        <v>CGE CQ2-21</v>
      </c>
      <c r="B16" s="174"/>
      <c r="C16" s="179" t="str">
        <f>LookupData!X4</f>
        <v>RPE 03/31/20</v>
      </c>
      <c r="D16" s="180"/>
      <c r="E16" s="185"/>
      <c r="F16" s="39" t="s">
        <v>145</v>
      </c>
      <c r="G16" s="40" t="s">
        <v>146</v>
      </c>
      <c r="H16" s="40" t="s">
        <v>147</v>
      </c>
      <c r="I16" s="40" t="s">
        <v>148</v>
      </c>
      <c r="J16" s="41" t="s">
        <v>149</v>
      </c>
      <c r="K16" s="189"/>
      <c r="L16" s="191"/>
      <c r="M16" s="167"/>
      <c r="N16" s="168"/>
    </row>
    <row r="17" spans="1:16" ht="20.25" customHeight="1" x14ac:dyDescent="0.2">
      <c r="A17" s="175"/>
      <c r="B17" s="176"/>
      <c r="C17" s="181" t="s">
        <v>150</v>
      </c>
      <c r="D17" s="182"/>
      <c r="E17" s="186"/>
      <c r="F17" s="52">
        <f ca="1">SUMIFS(LookupData!I$3:I$2682,LookupData!$A$3:$A$2682,$D$4,LookupData!$B$3:$B$2682,$D$8,LookupData!$C$3:$C$2682,$A16)</f>
        <v>901.2</v>
      </c>
      <c r="G17" s="53">
        <f ca="1">SUMIFS(LookupData!J$3:J$2682,LookupData!$A$3:$A$2682,$D$4,LookupData!$B$3:$B$2682,$D$8,LookupData!$C$3:$C$2682,$A16)</f>
        <v>1001.2</v>
      </c>
      <c r="H17" s="53">
        <f ca="1">SUMIFS(LookupData!K$3:K$2682,LookupData!$A$3:$A$2682,$D$4,LookupData!$B$3:$B$2682,$D$8,LookupData!$C$3:$C$2682,$A16)</f>
        <v>1419.2</v>
      </c>
      <c r="I17" s="30">
        <v>1545.7</v>
      </c>
      <c r="J17" s="43">
        <v>1595.7</v>
      </c>
      <c r="K17" s="192"/>
      <c r="L17" s="194"/>
      <c r="M17" s="167"/>
      <c r="N17" s="168"/>
    </row>
    <row r="18" spans="1:16" ht="20.25" customHeight="1" thickBot="1" x14ac:dyDescent="0.25">
      <c r="A18" s="175"/>
      <c r="B18" s="176"/>
      <c r="C18" s="181" t="s">
        <v>151</v>
      </c>
      <c r="D18" s="182"/>
      <c r="E18" s="186"/>
      <c r="F18" s="54">
        <f ca="1">SUMIFS(LookupData!D$3:D$2682,LookupData!$A$3:$A$2682,$D$4,LookupData!$B$3:$B$2682,$D$8,LookupData!$C$3:$C$2682,$A16)</f>
        <v>24149.200000000001</v>
      </c>
      <c r="G18" s="55">
        <f ca="1">SUMIFS(LookupData!E$3:E$2682,LookupData!$A$3:$A$2682,$D$4,LookupData!$B$3:$B$2682,$D$8,LookupData!$C$3:$C$2682,$A16)</f>
        <v>23899.200000000001</v>
      </c>
      <c r="H18" s="55">
        <f ca="1">SUMIFS(LookupData!F$3:F$2682,LookupData!$A$3:$A$2682,$D$4,LookupData!$B$3:$B$2682,$D$8,LookupData!$C$3:$C$2682,$A16)</f>
        <v>23149.200000000001</v>
      </c>
      <c r="I18" s="38">
        <v>23049.200000000001</v>
      </c>
      <c r="J18" s="44">
        <v>22899.200000000001</v>
      </c>
      <c r="K18" s="192"/>
      <c r="L18" s="194"/>
      <c r="M18" s="167"/>
      <c r="N18" s="168"/>
    </row>
    <row r="19" spans="1:16" ht="20.25" customHeight="1" thickTop="1" thickBot="1" x14ac:dyDescent="0.25">
      <c r="A19" s="177"/>
      <c r="B19" s="178"/>
      <c r="C19" s="183" t="s">
        <v>152</v>
      </c>
      <c r="D19" s="184"/>
      <c r="E19" s="187"/>
      <c r="F19" s="73">
        <f ca="1">IFERROR(IF(F18=0,1,ROUND(F17/F18,4)),0)</f>
        <v>3.73E-2</v>
      </c>
      <c r="G19" s="75">
        <f t="shared" ref="G19:H19" ca="1" si="2">IFERROR(IF(G18=0,1,ROUND(G17/G18,4)),0)</f>
        <v>4.19E-2</v>
      </c>
      <c r="H19" s="75">
        <f t="shared" ca="1" si="2"/>
        <v>6.13E-2</v>
      </c>
      <c r="I19" s="75">
        <f t="shared" ref="I19:J19" si="3">IFERROR(IF(I18=0,1,ROUND(I17/I18,4)),0)</f>
        <v>6.7100000000000007E-2</v>
      </c>
      <c r="J19" s="76">
        <f t="shared" si="3"/>
        <v>6.9699999999999998E-2</v>
      </c>
      <c r="K19" s="195"/>
      <c r="L19" s="197"/>
      <c r="M19" s="167"/>
      <c r="N19" s="168"/>
    </row>
    <row r="20" spans="1:16" ht="20.25" customHeight="1" thickBot="1" x14ac:dyDescent="0.25">
      <c r="A20" s="198" t="str">
        <f>LookupData!W5</f>
        <v>CGE CQ3-21</v>
      </c>
      <c r="B20" s="199"/>
      <c r="C20" s="204" t="str">
        <f>LookupData!X5</f>
        <v>RPE 06/30/20</v>
      </c>
      <c r="D20" s="205"/>
      <c r="E20" s="163"/>
      <c r="F20" s="188"/>
      <c r="G20" s="50" t="s">
        <v>145</v>
      </c>
      <c r="H20" s="36" t="s">
        <v>146</v>
      </c>
      <c r="I20" s="36" t="s">
        <v>147</v>
      </c>
      <c r="J20" s="36" t="s">
        <v>148</v>
      </c>
      <c r="K20" s="51" t="s">
        <v>149</v>
      </c>
      <c r="L20" s="192"/>
      <c r="M20" s="167"/>
      <c r="N20" s="168"/>
    </row>
    <row r="21" spans="1:16" ht="20.25" customHeight="1" x14ac:dyDescent="0.2">
      <c r="A21" s="200"/>
      <c r="B21" s="201"/>
      <c r="C21" s="181" t="s">
        <v>150</v>
      </c>
      <c r="D21" s="182"/>
      <c r="E21" s="163"/>
      <c r="F21" s="188"/>
      <c r="G21" s="52">
        <f ca="1">SUMIFS(LookupData!I$3:I$2682,LookupData!$A$3:$A$2682,$D$4,LookupData!$B$3:$B$2682,$D$8,LookupData!$C$3:$C$2682,$A20)</f>
        <v>281.35000000000002</v>
      </c>
      <c r="H21" s="53">
        <f ca="1">SUMIFS(LookupData!J$3:J$2682,LookupData!$A$3:$A$2682,$D$4,LookupData!$B$3:$B$2682,$D$8,LookupData!$C$3:$C$2682,$A20)</f>
        <v>426.35</v>
      </c>
      <c r="I21" s="30">
        <v>526.35</v>
      </c>
      <c r="J21" s="30">
        <v>576.35</v>
      </c>
      <c r="K21" s="43"/>
      <c r="L21" s="192"/>
      <c r="M21" s="167"/>
      <c r="N21" s="168"/>
    </row>
    <row r="22" spans="1:16" ht="20.25" customHeight="1" thickBot="1" x14ac:dyDescent="0.25">
      <c r="A22" s="200"/>
      <c r="B22" s="201"/>
      <c r="C22" s="181" t="s">
        <v>151</v>
      </c>
      <c r="D22" s="182"/>
      <c r="E22" s="163"/>
      <c r="F22" s="188"/>
      <c r="G22" s="54">
        <f ca="1">SUMIFS(LookupData!D$3:D$2682,LookupData!$A$3:$A$2682,$D$4,LookupData!$B$3:$B$2682,$D$8,LookupData!$C$3:$C$2682,$A20)</f>
        <v>19468.849999999999</v>
      </c>
      <c r="H22" s="55">
        <f ca="1">SUMIFS(LookupData!E$3:E$2682,LookupData!$A$3:$A$2682,$D$4,LookupData!$B$3:$B$2682,$D$8,LookupData!$C$3:$C$2682,$A20)</f>
        <v>19218.849999999999</v>
      </c>
      <c r="I22" s="38">
        <v>19068.849999999999</v>
      </c>
      <c r="J22" s="38">
        <v>18818.849999999999</v>
      </c>
      <c r="K22" s="44"/>
      <c r="L22" s="192"/>
      <c r="M22" s="167"/>
      <c r="N22" s="168"/>
    </row>
    <row r="23" spans="1:16" ht="20.25" customHeight="1" thickTop="1" thickBot="1" x14ac:dyDescent="0.25">
      <c r="A23" s="202"/>
      <c r="B23" s="203"/>
      <c r="C23" s="181" t="s">
        <v>152</v>
      </c>
      <c r="D23" s="182"/>
      <c r="E23" s="163"/>
      <c r="F23" s="188"/>
      <c r="G23" s="71">
        <f t="shared" ref="G23:H23" ca="1" si="4">IFERROR(IF(G22=0,1,ROUND(G21/G22,4)),0)</f>
        <v>1.4500000000000001E-2</v>
      </c>
      <c r="H23" s="77">
        <f t="shared" ca="1" si="4"/>
        <v>2.2200000000000001E-2</v>
      </c>
      <c r="I23" s="77">
        <f t="shared" ref="I23:K23" si="5">IFERROR(IF(I22=0,1,ROUND(I21/I22,4)),0)</f>
        <v>2.76E-2</v>
      </c>
      <c r="J23" s="77">
        <f t="shared" si="5"/>
        <v>3.0599999999999999E-2</v>
      </c>
      <c r="K23" s="78">
        <f t="shared" si="5"/>
        <v>1</v>
      </c>
      <c r="L23" s="192"/>
      <c r="M23" s="167"/>
      <c r="N23" s="168"/>
      <c r="O23"/>
      <c r="P23"/>
    </row>
    <row r="24" spans="1:16" ht="20.25" customHeight="1" thickBot="1" x14ac:dyDescent="0.25">
      <c r="A24" s="173" t="str">
        <f>LookupData!W6</f>
        <v>CGE CQ4-21</v>
      </c>
      <c r="B24" s="174"/>
      <c r="C24" s="179" t="str">
        <f>LookupData!X6</f>
        <v>RPE 09/30/20</v>
      </c>
      <c r="D24" s="180"/>
      <c r="E24" s="189"/>
      <c r="F24" s="190"/>
      <c r="G24" s="191"/>
      <c r="H24" s="39" t="s">
        <v>145</v>
      </c>
      <c r="I24" s="40" t="s">
        <v>146</v>
      </c>
      <c r="J24" s="40" t="s">
        <v>147</v>
      </c>
      <c r="K24" s="40" t="s">
        <v>148</v>
      </c>
      <c r="L24" s="41" t="s">
        <v>149</v>
      </c>
      <c r="M24" s="169"/>
      <c r="N24" s="171"/>
      <c r="O24"/>
      <c r="P24"/>
    </row>
    <row r="25" spans="1:16" ht="20.25" customHeight="1" x14ac:dyDescent="0.2">
      <c r="A25" s="175"/>
      <c r="B25" s="176"/>
      <c r="C25" s="181" t="s">
        <v>150</v>
      </c>
      <c r="D25" s="182"/>
      <c r="E25" s="192"/>
      <c r="F25" s="193"/>
      <c r="G25" s="194"/>
      <c r="H25" s="52">
        <f ca="1">SUMIFS(LookupData!I$3:I$2682,LookupData!$A$3:$A$2682,$D$4,LookupData!$B$3:$B$2682,$D$8,LookupData!$C$3:$C$2682,$A24)</f>
        <v>943</v>
      </c>
      <c r="I25" s="30">
        <v>1449.5</v>
      </c>
      <c r="J25" s="30">
        <v>1706</v>
      </c>
      <c r="K25" s="30"/>
      <c r="L25" s="43"/>
      <c r="M25" s="169"/>
      <c r="N25" s="171"/>
      <c r="O25"/>
      <c r="P25"/>
    </row>
    <row r="26" spans="1:16" ht="20.25" customHeight="1" thickBot="1" x14ac:dyDescent="0.25">
      <c r="A26" s="175"/>
      <c r="B26" s="176"/>
      <c r="C26" s="181" t="s">
        <v>151</v>
      </c>
      <c r="D26" s="182"/>
      <c r="E26" s="192"/>
      <c r="F26" s="193"/>
      <c r="G26" s="194"/>
      <c r="H26" s="54">
        <f ca="1">SUMIFS(LookupData!D$3:D$2682,LookupData!$A$3:$A$2682,$D$4,LookupData!$B$3:$B$2682,$D$8,LookupData!$C$3:$C$2682,$A24)</f>
        <v>21650.5</v>
      </c>
      <c r="I26" s="38">
        <v>21000.5</v>
      </c>
      <c r="J26" s="38">
        <v>20400.5</v>
      </c>
      <c r="K26" s="38"/>
      <c r="L26" s="44"/>
      <c r="M26" s="169"/>
      <c r="N26" s="171"/>
      <c r="O26"/>
      <c r="P26"/>
    </row>
    <row r="27" spans="1:16" ht="20.25" customHeight="1" thickTop="1" thickBot="1" x14ac:dyDescent="0.25">
      <c r="A27" s="177"/>
      <c r="B27" s="178"/>
      <c r="C27" s="183" t="s">
        <v>152</v>
      </c>
      <c r="D27" s="184"/>
      <c r="E27" s="195"/>
      <c r="F27" s="196"/>
      <c r="G27" s="197"/>
      <c r="H27" s="73">
        <f t="shared" ref="H27" ca="1" si="6">IFERROR(IF(H26=0,1,ROUND(H25/H26,4)),0)</f>
        <v>4.36E-2</v>
      </c>
      <c r="I27" s="75">
        <f t="shared" ref="I27:L27" si="7">IFERROR(IF(I26=0,1,ROUND(I25/I26,4)),0)</f>
        <v>6.9000000000000006E-2</v>
      </c>
      <c r="J27" s="75">
        <f t="shared" si="7"/>
        <v>8.3599999999999994E-2</v>
      </c>
      <c r="K27" s="75">
        <f t="shared" si="7"/>
        <v>1</v>
      </c>
      <c r="L27" s="76">
        <f t="shared" si="7"/>
        <v>1</v>
      </c>
      <c r="M27" s="170"/>
      <c r="N27" s="172"/>
      <c r="O27"/>
      <c r="P27"/>
    </row>
    <row r="28" spans="1:16" ht="20.25" customHeight="1" thickBot="1" x14ac:dyDescent="0.25">
      <c r="A28" s="198" t="str">
        <f>LookupData!W7</f>
        <v>CGE CQ1-22</v>
      </c>
      <c r="B28" s="199"/>
      <c r="C28" s="179" t="str">
        <f>LookupData!X7</f>
        <v>RPE 12/31/20</v>
      </c>
      <c r="D28" s="180"/>
      <c r="E28" s="189"/>
      <c r="F28" s="190"/>
      <c r="G28" s="190"/>
      <c r="H28" s="191"/>
      <c r="I28" s="39" t="s">
        <v>145</v>
      </c>
      <c r="J28" s="40" t="s">
        <v>146</v>
      </c>
      <c r="K28" s="40" t="s">
        <v>147</v>
      </c>
      <c r="L28" s="41" t="s">
        <v>148</v>
      </c>
      <c r="M28" s="161"/>
      <c r="N28" s="162"/>
      <c r="O28"/>
      <c r="P28"/>
    </row>
    <row r="29" spans="1:16" ht="20.25" customHeight="1" x14ac:dyDescent="0.2">
      <c r="A29" s="200"/>
      <c r="B29" s="201"/>
      <c r="C29" s="181" t="s">
        <v>150</v>
      </c>
      <c r="D29" s="182"/>
      <c r="E29" s="192"/>
      <c r="F29" s="193"/>
      <c r="G29" s="193"/>
      <c r="H29" s="194"/>
      <c r="I29" s="42">
        <v>984.25</v>
      </c>
      <c r="J29" s="30">
        <v>1252.25</v>
      </c>
      <c r="K29" s="30"/>
      <c r="L29" s="43"/>
      <c r="M29" s="163"/>
      <c r="N29" s="164"/>
      <c r="O29"/>
      <c r="P29"/>
    </row>
    <row r="30" spans="1:16" ht="20.25" customHeight="1" thickBot="1" x14ac:dyDescent="0.25">
      <c r="A30" s="200"/>
      <c r="B30" s="201"/>
      <c r="C30" s="181" t="s">
        <v>151</v>
      </c>
      <c r="D30" s="182"/>
      <c r="E30" s="192"/>
      <c r="F30" s="193"/>
      <c r="G30" s="193"/>
      <c r="H30" s="194"/>
      <c r="I30" s="37">
        <v>25702.75</v>
      </c>
      <c r="J30" s="38">
        <v>24502.75</v>
      </c>
      <c r="K30" s="38"/>
      <c r="L30" s="44"/>
      <c r="M30" s="165"/>
      <c r="N30" s="166"/>
      <c r="O30"/>
      <c r="P30"/>
    </row>
    <row r="31" spans="1:16" ht="20.25" customHeight="1" thickTop="1" thickBot="1" x14ac:dyDescent="0.25">
      <c r="A31" s="202"/>
      <c r="B31" s="203"/>
      <c r="C31" s="183" t="s">
        <v>152</v>
      </c>
      <c r="D31" s="184"/>
      <c r="E31" s="195"/>
      <c r="F31" s="196"/>
      <c r="G31" s="196"/>
      <c r="H31" s="197"/>
      <c r="I31" s="73">
        <f t="shared" ref="I31:L31" si="8">IFERROR(IF(I30=0,1,ROUND(I29/I30,4)),0)</f>
        <v>3.8300000000000001E-2</v>
      </c>
      <c r="J31" s="75">
        <f t="shared" si="8"/>
        <v>5.11E-2</v>
      </c>
      <c r="K31" s="75">
        <f t="shared" si="8"/>
        <v>1</v>
      </c>
      <c r="L31" s="74">
        <f t="shared" si="8"/>
        <v>1</v>
      </c>
      <c r="M31" s="138" t="s">
        <v>153</v>
      </c>
      <c r="N31" s="139"/>
      <c r="O31"/>
      <c r="P31"/>
    </row>
    <row r="32" spans="1:16" ht="20.25" customHeight="1" thickBot="1" x14ac:dyDescent="0.25">
      <c r="A32" s="173" t="str">
        <f>LookupData!W8</f>
        <v>CGE CQ2-22</v>
      </c>
      <c r="B32" s="174"/>
      <c r="C32" s="179" t="str">
        <f>LookupData!X8</f>
        <v>RPE 03/31/21</v>
      </c>
      <c r="D32" s="180"/>
      <c r="E32" s="189"/>
      <c r="F32" s="190"/>
      <c r="G32" s="190"/>
      <c r="H32" s="190"/>
      <c r="I32" s="191"/>
      <c r="J32" s="39" t="s">
        <v>145</v>
      </c>
      <c r="K32" s="40" t="s">
        <v>146</v>
      </c>
      <c r="L32" s="40" t="s">
        <v>147</v>
      </c>
      <c r="M32" s="149" t="str">
        <f>LookupData!Y7</f>
        <v>10/01/20 - 12/31/20</v>
      </c>
      <c r="N32" s="150"/>
      <c r="O32"/>
      <c r="P32"/>
    </row>
    <row r="33" spans="1:16" ht="20.25" customHeight="1" x14ac:dyDescent="0.2">
      <c r="A33" s="175"/>
      <c r="B33" s="176"/>
      <c r="C33" s="181" t="s">
        <v>150</v>
      </c>
      <c r="D33" s="182"/>
      <c r="E33" s="192"/>
      <c r="F33" s="193"/>
      <c r="G33" s="193"/>
      <c r="H33" s="193"/>
      <c r="I33" s="194"/>
      <c r="J33" s="42">
        <v>655</v>
      </c>
      <c r="K33" s="30"/>
      <c r="L33" s="48"/>
      <c r="M33" s="153"/>
      <c r="N33" s="154"/>
      <c r="O33"/>
      <c r="P33"/>
    </row>
    <row r="34" spans="1:16" ht="20.25" customHeight="1" thickBot="1" x14ac:dyDescent="0.25">
      <c r="A34" s="175"/>
      <c r="B34" s="176"/>
      <c r="C34" s="181" t="s">
        <v>151</v>
      </c>
      <c r="D34" s="182"/>
      <c r="E34" s="192"/>
      <c r="F34" s="193"/>
      <c r="G34" s="193"/>
      <c r="H34" s="193"/>
      <c r="I34" s="194"/>
      <c r="J34" s="37">
        <v>20283.5</v>
      </c>
      <c r="K34" s="38"/>
      <c r="L34" s="49"/>
      <c r="M34" s="155"/>
      <c r="N34" s="156"/>
      <c r="O34"/>
      <c r="P34"/>
    </row>
    <row r="35" spans="1:16" ht="20.25" customHeight="1" thickTop="1" thickBot="1" x14ac:dyDescent="0.25">
      <c r="A35" s="177"/>
      <c r="B35" s="178"/>
      <c r="C35" s="183" t="s">
        <v>152</v>
      </c>
      <c r="D35" s="184"/>
      <c r="E35" s="195"/>
      <c r="F35" s="196"/>
      <c r="G35" s="196"/>
      <c r="H35" s="196"/>
      <c r="I35" s="197"/>
      <c r="J35" s="73">
        <f t="shared" ref="J35:L35" si="9">IFERROR(IF(J34=0,1,ROUND(J33/J34,4)),0)</f>
        <v>3.2300000000000002E-2</v>
      </c>
      <c r="K35" s="75">
        <f t="shared" si="9"/>
        <v>1</v>
      </c>
      <c r="L35" s="74">
        <f t="shared" si="9"/>
        <v>1</v>
      </c>
      <c r="M35" s="151" t="str">
        <f>LookupData!Y8</f>
        <v>01/01/21 - 03/31/21</v>
      </c>
      <c r="N35" s="152"/>
      <c r="O35"/>
      <c r="P35"/>
    </row>
    <row r="36" spans="1:16" ht="20.25" customHeight="1" thickBot="1" x14ac:dyDescent="0.25">
      <c r="A36" s="198" t="str">
        <f>LookupData!W9</f>
        <v>CGE CQ3-22</v>
      </c>
      <c r="B36" s="199"/>
      <c r="C36" s="179" t="str">
        <f>LookupData!X9</f>
        <v>RPE 06/30/21</v>
      </c>
      <c r="D36" s="180"/>
      <c r="E36" s="189"/>
      <c r="F36" s="190"/>
      <c r="G36" s="190"/>
      <c r="H36" s="190"/>
      <c r="I36" s="190"/>
      <c r="J36" s="191"/>
      <c r="K36" s="39" t="s">
        <v>145</v>
      </c>
      <c r="L36" s="40" t="s">
        <v>146</v>
      </c>
      <c r="M36" s="157"/>
      <c r="N36" s="158"/>
      <c r="O36"/>
      <c r="P36"/>
    </row>
    <row r="37" spans="1:16" ht="20.25" customHeight="1" thickBot="1" x14ac:dyDescent="0.25">
      <c r="A37" s="200"/>
      <c r="B37" s="201"/>
      <c r="C37" s="181" t="s">
        <v>150</v>
      </c>
      <c r="D37" s="182"/>
      <c r="E37" s="192"/>
      <c r="F37" s="193"/>
      <c r="G37" s="193"/>
      <c r="H37" s="193"/>
      <c r="I37" s="193"/>
      <c r="J37" s="194"/>
      <c r="K37" s="42"/>
      <c r="L37" s="30"/>
      <c r="M37" s="159"/>
      <c r="N37" s="160"/>
      <c r="O37"/>
      <c r="P37"/>
    </row>
    <row r="38" spans="1:16" ht="20.25" customHeight="1" thickBot="1" x14ac:dyDescent="0.25">
      <c r="A38" s="200"/>
      <c r="B38" s="201"/>
      <c r="C38" s="181" t="s">
        <v>151</v>
      </c>
      <c r="D38" s="182"/>
      <c r="E38" s="192"/>
      <c r="F38" s="193"/>
      <c r="G38" s="193"/>
      <c r="H38" s="193"/>
      <c r="I38" s="193"/>
      <c r="J38" s="194"/>
      <c r="K38" s="37"/>
      <c r="L38" s="38"/>
      <c r="M38" s="151" t="str">
        <f>LookupData!Y9</f>
        <v>04/01/21 - 06/30/21</v>
      </c>
      <c r="N38" s="152"/>
      <c r="O38"/>
      <c r="P38"/>
    </row>
    <row r="39" spans="1:16" ht="20.25" customHeight="1" thickTop="1" thickBot="1" x14ac:dyDescent="0.25">
      <c r="A39" s="202"/>
      <c r="B39" s="203"/>
      <c r="C39" s="183" t="s">
        <v>152</v>
      </c>
      <c r="D39" s="184"/>
      <c r="E39" s="195"/>
      <c r="F39" s="196"/>
      <c r="G39" s="196"/>
      <c r="H39" s="196"/>
      <c r="I39" s="196"/>
      <c r="J39" s="197"/>
      <c r="K39" s="73">
        <f t="shared" ref="K39:L39" si="10">IFERROR(IF(K38=0,1,ROUND(K37/K38,4)),0)</f>
        <v>1</v>
      </c>
      <c r="L39" s="74">
        <f t="shared" si="10"/>
        <v>1</v>
      </c>
      <c r="M39" s="157"/>
      <c r="N39" s="158"/>
      <c r="O39"/>
      <c r="P39"/>
    </row>
    <row r="40" spans="1:16" ht="20.25" customHeight="1" thickBot="1" x14ac:dyDescent="0.25">
      <c r="A40" s="173" t="str">
        <f>LookupData!W10</f>
        <v>CGE CQ4-22</v>
      </c>
      <c r="B40" s="174"/>
      <c r="C40" s="179" t="str">
        <f>LookupData!X10</f>
        <v>RPE 09/30/21</v>
      </c>
      <c r="D40" s="180"/>
      <c r="E40" s="189"/>
      <c r="F40" s="190"/>
      <c r="G40" s="190"/>
      <c r="H40" s="190"/>
      <c r="I40" s="190"/>
      <c r="J40" s="190"/>
      <c r="K40" s="191"/>
      <c r="L40" s="39" t="s">
        <v>145</v>
      </c>
      <c r="M40" s="159"/>
      <c r="N40" s="160"/>
      <c r="O40"/>
      <c r="P40"/>
    </row>
    <row r="41" spans="1:16" ht="20.25" customHeight="1" x14ac:dyDescent="0.2">
      <c r="A41" s="175"/>
      <c r="B41" s="176"/>
      <c r="C41" s="181" t="s">
        <v>150</v>
      </c>
      <c r="D41" s="182"/>
      <c r="E41" s="192"/>
      <c r="F41" s="193"/>
      <c r="G41" s="193"/>
      <c r="H41" s="193"/>
      <c r="I41" s="193"/>
      <c r="J41" s="193"/>
      <c r="K41" s="194"/>
      <c r="L41" s="59"/>
      <c r="M41" s="151" t="str">
        <f>LookupData!Y10</f>
        <v>07/01/21 - 09/30/21</v>
      </c>
      <c r="N41" s="152"/>
      <c r="O41"/>
      <c r="P41"/>
    </row>
    <row r="42" spans="1:16" ht="20.25" customHeight="1" thickBot="1" x14ac:dyDescent="0.25">
      <c r="A42" s="175"/>
      <c r="B42" s="176"/>
      <c r="C42" s="181" t="s">
        <v>151</v>
      </c>
      <c r="D42" s="182"/>
      <c r="E42" s="192"/>
      <c r="F42" s="193"/>
      <c r="G42" s="193"/>
      <c r="H42" s="193"/>
      <c r="I42" s="193"/>
      <c r="J42" s="193"/>
      <c r="K42" s="194"/>
      <c r="L42" s="60"/>
      <c r="M42" s="157"/>
      <c r="N42" s="158"/>
      <c r="O42"/>
      <c r="P42"/>
    </row>
    <row r="43" spans="1:16" ht="20.25" customHeight="1" thickTop="1" thickBot="1" x14ac:dyDescent="0.25">
      <c r="A43" s="177"/>
      <c r="B43" s="178"/>
      <c r="C43" s="183" t="s">
        <v>152</v>
      </c>
      <c r="D43" s="184"/>
      <c r="E43" s="195"/>
      <c r="F43" s="196"/>
      <c r="G43" s="196"/>
      <c r="H43" s="196"/>
      <c r="I43" s="196"/>
      <c r="J43" s="196"/>
      <c r="K43" s="197"/>
      <c r="L43" s="72">
        <f>IFERROR(IF(L42=0,1,ROUND(L41/L42,4)),0)</f>
        <v>1</v>
      </c>
      <c r="M43" s="159"/>
      <c r="N43" s="160"/>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48" t="s">
        <v>169</v>
      </c>
      <c r="E45" s="148"/>
      <c r="F45" s="148"/>
      <c r="G45" s="148"/>
      <c r="H45" s="148" t="s">
        <v>166</v>
      </c>
      <c r="I45" s="148"/>
      <c r="J45" s="148"/>
      <c r="K45" s="148"/>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r8RlHCCUnHvxwVzzEBL7hTgiR/Nlx9Y+wmDShLpip2lTFfaMcMlIpKBNxefd9WV4GUU7wAVGBH1G1HqIIZdqdg==" saltValue="7CdPq9YyyJk0s0rKTTn5Rg==" spinCount="100000" sheet="1" formatColumns="0" formatRows="0"/>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132" priority="24">
      <formula>F14&gt;(MIN($E14:E14))</formula>
    </cfRule>
  </conditionalFormatting>
  <conditionalFormatting sqref="F13:I13">
    <cfRule type="expression" dxfId="131" priority="23">
      <formula>F13&lt;(MAX($E13:E13))</formula>
    </cfRule>
  </conditionalFormatting>
  <conditionalFormatting sqref="G17:J17">
    <cfRule type="expression" dxfId="130" priority="22">
      <formula>G17&lt;(MAX($F17:F17))</formula>
    </cfRule>
  </conditionalFormatting>
  <conditionalFormatting sqref="G18:J18">
    <cfRule type="expression" dxfId="129" priority="21">
      <formula>G18&gt;(MIN($F18:F18))</formula>
    </cfRule>
  </conditionalFormatting>
  <conditionalFormatting sqref="H22:K22">
    <cfRule type="expression" dxfId="128" priority="20">
      <formula>H22&gt;(MIN($G22:G22))</formula>
    </cfRule>
  </conditionalFormatting>
  <conditionalFormatting sqref="H21:K21">
    <cfRule type="expression" dxfId="127" priority="19">
      <formula>H21&lt;(MAX($G21:G21))</formula>
    </cfRule>
  </conditionalFormatting>
  <conditionalFormatting sqref="I26:L26">
    <cfRule type="expression" dxfId="126" priority="18">
      <formula>I26&gt;(MIN($H26:H26))</formula>
    </cfRule>
  </conditionalFormatting>
  <conditionalFormatting sqref="I25:L25">
    <cfRule type="expression" dxfId="125" priority="17">
      <formula>I25&lt;(MAX($H25:H25))</formula>
    </cfRule>
  </conditionalFormatting>
  <conditionalFormatting sqref="J30:L30">
    <cfRule type="expression" dxfId="124" priority="16">
      <formula>J30&gt;(MIN($I30:I30))</formula>
    </cfRule>
  </conditionalFormatting>
  <conditionalFormatting sqref="J29:L29">
    <cfRule type="expression" dxfId="123" priority="15">
      <formula>J29&lt;(MAX($I29:I29))</formula>
    </cfRule>
  </conditionalFormatting>
  <conditionalFormatting sqref="K34:L34">
    <cfRule type="expression" dxfId="122" priority="14">
      <formula>K34&gt;(MIN($J34:J34))</formula>
    </cfRule>
  </conditionalFormatting>
  <conditionalFormatting sqref="K33:L33">
    <cfRule type="expression" dxfId="121" priority="13">
      <formula>K33&lt;(MAX($J33:J33))</formula>
    </cfRule>
  </conditionalFormatting>
  <conditionalFormatting sqref="L38">
    <cfRule type="expression" dxfId="120" priority="12">
      <formula>L38&gt;(MIN($G38:K38))</formula>
    </cfRule>
  </conditionalFormatting>
  <conditionalFormatting sqref="L37">
    <cfRule type="expression" dxfId="119" priority="11">
      <formula>L37&lt;(MAX($K37:K37))</formula>
    </cfRule>
  </conditionalFormatting>
  <conditionalFormatting sqref="I15 J19 K23 L27">
    <cfRule type="expression" dxfId="118" priority="10">
      <formula>I15&lt;$H$8</formula>
    </cfRule>
  </conditionalFormatting>
  <conditionalFormatting sqref="M16:N19">
    <cfRule type="expression" dxfId="117" priority="4">
      <formula>$J$19&lt;$H$8</formula>
    </cfRule>
  </conditionalFormatting>
  <conditionalFormatting sqref="M20:N23">
    <cfRule type="expression" dxfId="116" priority="3">
      <formula>$K$23&lt;$H$8</formula>
    </cfRule>
  </conditionalFormatting>
  <conditionalFormatting sqref="M24:N27">
    <cfRule type="expression" dxfId="115" priority="2">
      <formula>$L$27&lt;$H$8</formula>
    </cfRule>
  </conditionalFormatting>
  <conditionalFormatting sqref="M12:N15">
    <cfRule type="expression" dxfId="114"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0" zoomScale="90" zoomScaleNormal="90" zoomScaleSheetLayoutView="75" zoomScalePageLayoutView="75" workbookViewId="0">
      <selection activeCell="J35" sqref="J35"/>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1" t="s">
        <v>126</v>
      </c>
    </row>
    <row r="2" spans="1:14" ht="24" customHeight="1" x14ac:dyDescent="0.2">
      <c r="A2" s="101" t="str">
        <f>'Circuit Criminal'!A2</f>
        <v>County Fiscal Year 2020-2021</v>
      </c>
    </row>
    <row r="3" spans="1:14" ht="24" customHeight="1" x14ac:dyDescent="0.2"/>
    <row r="4" spans="1:14" ht="24" customHeight="1" x14ac:dyDescent="0.2">
      <c r="A4" s="8"/>
      <c r="C4" s="32" t="s">
        <v>0</v>
      </c>
      <c r="D4" s="229" t="str">
        <f>'Circuit Criminal'!D4</f>
        <v>Brevard</v>
      </c>
      <c r="E4" s="229"/>
      <c r="F4" s="9"/>
      <c r="G4" s="32" t="s">
        <v>135</v>
      </c>
      <c r="H4" s="97" t="str">
        <f>'Circuit Criminal'!H4</f>
        <v>Qtr 2: Jan - Mar</v>
      </c>
      <c r="I4"/>
      <c r="K4" s="32" t="s">
        <v>1</v>
      </c>
      <c r="L4" s="79">
        <f>'Circuit Criminal'!L4</f>
        <v>1</v>
      </c>
      <c r="N4" s="208" t="str">
        <f>'Circuit Criminal'!N4</f>
        <v>CCOC Form Version 1
Created 10/01/2020</v>
      </c>
    </row>
    <row r="5" spans="1:14" ht="24" customHeight="1" thickBot="1" x14ac:dyDescent="0.25">
      <c r="A5" s="8"/>
      <c r="C5" s="32" t="s">
        <v>68</v>
      </c>
      <c r="D5" s="207" t="str">
        <f>'Circuit Criminal'!D5</f>
        <v>Andrea Butler</v>
      </c>
      <c r="E5" s="207"/>
      <c r="F5" s="9"/>
      <c r="N5" s="209"/>
    </row>
    <row r="6" spans="1:14" ht="24" customHeight="1" x14ac:dyDescent="0.2">
      <c r="A6" s="8"/>
      <c r="C6" s="32" t="s">
        <v>69</v>
      </c>
      <c r="D6" s="206" t="str">
        <f>'Circuit Criminal'!D6</f>
        <v>andrea.butler@brevardclerk.us</v>
      </c>
      <c r="E6" s="206"/>
      <c r="F6" s="9"/>
      <c r="J6" s="140" t="s">
        <v>161</v>
      </c>
      <c r="K6" s="141"/>
      <c r="L6" s="141"/>
      <c r="M6" s="141"/>
      <c r="N6" s="142"/>
    </row>
    <row r="7" spans="1:14" ht="24" customHeight="1" thickBot="1" x14ac:dyDescent="0.25">
      <c r="A7" s="8"/>
      <c r="J7" s="66" t="s">
        <v>157</v>
      </c>
      <c r="K7" s="143" t="s">
        <v>159</v>
      </c>
      <c r="L7" s="143"/>
      <c r="M7" s="143"/>
      <c r="N7" s="144"/>
    </row>
    <row r="8" spans="1:14" ht="24" customHeight="1" thickTop="1" thickBot="1" x14ac:dyDescent="0.25">
      <c r="A8" s="214" t="s">
        <v>136</v>
      </c>
      <c r="B8" s="214"/>
      <c r="C8" s="215"/>
      <c r="D8" s="29" t="str">
        <f ca="1">MID(CELL("filename",A1),FIND("]",CELL("filename",A1))+1,255)</f>
        <v>Criminal Traffic</v>
      </c>
      <c r="E8" s="10"/>
      <c r="F8" s="214" t="s">
        <v>137</v>
      </c>
      <c r="G8" s="214"/>
      <c r="H8" s="98">
        <f ca="1">INDEX(LookupData!AA3:AA12,MATCH(D8,LookupData!Z3:Z12,0))</f>
        <v>0.4</v>
      </c>
      <c r="J8" s="63" t="s">
        <v>158</v>
      </c>
      <c r="K8" s="145" t="s">
        <v>160</v>
      </c>
      <c r="L8" s="145"/>
      <c r="M8" s="145"/>
      <c r="N8" s="146"/>
    </row>
    <row r="9" spans="1:14" ht="19.5" customHeight="1" thickTop="1" thickBot="1" x14ac:dyDescent="0.25">
      <c r="A9" s="8"/>
      <c r="D9" s="8"/>
      <c r="E9" s="8"/>
    </row>
    <row r="10" spans="1:14" ht="25.5" customHeight="1" thickBot="1" x14ac:dyDescent="0.25">
      <c r="D10" s="1"/>
      <c r="E10" s="1"/>
      <c r="F10" s="1"/>
      <c r="G10" s="1"/>
      <c r="H10" s="1"/>
      <c r="I10" s="1"/>
      <c r="J10" s="1"/>
      <c r="K10" s="1"/>
      <c r="L10" s="1"/>
      <c r="M10" s="216" t="s">
        <v>141</v>
      </c>
      <c r="N10" s="217"/>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61" t="s">
        <v>142</v>
      </c>
      <c r="N11" s="62" t="s">
        <v>143</v>
      </c>
    </row>
    <row r="12" spans="1:14" ht="19.5" customHeight="1" thickBot="1" x14ac:dyDescent="0.25">
      <c r="A12" s="198" t="str">
        <f>LookupData!W3</f>
        <v>CGE CQ1-21</v>
      </c>
      <c r="B12" s="199"/>
      <c r="C12" s="179" t="str">
        <f>LookupData!X3</f>
        <v>RPE 12/31/19</v>
      </c>
      <c r="D12" s="180"/>
      <c r="E12" s="39" t="s">
        <v>145</v>
      </c>
      <c r="F12" s="40" t="s">
        <v>146</v>
      </c>
      <c r="G12" s="40" t="s">
        <v>147</v>
      </c>
      <c r="H12" s="40" t="s">
        <v>148</v>
      </c>
      <c r="I12" s="41" t="s">
        <v>149</v>
      </c>
      <c r="J12" s="218"/>
      <c r="K12" s="218"/>
      <c r="L12" s="218"/>
      <c r="M12" s="210"/>
      <c r="N12" s="212"/>
    </row>
    <row r="13" spans="1:14" ht="19.5" customHeight="1" x14ac:dyDescent="0.2">
      <c r="A13" s="200"/>
      <c r="B13" s="201"/>
      <c r="C13" s="181" t="s">
        <v>150</v>
      </c>
      <c r="D13" s="182"/>
      <c r="E13" s="52">
        <f ca="1">SUMIFS(LookupData!I$3:I$2682,LookupData!$A$3:$A$2682,$D$4,LookupData!$B$3:$B$2682,$D$8,LookupData!$C$3:$C$2682,$A12)</f>
        <v>119041.13</v>
      </c>
      <c r="F13" s="53">
        <f ca="1">SUMIFS(LookupData!J$3:J$2682,LookupData!$A$3:$A$2682,$D$4,LookupData!$B$3:$B$2682,$D$8,LookupData!$C$3:$C$2682,$A12)</f>
        <v>180912.42</v>
      </c>
      <c r="G13" s="53">
        <f ca="1">SUMIFS(LookupData!K$3:K$2682,LookupData!$A$3:$A$2682,$D$4,LookupData!$B$3:$B$2682,$D$8,LookupData!$C$3:$C$2682,$A12)</f>
        <v>232894.27</v>
      </c>
      <c r="H13" s="53">
        <f ca="1">SUMIFS(LookupData!L$3:L$2682,LookupData!$A$3:$A$2682,$D$4,LookupData!$B$3:$B$2682,$D$8,LookupData!$C$3:$C$2682,$A12)</f>
        <v>280352.07</v>
      </c>
      <c r="I13" s="43">
        <v>304979.44</v>
      </c>
      <c r="J13" s="219"/>
      <c r="K13" s="219"/>
      <c r="L13" s="219"/>
      <c r="M13" s="211"/>
      <c r="N13" s="213"/>
    </row>
    <row r="14" spans="1:14" ht="19.5" customHeight="1" thickBot="1" x14ac:dyDescent="0.25">
      <c r="A14" s="200"/>
      <c r="B14" s="201"/>
      <c r="C14" s="181" t="s">
        <v>151</v>
      </c>
      <c r="D14" s="182"/>
      <c r="E14" s="54">
        <f ca="1">SUMIFS(LookupData!D$3:D$2682,LookupData!$A$3:$A$2682,$D$4,LookupData!$B$3:$B$2682,$D$8,LookupData!$C$3:$C$2682,$A12)</f>
        <v>590444.48</v>
      </c>
      <c r="F14" s="55">
        <f ca="1">SUMIFS(LookupData!E$3:E$2682,LookupData!$A$3:$A$2682,$D$4,LookupData!$B$3:$B$2682,$D$8,LookupData!$C$3:$C$2682,$A12)</f>
        <v>580927.48</v>
      </c>
      <c r="G14" s="55">
        <f ca="1">SUMIFS(LookupData!F$3:F$2682,LookupData!$A$3:$A$2682,$D$4,LookupData!$B$3:$B$2682,$D$8,LookupData!$C$3:$C$2682,$A12)</f>
        <v>572016.48</v>
      </c>
      <c r="H14" s="55">
        <f ca="1">SUMIFS(LookupData!G$3:G$2682,LookupData!$A$3:$A$2682,$D$4,LookupData!$B$3:$B$2682,$D$8,LookupData!$C$3:$C$2682,$A12)</f>
        <v>570286.48</v>
      </c>
      <c r="I14" s="44">
        <v>569404.48</v>
      </c>
      <c r="J14" s="219"/>
      <c r="K14" s="219"/>
      <c r="L14" s="219"/>
      <c r="M14" s="211"/>
      <c r="N14" s="213"/>
    </row>
    <row r="15" spans="1:14" ht="19.5" customHeight="1" thickTop="1" thickBot="1" x14ac:dyDescent="0.25">
      <c r="A15" s="202"/>
      <c r="B15" s="203"/>
      <c r="C15" s="181" t="s">
        <v>152</v>
      </c>
      <c r="D15" s="182"/>
      <c r="E15" s="71">
        <f ca="1">IFERROR(IF(E14=0,1,ROUND(E13/E14,4)),0)</f>
        <v>0.2016</v>
      </c>
      <c r="F15" s="77">
        <f t="shared" ref="F15:H15" ca="1" si="0">IFERROR(IF(F14=0,1,ROUND(F13/F14,4)),0)</f>
        <v>0.31140000000000001</v>
      </c>
      <c r="G15" s="77">
        <f t="shared" ca="1" si="0"/>
        <v>0.40710000000000002</v>
      </c>
      <c r="H15" s="77">
        <f t="shared" ca="1" si="0"/>
        <v>0.49159999999999998</v>
      </c>
      <c r="I15" s="78">
        <f t="shared" ref="I15" si="1">IFERROR(IF(I14=0,1,ROUND(I13/I14,4)),0)</f>
        <v>0.53559999999999997</v>
      </c>
      <c r="J15" s="219"/>
      <c r="K15" s="219"/>
      <c r="L15" s="219"/>
      <c r="M15" s="211"/>
      <c r="N15" s="213"/>
    </row>
    <row r="16" spans="1:14" ht="20.25" customHeight="1" thickBot="1" x14ac:dyDescent="0.25">
      <c r="A16" s="173" t="str">
        <f>LookupData!W4</f>
        <v>CGE CQ2-21</v>
      </c>
      <c r="B16" s="174"/>
      <c r="C16" s="179" t="str">
        <f>LookupData!X4</f>
        <v>RPE 03/31/20</v>
      </c>
      <c r="D16" s="180"/>
      <c r="E16" s="185"/>
      <c r="F16" s="39" t="s">
        <v>145</v>
      </c>
      <c r="G16" s="40" t="s">
        <v>146</v>
      </c>
      <c r="H16" s="40" t="s">
        <v>147</v>
      </c>
      <c r="I16" s="40" t="s">
        <v>148</v>
      </c>
      <c r="J16" s="41" t="s">
        <v>149</v>
      </c>
      <c r="K16" s="189"/>
      <c r="L16" s="191"/>
      <c r="M16" s="167"/>
      <c r="N16" s="168"/>
    </row>
    <row r="17" spans="1:16" ht="20.25" customHeight="1" x14ac:dyDescent="0.2">
      <c r="A17" s="175"/>
      <c r="B17" s="176"/>
      <c r="C17" s="181" t="s">
        <v>150</v>
      </c>
      <c r="D17" s="182"/>
      <c r="E17" s="186"/>
      <c r="F17" s="52">
        <f ca="1">SUMIFS(LookupData!I$3:I$2682,LookupData!$A$3:$A$2682,$D$4,LookupData!$B$3:$B$2682,$D$8,LookupData!$C$3:$C$2682,$A16)</f>
        <v>122444.47</v>
      </c>
      <c r="G17" s="53">
        <f ca="1">SUMIFS(LookupData!J$3:J$2682,LookupData!$A$3:$A$2682,$D$4,LookupData!$B$3:$B$2682,$D$8,LookupData!$C$3:$C$2682,$A16)</f>
        <v>168167.77</v>
      </c>
      <c r="H17" s="53">
        <f ca="1">SUMIFS(LookupData!K$3:K$2682,LookupData!$A$3:$A$2682,$D$4,LookupData!$B$3:$B$2682,$D$8,LookupData!$C$3:$C$2682,$A16)</f>
        <v>211778.15</v>
      </c>
      <c r="I17" s="30">
        <v>254893.39</v>
      </c>
      <c r="J17" s="43">
        <v>291794.21000000002</v>
      </c>
      <c r="K17" s="192"/>
      <c r="L17" s="194"/>
      <c r="M17" s="167"/>
      <c r="N17" s="168"/>
    </row>
    <row r="18" spans="1:16" ht="20.25" customHeight="1" thickBot="1" x14ac:dyDescent="0.25">
      <c r="A18" s="175"/>
      <c r="B18" s="176"/>
      <c r="C18" s="181" t="s">
        <v>151</v>
      </c>
      <c r="D18" s="182"/>
      <c r="E18" s="186"/>
      <c r="F18" s="54">
        <f ca="1">SUMIFS(LookupData!D$3:D$2682,LookupData!$A$3:$A$2682,$D$4,LookupData!$B$3:$B$2682,$D$8,LookupData!$C$3:$C$2682,$A16)</f>
        <v>535825.94999999995</v>
      </c>
      <c r="G18" s="55">
        <f ca="1">SUMIFS(LookupData!E$3:E$2682,LookupData!$A$3:$A$2682,$D$4,LookupData!$B$3:$B$2682,$D$8,LookupData!$C$3:$C$2682,$A16)</f>
        <v>527155.55000000005</v>
      </c>
      <c r="H18" s="55">
        <f ca="1">SUMIFS(LookupData!F$3:F$2682,LookupData!$A$3:$A$2682,$D$4,LookupData!$B$3:$B$2682,$D$8,LookupData!$C$3:$C$2682,$A16)</f>
        <v>520748.55</v>
      </c>
      <c r="I18" s="38">
        <v>518763.55</v>
      </c>
      <c r="J18" s="44">
        <v>517243.55</v>
      </c>
      <c r="K18" s="192"/>
      <c r="L18" s="194"/>
      <c r="M18" s="167"/>
      <c r="N18" s="168"/>
    </row>
    <row r="19" spans="1:16" ht="20.25" customHeight="1" thickTop="1" thickBot="1" x14ac:dyDescent="0.25">
      <c r="A19" s="177"/>
      <c r="B19" s="178"/>
      <c r="C19" s="183" t="s">
        <v>152</v>
      </c>
      <c r="D19" s="184"/>
      <c r="E19" s="187"/>
      <c r="F19" s="73">
        <f ca="1">IFERROR(IF(F18=0,1,ROUND(F17/F18,4)),0)</f>
        <v>0.22850000000000001</v>
      </c>
      <c r="G19" s="75">
        <f t="shared" ref="G19:H19" ca="1" si="2">IFERROR(IF(G18=0,1,ROUND(G17/G18,4)),0)</f>
        <v>0.31900000000000001</v>
      </c>
      <c r="H19" s="75">
        <f t="shared" ca="1" si="2"/>
        <v>0.40670000000000001</v>
      </c>
      <c r="I19" s="75">
        <f t="shared" ref="I19:J19" si="3">IFERROR(IF(I18=0,1,ROUND(I17/I18,4)),0)</f>
        <v>0.49130000000000001</v>
      </c>
      <c r="J19" s="76">
        <f t="shared" si="3"/>
        <v>0.56410000000000005</v>
      </c>
      <c r="K19" s="195"/>
      <c r="L19" s="197"/>
      <c r="M19" s="167"/>
      <c r="N19" s="168"/>
    </row>
    <row r="20" spans="1:16" ht="20.25" customHeight="1" thickBot="1" x14ac:dyDescent="0.25">
      <c r="A20" s="198" t="str">
        <f>LookupData!W5</f>
        <v>CGE CQ3-21</v>
      </c>
      <c r="B20" s="199"/>
      <c r="C20" s="204" t="str">
        <f>LookupData!X5</f>
        <v>RPE 06/30/20</v>
      </c>
      <c r="D20" s="205"/>
      <c r="E20" s="163"/>
      <c r="F20" s="188"/>
      <c r="G20" s="50" t="s">
        <v>145</v>
      </c>
      <c r="H20" s="36" t="s">
        <v>146</v>
      </c>
      <c r="I20" s="36" t="s">
        <v>147</v>
      </c>
      <c r="J20" s="36" t="s">
        <v>148</v>
      </c>
      <c r="K20" s="51" t="s">
        <v>149</v>
      </c>
      <c r="L20" s="192"/>
      <c r="M20" s="167"/>
      <c r="N20" s="168"/>
    </row>
    <row r="21" spans="1:16" ht="20.25" customHeight="1" x14ac:dyDescent="0.2">
      <c r="A21" s="200"/>
      <c r="B21" s="201"/>
      <c r="C21" s="181" t="s">
        <v>150</v>
      </c>
      <c r="D21" s="182"/>
      <c r="E21" s="163"/>
      <c r="F21" s="188"/>
      <c r="G21" s="52">
        <f ca="1">SUMIFS(LookupData!I$3:I$2682,LookupData!$A$3:$A$2682,$D$4,LookupData!$B$3:$B$2682,$D$8,LookupData!$C$3:$C$2682,$A20)</f>
        <v>49961.67</v>
      </c>
      <c r="H21" s="53">
        <f ca="1">SUMIFS(LookupData!J$3:J$2682,LookupData!$A$3:$A$2682,$D$4,LookupData!$B$3:$B$2682,$D$8,LookupData!$C$3:$C$2682,$A20)</f>
        <v>78170.289999999994</v>
      </c>
      <c r="I21" s="30">
        <v>90945.48</v>
      </c>
      <c r="J21" s="30">
        <v>109977.46</v>
      </c>
      <c r="K21" s="43"/>
      <c r="L21" s="192"/>
      <c r="M21" s="167"/>
      <c r="N21" s="168"/>
    </row>
    <row r="22" spans="1:16" ht="20.25" customHeight="1" thickBot="1" x14ac:dyDescent="0.25">
      <c r="A22" s="200"/>
      <c r="B22" s="201"/>
      <c r="C22" s="181" t="s">
        <v>151</v>
      </c>
      <c r="D22" s="182"/>
      <c r="E22" s="163"/>
      <c r="F22" s="188"/>
      <c r="G22" s="54">
        <f ca="1">SUMIFS(LookupData!D$3:D$2682,LookupData!$A$3:$A$2682,$D$4,LookupData!$B$3:$B$2682,$D$8,LookupData!$C$3:$C$2682,$A20)</f>
        <v>225548.85</v>
      </c>
      <c r="H22" s="55">
        <f ca="1">SUMIFS(LookupData!E$3:E$2682,LookupData!$A$3:$A$2682,$D$4,LookupData!$B$3:$B$2682,$D$8,LookupData!$C$3:$C$2682,$A20)</f>
        <v>224079.85</v>
      </c>
      <c r="I22" s="38">
        <v>221804.85</v>
      </c>
      <c r="J22" s="38">
        <v>216970.85</v>
      </c>
      <c r="K22" s="44"/>
      <c r="L22" s="192"/>
      <c r="M22" s="167"/>
      <c r="N22" s="168"/>
    </row>
    <row r="23" spans="1:16" ht="20.25" customHeight="1" thickTop="1" thickBot="1" x14ac:dyDescent="0.25">
      <c r="A23" s="202"/>
      <c r="B23" s="203"/>
      <c r="C23" s="181" t="s">
        <v>152</v>
      </c>
      <c r="D23" s="182"/>
      <c r="E23" s="163"/>
      <c r="F23" s="188"/>
      <c r="G23" s="71">
        <f t="shared" ref="G23:H23" ca="1" si="4">IFERROR(IF(G22=0,1,ROUND(G21/G22,4)),0)</f>
        <v>0.2215</v>
      </c>
      <c r="H23" s="77">
        <f t="shared" ca="1" si="4"/>
        <v>0.34889999999999999</v>
      </c>
      <c r="I23" s="77">
        <f t="shared" ref="I23:K23" si="5">IFERROR(IF(I22=0,1,ROUND(I21/I22,4)),0)</f>
        <v>0.41</v>
      </c>
      <c r="J23" s="77">
        <f t="shared" si="5"/>
        <v>0.50690000000000002</v>
      </c>
      <c r="K23" s="78">
        <f t="shared" si="5"/>
        <v>1</v>
      </c>
      <c r="L23" s="192"/>
      <c r="M23" s="167"/>
      <c r="N23" s="168"/>
      <c r="O23"/>
      <c r="P23"/>
    </row>
    <row r="24" spans="1:16" ht="20.25" customHeight="1" thickBot="1" x14ac:dyDescent="0.25">
      <c r="A24" s="173" t="str">
        <f>LookupData!W6</f>
        <v>CGE CQ4-21</v>
      </c>
      <c r="B24" s="174"/>
      <c r="C24" s="179" t="str">
        <f>LookupData!X6</f>
        <v>RPE 09/30/20</v>
      </c>
      <c r="D24" s="180"/>
      <c r="E24" s="189"/>
      <c r="F24" s="190"/>
      <c r="G24" s="191"/>
      <c r="H24" s="39" t="s">
        <v>145</v>
      </c>
      <c r="I24" s="40" t="s">
        <v>146</v>
      </c>
      <c r="J24" s="40" t="s">
        <v>147</v>
      </c>
      <c r="K24" s="40" t="s">
        <v>148</v>
      </c>
      <c r="L24" s="41" t="s">
        <v>149</v>
      </c>
      <c r="M24" s="169"/>
      <c r="N24" s="171"/>
      <c r="O24"/>
      <c r="P24"/>
    </row>
    <row r="25" spans="1:16" ht="20.25" customHeight="1" x14ac:dyDescent="0.2">
      <c r="A25" s="175"/>
      <c r="B25" s="176"/>
      <c r="C25" s="181" t="s">
        <v>150</v>
      </c>
      <c r="D25" s="182"/>
      <c r="E25" s="192"/>
      <c r="F25" s="193"/>
      <c r="G25" s="194"/>
      <c r="H25" s="52">
        <f ca="1">SUMIFS(LookupData!I$3:I$2682,LookupData!$A$3:$A$2682,$D$4,LookupData!$B$3:$B$2682,$D$8,LookupData!$C$3:$C$2682,$A24)</f>
        <v>95922.73</v>
      </c>
      <c r="I25" s="30">
        <v>146555.85999999999</v>
      </c>
      <c r="J25" s="30">
        <v>193326.64</v>
      </c>
      <c r="K25" s="30"/>
      <c r="L25" s="43"/>
      <c r="M25" s="169"/>
      <c r="N25" s="171"/>
      <c r="O25"/>
      <c r="P25"/>
    </row>
    <row r="26" spans="1:16" ht="20.25" customHeight="1" thickBot="1" x14ac:dyDescent="0.25">
      <c r="A26" s="175"/>
      <c r="B26" s="176"/>
      <c r="C26" s="181" t="s">
        <v>151</v>
      </c>
      <c r="D26" s="182"/>
      <c r="E26" s="192"/>
      <c r="F26" s="193"/>
      <c r="G26" s="194"/>
      <c r="H26" s="54">
        <f ca="1">SUMIFS(LookupData!D$3:D$2682,LookupData!$A$3:$A$2682,$D$4,LookupData!$B$3:$B$2682,$D$8,LookupData!$C$3:$C$2682,$A24)</f>
        <v>472364.5</v>
      </c>
      <c r="I26" s="38">
        <v>465578</v>
      </c>
      <c r="J26" s="38">
        <v>459179</v>
      </c>
      <c r="K26" s="38"/>
      <c r="L26" s="44"/>
      <c r="M26" s="169"/>
      <c r="N26" s="171"/>
      <c r="O26"/>
      <c r="P26"/>
    </row>
    <row r="27" spans="1:16" ht="20.25" customHeight="1" thickTop="1" thickBot="1" x14ac:dyDescent="0.25">
      <c r="A27" s="177"/>
      <c r="B27" s="178"/>
      <c r="C27" s="183" t="s">
        <v>152</v>
      </c>
      <c r="D27" s="184"/>
      <c r="E27" s="195"/>
      <c r="F27" s="196"/>
      <c r="G27" s="197"/>
      <c r="H27" s="73">
        <f t="shared" ref="H27" ca="1" si="6">IFERROR(IF(H26=0,1,ROUND(H25/H26,4)),0)</f>
        <v>0.2031</v>
      </c>
      <c r="I27" s="75">
        <f t="shared" ref="I27:L27" si="7">IFERROR(IF(I26=0,1,ROUND(I25/I26,4)),0)</f>
        <v>0.31480000000000002</v>
      </c>
      <c r="J27" s="75">
        <f t="shared" si="7"/>
        <v>0.42099999999999999</v>
      </c>
      <c r="K27" s="75">
        <f t="shared" si="7"/>
        <v>1</v>
      </c>
      <c r="L27" s="76">
        <f t="shared" si="7"/>
        <v>1</v>
      </c>
      <c r="M27" s="170"/>
      <c r="N27" s="172"/>
      <c r="O27"/>
      <c r="P27"/>
    </row>
    <row r="28" spans="1:16" ht="20.25" customHeight="1" thickBot="1" x14ac:dyDescent="0.25">
      <c r="A28" s="198" t="str">
        <f>LookupData!W7</f>
        <v>CGE CQ1-22</v>
      </c>
      <c r="B28" s="199"/>
      <c r="C28" s="179" t="str">
        <f>LookupData!X7</f>
        <v>RPE 12/31/20</v>
      </c>
      <c r="D28" s="180"/>
      <c r="E28" s="189"/>
      <c r="F28" s="190"/>
      <c r="G28" s="190"/>
      <c r="H28" s="191"/>
      <c r="I28" s="39" t="s">
        <v>145</v>
      </c>
      <c r="J28" s="40" t="s">
        <v>146</v>
      </c>
      <c r="K28" s="40" t="s">
        <v>147</v>
      </c>
      <c r="L28" s="41" t="s">
        <v>148</v>
      </c>
      <c r="M28" s="161"/>
      <c r="N28" s="162"/>
      <c r="O28"/>
      <c r="P28"/>
    </row>
    <row r="29" spans="1:16" ht="20.25" customHeight="1" x14ac:dyDescent="0.2">
      <c r="A29" s="200"/>
      <c r="B29" s="201"/>
      <c r="C29" s="181" t="s">
        <v>150</v>
      </c>
      <c r="D29" s="182"/>
      <c r="E29" s="192"/>
      <c r="F29" s="193"/>
      <c r="G29" s="193"/>
      <c r="H29" s="194"/>
      <c r="I29" s="42">
        <v>131502.68</v>
      </c>
      <c r="J29" s="30">
        <v>199799.91</v>
      </c>
      <c r="K29" s="30"/>
      <c r="L29" s="43"/>
      <c r="M29" s="163"/>
      <c r="N29" s="164"/>
      <c r="O29"/>
      <c r="P29"/>
    </row>
    <row r="30" spans="1:16" ht="20.25" customHeight="1" thickBot="1" x14ac:dyDescent="0.25">
      <c r="A30" s="200"/>
      <c r="B30" s="201"/>
      <c r="C30" s="181" t="s">
        <v>151</v>
      </c>
      <c r="D30" s="182"/>
      <c r="E30" s="192"/>
      <c r="F30" s="193"/>
      <c r="G30" s="193"/>
      <c r="H30" s="194"/>
      <c r="I30" s="37">
        <v>580904.75</v>
      </c>
      <c r="J30" s="38">
        <v>573581.75</v>
      </c>
      <c r="K30" s="38"/>
      <c r="L30" s="44"/>
      <c r="M30" s="165"/>
      <c r="N30" s="166"/>
      <c r="O30"/>
      <c r="P30"/>
    </row>
    <row r="31" spans="1:16" ht="20.25" customHeight="1" thickTop="1" thickBot="1" x14ac:dyDescent="0.25">
      <c r="A31" s="202"/>
      <c r="B31" s="203"/>
      <c r="C31" s="183" t="s">
        <v>152</v>
      </c>
      <c r="D31" s="184"/>
      <c r="E31" s="195"/>
      <c r="F31" s="196"/>
      <c r="G31" s="196"/>
      <c r="H31" s="197"/>
      <c r="I31" s="73">
        <f t="shared" ref="I31:L31" si="8">IFERROR(IF(I30=0,1,ROUND(I29/I30,4)),0)</f>
        <v>0.22639999999999999</v>
      </c>
      <c r="J31" s="75">
        <f t="shared" si="8"/>
        <v>0.3483</v>
      </c>
      <c r="K31" s="75">
        <f t="shared" si="8"/>
        <v>1</v>
      </c>
      <c r="L31" s="74">
        <f t="shared" si="8"/>
        <v>1</v>
      </c>
      <c r="M31" s="138" t="s">
        <v>153</v>
      </c>
      <c r="N31" s="139"/>
      <c r="O31"/>
      <c r="P31"/>
    </row>
    <row r="32" spans="1:16" ht="20.25" customHeight="1" thickBot="1" x14ac:dyDescent="0.25">
      <c r="A32" s="173" t="str">
        <f>LookupData!W8</f>
        <v>CGE CQ2-22</v>
      </c>
      <c r="B32" s="174"/>
      <c r="C32" s="179" t="str">
        <f>LookupData!X8</f>
        <v>RPE 03/31/21</v>
      </c>
      <c r="D32" s="180"/>
      <c r="E32" s="189"/>
      <c r="F32" s="190"/>
      <c r="G32" s="190"/>
      <c r="H32" s="190"/>
      <c r="I32" s="191"/>
      <c r="J32" s="39" t="s">
        <v>145</v>
      </c>
      <c r="K32" s="40" t="s">
        <v>146</v>
      </c>
      <c r="L32" s="40" t="s">
        <v>147</v>
      </c>
      <c r="M32" s="149" t="str">
        <f>LookupData!Y7</f>
        <v>10/01/20 - 12/31/20</v>
      </c>
      <c r="N32" s="150"/>
      <c r="O32"/>
      <c r="P32"/>
    </row>
    <row r="33" spans="1:16" ht="20.25" customHeight="1" x14ac:dyDescent="0.2">
      <c r="A33" s="175"/>
      <c r="B33" s="176"/>
      <c r="C33" s="181" t="s">
        <v>150</v>
      </c>
      <c r="D33" s="182"/>
      <c r="E33" s="192"/>
      <c r="F33" s="193"/>
      <c r="G33" s="193"/>
      <c r="H33" s="193"/>
      <c r="I33" s="194"/>
      <c r="J33" s="42">
        <v>174052.2</v>
      </c>
      <c r="K33" s="30"/>
      <c r="L33" s="48"/>
      <c r="M33" s="153"/>
      <c r="N33" s="154"/>
      <c r="O33"/>
      <c r="P33"/>
    </row>
    <row r="34" spans="1:16" ht="20.25" customHeight="1" thickBot="1" x14ac:dyDescent="0.25">
      <c r="A34" s="175"/>
      <c r="B34" s="176"/>
      <c r="C34" s="181" t="s">
        <v>151</v>
      </c>
      <c r="D34" s="182"/>
      <c r="E34" s="192"/>
      <c r="F34" s="193"/>
      <c r="G34" s="193"/>
      <c r="H34" s="193"/>
      <c r="I34" s="194"/>
      <c r="J34" s="37">
        <v>654913.85</v>
      </c>
      <c r="K34" s="38"/>
      <c r="L34" s="49"/>
      <c r="M34" s="155"/>
      <c r="N34" s="156"/>
      <c r="O34"/>
      <c r="P34"/>
    </row>
    <row r="35" spans="1:16" ht="20.25" customHeight="1" thickTop="1" thickBot="1" x14ac:dyDescent="0.25">
      <c r="A35" s="177"/>
      <c r="B35" s="178"/>
      <c r="C35" s="183" t="s">
        <v>152</v>
      </c>
      <c r="D35" s="184"/>
      <c r="E35" s="195"/>
      <c r="F35" s="196"/>
      <c r="G35" s="196"/>
      <c r="H35" s="196"/>
      <c r="I35" s="197"/>
      <c r="J35" s="73">
        <f t="shared" ref="J35:L35" si="9">IFERROR(IF(J34=0,1,ROUND(J33/J34,4)),0)</f>
        <v>0.26579999999999998</v>
      </c>
      <c r="K35" s="75">
        <f t="shared" si="9"/>
        <v>1</v>
      </c>
      <c r="L35" s="74">
        <f t="shared" si="9"/>
        <v>1</v>
      </c>
      <c r="M35" s="151" t="str">
        <f>LookupData!Y8</f>
        <v>01/01/21 - 03/31/21</v>
      </c>
      <c r="N35" s="152"/>
      <c r="O35"/>
      <c r="P35"/>
    </row>
    <row r="36" spans="1:16" ht="20.25" customHeight="1" thickBot="1" x14ac:dyDescent="0.25">
      <c r="A36" s="198" t="str">
        <f>LookupData!W9</f>
        <v>CGE CQ3-22</v>
      </c>
      <c r="B36" s="199"/>
      <c r="C36" s="179" t="str">
        <f>LookupData!X9</f>
        <v>RPE 06/30/21</v>
      </c>
      <c r="D36" s="180"/>
      <c r="E36" s="189"/>
      <c r="F36" s="190"/>
      <c r="G36" s="190"/>
      <c r="H36" s="190"/>
      <c r="I36" s="190"/>
      <c r="J36" s="191"/>
      <c r="K36" s="39" t="s">
        <v>145</v>
      </c>
      <c r="L36" s="40" t="s">
        <v>146</v>
      </c>
      <c r="M36" s="157"/>
      <c r="N36" s="158"/>
      <c r="O36"/>
      <c r="P36"/>
    </row>
    <row r="37" spans="1:16" ht="20.25" customHeight="1" thickBot="1" x14ac:dyDescent="0.25">
      <c r="A37" s="200"/>
      <c r="B37" s="201"/>
      <c r="C37" s="181" t="s">
        <v>150</v>
      </c>
      <c r="D37" s="182"/>
      <c r="E37" s="192"/>
      <c r="F37" s="193"/>
      <c r="G37" s="193"/>
      <c r="H37" s="193"/>
      <c r="I37" s="193"/>
      <c r="J37" s="194"/>
      <c r="K37" s="42"/>
      <c r="L37" s="30"/>
      <c r="M37" s="159"/>
      <c r="N37" s="160"/>
      <c r="O37"/>
      <c r="P37"/>
    </row>
    <row r="38" spans="1:16" ht="20.25" customHeight="1" thickBot="1" x14ac:dyDescent="0.25">
      <c r="A38" s="200"/>
      <c r="B38" s="201"/>
      <c r="C38" s="181" t="s">
        <v>151</v>
      </c>
      <c r="D38" s="182"/>
      <c r="E38" s="192"/>
      <c r="F38" s="193"/>
      <c r="G38" s="193"/>
      <c r="H38" s="193"/>
      <c r="I38" s="193"/>
      <c r="J38" s="194"/>
      <c r="K38" s="37"/>
      <c r="L38" s="38"/>
      <c r="M38" s="151" t="str">
        <f>LookupData!Y9</f>
        <v>04/01/21 - 06/30/21</v>
      </c>
      <c r="N38" s="152"/>
      <c r="O38"/>
      <c r="P38"/>
    </row>
    <row r="39" spans="1:16" ht="20.25" customHeight="1" thickTop="1" thickBot="1" x14ac:dyDescent="0.25">
      <c r="A39" s="202"/>
      <c r="B39" s="203"/>
      <c r="C39" s="183" t="s">
        <v>152</v>
      </c>
      <c r="D39" s="184"/>
      <c r="E39" s="195"/>
      <c r="F39" s="196"/>
      <c r="G39" s="196"/>
      <c r="H39" s="196"/>
      <c r="I39" s="196"/>
      <c r="J39" s="197"/>
      <c r="K39" s="73">
        <f t="shared" ref="K39:L39" si="10">IFERROR(IF(K38=0,1,ROUND(K37/K38,4)),0)</f>
        <v>1</v>
      </c>
      <c r="L39" s="74">
        <f t="shared" si="10"/>
        <v>1</v>
      </c>
      <c r="M39" s="157"/>
      <c r="N39" s="158"/>
      <c r="O39"/>
      <c r="P39"/>
    </row>
    <row r="40" spans="1:16" ht="20.25" customHeight="1" thickBot="1" x14ac:dyDescent="0.25">
      <c r="A40" s="173" t="str">
        <f>LookupData!W10</f>
        <v>CGE CQ4-22</v>
      </c>
      <c r="B40" s="174"/>
      <c r="C40" s="179" t="str">
        <f>LookupData!X10</f>
        <v>RPE 09/30/21</v>
      </c>
      <c r="D40" s="180"/>
      <c r="E40" s="189"/>
      <c r="F40" s="190"/>
      <c r="G40" s="190"/>
      <c r="H40" s="190"/>
      <c r="I40" s="190"/>
      <c r="J40" s="190"/>
      <c r="K40" s="191"/>
      <c r="L40" s="39" t="s">
        <v>145</v>
      </c>
      <c r="M40" s="159"/>
      <c r="N40" s="160"/>
      <c r="O40"/>
      <c r="P40"/>
    </row>
    <row r="41" spans="1:16" ht="20.25" customHeight="1" x14ac:dyDescent="0.2">
      <c r="A41" s="175"/>
      <c r="B41" s="176"/>
      <c r="C41" s="181" t="s">
        <v>150</v>
      </c>
      <c r="D41" s="182"/>
      <c r="E41" s="192"/>
      <c r="F41" s="193"/>
      <c r="G41" s="193"/>
      <c r="H41" s="193"/>
      <c r="I41" s="193"/>
      <c r="J41" s="193"/>
      <c r="K41" s="194"/>
      <c r="L41" s="59"/>
      <c r="M41" s="151" t="str">
        <f>LookupData!Y10</f>
        <v>07/01/21 - 09/30/21</v>
      </c>
      <c r="N41" s="152"/>
      <c r="O41"/>
      <c r="P41"/>
    </row>
    <row r="42" spans="1:16" ht="20.25" customHeight="1" thickBot="1" x14ac:dyDescent="0.25">
      <c r="A42" s="175"/>
      <c r="B42" s="176"/>
      <c r="C42" s="181" t="s">
        <v>151</v>
      </c>
      <c r="D42" s="182"/>
      <c r="E42" s="192"/>
      <c r="F42" s="193"/>
      <c r="G42" s="193"/>
      <c r="H42" s="193"/>
      <c r="I42" s="193"/>
      <c r="J42" s="193"/>
      <c r="K42" s="194"/>
      <c r="L42" s="60"/>
      <c r="M42" s="157"/>
      <c r="N42" s="158"/>
      <c r="O42"/>
      <c r="P42"/>
    </row>
    <row r="43" spans="1:16" ht="20.25" customHeight="1" thickTop="1" thickBot="1" x14ac:dyDescent="0.25">
      <c r="A43" s="177"/>
      <c r="B43" s="178"/>
      <c r="C43" s="183" t="s">
        <v>152</v>
      </c>
      <c r="D43" s="184"/>
      <c r="E43" s="195"/>
      <c r="F43" s="196"/>
      <c r="G43" s="196"/>
      <c r="H43" s="196"/>
      <c r="I43" s="196"/>
      <c r="J43" s="196"/>
      <c r="K43" s="197"/>
      <c r="L43" s="72">
        <f>IFERROR(IF(L42=0,1,ROUND(L41/L42,4)),0)</f>
        <v>1</v>
      </c>
      <c r="M43" s="159"/>
      <c r="N43" s="160"/>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48" t="s">
        <v>169</v>
      </c>
      <c r="E45" s="148"/>
      <c r="F45" s="148"/>
      <c r="G45" s="148"/>
      <c r="H45" s="148" t="s">
        <v>166</v>
      </c>
      <c r="I45" s="148"/>
      <c r="J45" s="148"/>
      <c r="K45" s="148"/>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9bKLKgZQTAuKpE77Zb/FWJvj2SG521ExRZri6N5z0pWkGDuXe4ZynHJ/+XH1qr1UXNGbik3SRicpIscr3hYIyg==" saltValue="5fFpKhFJW2o4eTQC+p4MhA==" spinCount="100000" sheet="1" formatColumns="0" formatRows="0"/>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113" priority="24">
      <formula>F14&gt;(MIN($E14:E14))</formula>
    </cfRule>
  </conditionalFormatting>
  <conditionalFormatting sqref="F13:I13">
    <cfRule type="expression" dxfId="112" priority="23">
      <formula>F13&lt;(MAX($E13:E13))</formula>
    </cfRule>
  </conditionalFormatting>
  <conditionalFormatting sqref="G17:J17">
    <cfRule type="expression" dxfId="111" priority="22">
      <formula>G17&lt;(MAX($F17:F17))</formula>
    </cfRule>
  </conditionalFormatting>
  <conditionalFormatting sqref="G18:J18">
    <cfRule type="expression" dxfId="110" priority="21">
      <formula>G18&gt;(MIN($F18:F18))</formula>
    </cfRule>
  </conditionalFormatting>
  <conditionalFormatting sqref="H22:K22">
    <cfRule type="expression" dxfId="109" priority="20">
      <formula>H22&gt;(MIN($G22:G22))</formula>
    </cfRule>
  </conditionalFormatting>
  <conditionalFormatting sqref="H21:K21">
    <cfRule type="expression" dxfId="108" priority="19">
      <formula>H21&lt;(MAX($G21:G21))</formula>
    </cfRule>
  </conditionalFormatting>
  <conditionalFormatting sqref="I26:L26">
    <cfRule type="expression" dxfId="107" priority="18">
      <formula>I26&gt;(MIN($H26:H26))</formula>
    </cfRule>
  </conditionalFormatting>
  <conditionalFormatting sqref="I25:L25">
    <cfRule type="expression" dxfId="106" priority="17">
      <formula>I25&lt;(MAX($H25:H25))</formula>
    </cfRule>
  </conditionalFormatting>
  <conditionalFormatting sqref="J30:L30">
    <cfRule type="expression" dxfId="105" priority="16">
      <formula>J30&gt;(MIN($I30:I30))</formula>
    </cfRule>
  </conditionalFormatting>
  <conditionalFormatting sqref="J29:L29">
    <cfRule type="expression" dxfId="104" priority="15">
      <formula>J29&lt;(MAX($I29:I29))</formula>
    </cfRule>
  </conditionalFormatting>
  <conditionalFormatting sqref="K34:L34">
    <cfRule type="expression" dxfId="103" priority="14">
      <formula>K34&gt;(MIN($J34:J34))</formula>
    </cfRule>
  </conditionalFormatting>
  <conditionalFormatting sqref="K33:L33">
    <cfRule type="expression" dxfId="102" priority="13">
      <formula>K33&lt;(MAX($J33:J33))</formula>
    </cfRule>
  </conditionalFormatting>
  <conditionalFormatting sqref="L38">
    <cfRule type="expression" dxfId="101" priority="12">
      <formula>L38&gt;(MIN($G38:K38))</formula>
    </cfRule>
  </conditionalFormatting>
  <conditionalFormatting sqref="L37">
    <cfRule type="expression" dxfId="100" priority="11">
      <formula>L37&lt;(MAX($K37:K37))</formula>
    </cfRule>
  </conditionalFormatting>
  <conditionalFormatting sqref="I15 J19 K23 L27">
    <cfRule type="expression" dxfId="99" priority="10">
      <formula>I15&lt;$H$8</formula>
    </cfRule>
  </conditionalFormatting>
  <conditionalFormatting sqref="M16:N19">
    <cfRule type="expression" dxfId="98" priority="4">
      <formula>$J$19&lt;$H$8</formula>
    </cfRule>
  </conditionalFormatting>
  <conditionalFormatting sqref="M20:N23">
    <cfRule type="expression" dxfId="97" priority="3">
      <formula>$K$23&lt;$H$8</formula>
    </cfRule>
  </conditionalFormatting>
  <conditionalFormatting sqref="M24:N27">
    <cfRule type="expression" dxfId="96" priority="2">
      <formula>$L$27&lt;$H$8</formula>
    </cfRule>
  </conditionalFormatting>
  <conditionalFormatting sqref="M12:N15">
    <cfRule type="expression" dxfId="95"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3" zoomScale="90" zoomScaleNormal="90" zoomScaleSheetLayoutView="75" zoomScalePageLayoutView="75" workbookViewId="0">
      <selection activeCell="J35" sqref="J35"/>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1" t="s">
        <v>126</v>
      </c>
    </row>
    <row r="2" spans="1:14" ht="24" customHeight="1" x14ac:dyDescent="0.2">
      <c r="A2" s="101" t="str">
        <f>'Circuit Criminal'!A2</f>
        <v>County Fiscal Year 2020-2021</v>
      </c>
    </row>
    <row r="3" spans="1:14" ht="24" customHeight="1" x14ac:dyDescent="0.2"/>
    <row r="4" spans="1:14" ht="24" customHeight="1" x14ac:dyDescent="0.2">
      <c r="A4" s="8"/>
      <c r="C4" s="32" t="s">
        <v>0</v>
      </c>
      <c r="D4" s="229" t="str">
        <f>'Circuit Criminal'!D4</f>
        <v>Brevard</v>
      </c>
      <c r="E4" s="229"/>
      <c r="F4" s="9"/>
      <c r="G4" s="32" t="s">
        <v>135</v>
      </c>
      <c r="H4" s="97" t="str">
        <f>'Circuit Criminal'!H4</f>
        <v>Qtr 2: Jan - Mar</v>
      </c>
      <c r="I4"/>
      <c r="K4" s="32" t="s">
        <v>1</v>
      </c>
      <c r="L4" s="79">
        <f>'Circuit Criminal'!L4</f>
        <v>1</v>
      </c>
      <c r="N4" s="208" t="str">
        <f>'Circuit Criminal'!N4</f>
        <v>CCOC Form Version 1
Created 10/01/2020</v>
      </c>
    </row>
    <row r="5" spans="1:14" ht="24" customHeight="1" thickBot="1" x14ac:dyDescent="0.25">
      <c r="A5" s="8"/>
      <c r="C5" s="32" t="s">
        <v>68</v>
      </c>
      <c r="D5" s="207" t="str">
        <f>'Circuit Criminal'!D5</f>
        <v>Andrea Butler</v>
      </c>
      <c r="E5" s="207"/>
      <c r="F5" s="9"/>
      <c r="N5" s="209"/>
    </row>
    <row r="6" spans="1:14" ht="24" customHeight="1" x14ac:dyDescent="0.2">
      <c r="A6" s="8"/>
      <c r="C6" s="32" t="s">
        <v>69</v>
      </c>
      <c r="D6" s="206" t="str">
        <f>'Circuit Criminal'!D6</f>
        <v>andrea.butler@brevardclerk.us</v>
      </c>
      <c r="E6" s="206"/>
      <c r="F6" s="9"/>
      <c r="J6" s="140" t="s">
        <v>161</v>
      </c>
      <c r="K6" s="141"/>
      <c r="L6" s="141"/>
      <c r="M6" s="141"/>
      <c r="N6" s="142"/>
    </row>
    <row r="7" spans="1:14" ht="24" customHeight="1" thickBot="1" x14ac:dyDescent="0.25">
      <c r="A7" s="8"/>
      <c r="J7" s="66" t="s">
        <v>157</v>
      </c>
      <c r="K7" s="143" t="s">
        <v>159</v>
      </c>
      <c r="L7" s="143"/>
      <c r="M7" s="143"/>
      <c r="N7" s="144"/>
    </row>
    <row r="8" spans="1:14" ht="24" customHeight="1" thickTop="1" thickBot="1" x14ac:dyDescent="0.25">
      <c r="A8" s="214" t="s">
        <v>136</v>
      </c>
      <c r="B8" s="214"/>
      <c r="C8" s="215"/>
      <c r="D8" s="29" t="str">
        <f ca="1">MID(CELL("filename",A1),FIND("]",CELL("filename",A1))+1,255)</f>
        <v>Circuit Civil</v>
      </c>
      <c r="E8" s="10"/>
      <c r="F8" s="214" t="s">
        <v>137</v>
      </c>
      <c r="G8" s="214"/>
      <c r="H8" s="98">
        <f ca="1">INDEX(LookupData!AA3:AA12,MATCH(D8,LookupData!Z3:Z12,0))</f>
        <v>0.9</v>
      </c>
      <c r="J8" s="63" t="s">
        <v>158</v>
      </c>
      <c r="K8" s="145" t="s">
        <v>160</v>
      </c>
      <c r="L8" s="145"/>
      <c r="M8" s="145"/>
      <c r="N8" s="146"/>
    </row>
    <row r="9" spans="1:14" ht="19.5" customHeight="1" thickTop="1" thickBot="1" x14ac:dyDescent="0.25">
      <c r="A9" s="8"/>
      <c r="D9" s="8"/>
      <c r="E9" s="8"/>
    </row>
    <row r="10" spans="1:14" ht="25.5" customHeight="1" thickBot="1" x14ac:dyDescent="0.25">
      <c r="D10" s="1"/>
      <c r="E10" s="1"/>
      <c r="F10" s="1"/>
      <c r="G10" s="1"/>
      <c r="H10" s="1"/>
      <c r="I10" s="1"/>
      <c r="J10" s="1"/>
      <c r="K10" s="1"/>
      <c r="L10" s="1"/>
      <c r="M10" s="216" t="s">
        <v>141</v>
      </c>
      <c r="N10" s="217"/>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61" t="s">
        <v>142</v>
      </c>
      <c r="N11" s="62" t="s">
        <v>143</v>
      </c>
    </row>
    <row r="12" spans="1:14" ht="19.5" customHeight="1" thickBot="1" x14ac:dyDescent="0.25">
      <c r="A12" s="198" t="str">
        <f>LookupData!W3</f>
        <v>CGE CQ1-21</v>
      </c>
      <c r="B12" s="199"/>
      <c r="C12" s="179" t="str">
        <f>LookupData!X3</f>
        <v>RPE 12/31/19</v>
      </c>
      <c r="D12" s="180"/>
      <c r="E12" s="39" t="s">
        <v>145</v>
      </c>
      <c r="F12" s="40" t="s">
        <v>146</v>
      </c>
      <c r="G12" s="40" t="s">
        <v>147</v>
      </c>
      <c r="H12" s="40" t="s">
        <v>148</v>
      </c>
      <c r="I12" s="41" t="s">
        <v>149</v>
      </c>
      <c r="J12" s="218"/>
      <c r="K12" s="218"/>
      <c r="L12" s="218"/>
      <c r="M12" s="210"/>
      <c r="N12" s="212"/>
    </row>
    <row r="13" spans="1:14" ht="19.5" customHeight="1" x14ac:dyDescent="0.2">
      <c r="A13" s="200"/>
      <c r="B13" s="201"/>
      <c r="C13" s="181" t="s">
        <v>150</v>
      </c>
      <c r="D13" s="182"/>
      <c r="E13" s="52">
        <f ca="1">SUMIFS(LookupData!I$3:I$2682,LookupData!$A$3:$A$2682,$D$4,LookupData!$B$3:$B$2682,$D$8,LookupData!$C$3:$C$2682,$A12)</f>
        <v>671123.59</v>
      </c>
      <c r="F13" s="53">
        <f ca="1">SUMIFS(LookupData!J$3:J$2682,LookupData!$A$3:$A$2682,$D$4,LookupData!$B$3:$B$2682,$D$8,LookupData!$C$3:$C$2682,$A12)</f>
        <v>731441.73</v>
      </c>
      <c r="G13" s="53">
        <f ca="1">SUMIFS(LookupData!K$3:K$2682,LookupData!$A$3:$A$2682,$D$4,LookupData!$B$3:$B$2682,$D$8,LookupData!$C$3:$C$2682,$A12)</f>
        <v>731443.66</v>
      </c>
      <c r="H13" s="53">
        <f ca="1">SUMIFS(LookupData!L$3:L$2682,LookupData!$A$3:$A$2682,$D$4,LookupData!$B$3:$B$2682,$D$8,LookupData!$C$3:$C$2682,$A12)</f>
        <v>731443.71</v>
      </c>
      <c r="I13" s="43">
        <v>731459.67</v>
      </c>
      <c r="J13" s="219"/>
      <c r="K13" s="219"/>
      <c r="L13" s="219"/>
      <c r="M13" s="211"/>
      <c r="N13" s="213"/>
    </row>
    <row r="14" spans="1:14" ht="19.5" customHeight="1" thickBot="1" x14ac:dyDescent="0.25">
      <c r="A14" s="200"/>
      <c r="B14" s="201"/>
      <c r="C14" s="181" t="s">
        <v>151</v>
      </c>
      <c r="D14" s="182"/>
      <c r="E14" s="54">
        <f ca="1">SUMIFS(LookupData!D$3:D$2682,LookupData!$A$3:$A$2682,$D$4,LookupData!$B$3:$B$2682,$D$8,LookupData!$C$3:$C$2682,$A12)</f>
        <v>738344.55</v>
      </c>
      <c r="F14" s="55">
        <f ca="1">SUMIFS(LookupData!E$3:E$2682,LookupData!$A$3:$A$2682,$D$4,LookupData!$B$3:$B$2682,$D$8,LookupData!$C$3:$C$2682,$A12)</f>
        <v>738259.55</v>
      </c>
      <c r="G14" s="55">
        <f ca="1">SUMIFS(LookupData!F$3:F$2682,LookupData!$A$3:$A$2682,$D$4,LookupData!$B$3:$B$2682,$D$8,LookupData!$C$3:$C$2682,$A12)</f>
        <v>738259.55</v>
      </c>
      <c r="H14" s="55">
        <f ca="1">SUMIFS(LookupData!G$3:G$2682,LookupData!$A$3:$A$2682,$D$4,LookupData!$B$3:$B$2682,$D$8,LookupData!$C$3:$C$2682,$A12)</f>
        <v>738259.55</v>
      </c>
      <c r="I14" s="44">
        <v>738259.55</v>
      </c>
      <c r="J14" s="219"/>
      <c r="K14" s="219"/>
      <c r="L14" s="219"/>
      <c r="M14" s="211"/>
      <c r="N14" s="213"/>
    </row>
    <row r="15" spans="1:14" ht="19.5" customHeight="1" thickTop="1" thickBot="1" x14ac:dyDescent="0.25">
      <c r="A15" s="202"/>
      <c r="B15" s="203"/>
      <c r="C15" s="181" t="s">
        <v>152</v>
      </c>
      <c r="D15" s="182"/>
      <c r="E15" s="71">
        <f ca="1">IFERROR(IF(E14=0,1,ROUND(E13/E14,4)),0)</f>
        <v>0.90900000000000003</v>
      </c>
      <c r="F15" s="77">
        <f t="shared" ref="F15:H15" ca="1" si="0">IFERROR(IF(F14=0,1,ROUND(F13/F14,4)),0)</f>
        <v>0.99080000000000001</v>
      </c>
      <c r="G15" s="77">
        <f t="shared" ca="1" si="0"/>
        <v>0.99080000000000001</v>
      </c>
      <c r="H15" s="77">
        <f t="shared" ca="1" si="0"/>
        <v>0.99080000000000001</v>
      </c>
      <c r="I15" s="78">
        <f t="shared" ref="I15" si="1">IFERROR(IF(I14=0,1,ROUND(I13/I14,4)),0)</f>
        <v>0.99080000000000001</v>
      </c>
      <c r="J15" s="219"/>
      <c r="K15" s="219"/>
      <c r="L15" s="219"/>
      <c r="M15" s="211"/>
      <c r="N15" s="213"/>
    </row>
    <row r="16" spans="1:14" ht="20.25" customHeight="1" thickBot="1" x14ac:dyDescent="0.25">
      <c r="A16" s="173" t="str">
        <f>LookupData!W4</f>
        <v>CGE CQ2-21</v>
      </c>
      <c r="B16" s="174"/>
      <c r="C16" s="179" t="str">
        <f>LookupData!X4</f>
        <v>RPE 03/31/20</v>
      </c>
      <c r="D16" s="180"/>
      <c r="E16" s="185"/>
      <c r="F16" s="39" t="s">
        <v>145</v>
      </c>
      <c r="G16" s="40" t="s">
        <v>146</v>
      </c>
      <c r="H16" s="40" t="s">
        <v>147</v>
      </c>
      <c r="I16" s="40" t="s">
        <v>148</v>
      </c>
      <c r="J16" s="41" t="s">
        <v>149</v>
      </c>
      <c r="K16" s="189"/>
      <c r="L16" s="191"/>
      <c r="M16" s="167"/>
      <c r="N16" s="168"/>
    </row>
    <row r="17" spans="1:16" ht="20.25" customHeight="1" x14ac:dyDescent="0.2">
      <c r="A17" s="175"/>
      <c r="B17" s="176"/>
      <c r="C17" s="181" t="s">
        <v>150</v>
      </c>
      <c r="D17" s="182"/>
      <c r="E17" s="186"/>
      <c r="F17" s="52">
        <f ca="1">SUMIFS(LookupData!I$3:I$2682,LookupData!$A$3:$A$2682,$D$4,LookupData!$B$3:$B$2682,$D$8,LookupData!$C$3:$C$2682,$A16)</f>
        <v>658796.32999999996</v>
      </c>
      <c r="G17" s="53">
        <f ca="1">SUMIFS(LookupData!J$3:J$2682,LookupData!$A$3:$A$2682,$D$4,LookupData!$B$3:$B$2682,$D$8,LookupData!$C$3:$C$2682,$A16)</f>
        <v>672461.84</v>
      </c>
      <c r="H17" s="53">
        <f ca="1">SUMIFS(LookupData!K$3:K$2682,LookupData!$A$3:$A$2682,$D$4,LookupData!$B$3:$B$2682,$D$8,LookupData!$C$3:$C$2682,$A16)</f>
        <v>673263.92</v>
      </c>
      <c r="I17" s="30">
        <v>673306.64</v>
      </c>
      <c r="J17" s="43">
        <v>672492.29</v>
      </c>
      <c r="K17" s="192"/>
      <c r="L17" s="194"/>
      <c r="M17" s="167"/>
      <c r="N17" s="168"/>
    </row>
    <row r="18" spans="1:16" ht="20.25" customHeight="1" thickBot="1" x14ac:dyDescent="0.25">
      <c r="A18" s="175"/>
      <c r="B18" s="176"/>
      <c r="C18" s="181" t="s">
        <v>151</v>
      </c>
      <c r="D18" s="182"/>
      <c r="E18" s="186"/>
      <c r="F18" s="54">
        <f ca="1">SUMIFS(LookupData!D$3:D$2682,LookupData!$A$3:$A$2682,$D$4,LookupData!$B$3:$B$2682,$D$8,LookupData!$C$3:$C$2682,$A16)</f>
        <v>683096</v>
      </c>
      <c r="G18" s="55">
        <f ca="1">SUMIFS(LookupData!E$3:E$2682,LookupData!$A$3:$A$2682,$D$4,LookupData!$B$3:$B$2682,$D$8,LookupData!$C$3:$C$2682,$A16)</f>
        <v>683096</v>
      </c>
      <c r="H18" s="55">
        <f ca="1">SUMIFS(LookupData!F$3:F$2682,LookupData!$A$3:$A$2682,$D$4,LookupData!$B$3:$B$2682,$D$8,LookupData!$C$3:$C$2682,$A16)</f>
        <v>683046</v>
      </c>
      <c r="I18" s="38">
        <v>683046</v>
      </c>
      <c r="J18" s="44">
        <v>682244</v>
      </c>
      <c r="K18" s="192"/>
      <c r="L18" s="194"/>
      <c r="M18" s="167"/>
      <c r="N18" s="168"/>
    </row>
    <row r="19" spans="1:16" ht="20.25" customHeight="1" thickTop="1" thickBot="1" x14ac:dyDescent="0.25">
      <c r="A19" s="177"/>
      <c r="B19" s="178"/>
      <c r="C19" s="183" t="s">
        <v>152</v>
      </c>
      <c r="D19" s="184"/>
      <c r="E19" s="187"/>
      <c r="F19" s="73">
        <f ca="1">IFERROR(IF(F18=0,1,ROUND(F17/F18,4)),0)</f>
        <v>0.96440000000000003</v>
      </c>
      <c r="G19" s="75">
        <f t="shared" ref="G19:H19" ca="1" si="2">IFERROR(IF(G18=0,1,ROUND(G17/G18,4)),0)</f>
        <v>0.98440000000000005</v>
      </c>
      <c r="H19" s="75">
        <f t="shared" ca="1" si="2"/>
        <v>0.98570000000000002</v>
      </c>
      <c r="I19" s="75">
        <f t="shared" ref="I19:J19" si="3">IFERROR(IF(I18=0,1,ROUND(I17/I18,4)),0)</f>
        <v>0.98570000000000002</v>
      </c>
      <c r="J19" s="76">
        <f t="shared" si="3"/>
        <v>0.98570000000000002</v>
      </c>
      <c r="K19" s="195"/>
      <c r="L19" s="197"/>
      <c r="M19" s="167"/>
      <c r="N19" s="168"/>
    </row>
    <row r="20" spans="1:16" ht="20.25" customHeight="1" thickBot="1" x14ac:dyDescent="0.25">
      <c r="A20" s="198" t="str">
        <f>LookupData!W5</f>
        <v>CGE CQ3-21</v>
      </c>
      <c r="B20" s="199"/>
      <c r="C20" s="204" t="str">
        <f>LookupData!X5</f>
        <v>RPE 06/30/20</v>
      </c>
      <c r="D20" s="205"/>
      <c r="E20" s="163"/>
      <c r="F20" s="188"/>
      <c r="G20" s="50" t="s">
        <v>145</v>
      </c>
      <c r="H20" s="36" t="s">
        <v>146</v>
      </c>
      <c r="I20" s="36" t="s">
        <v>147</v>
      </c>
      <c r="J20" s="36" t="s">
        <v>148</v>
      </c>
      <c r="K20" s="51" t="s">
        <v>149</v>
      </c>
      <c r="L20" s="192"/>
      <c r="M20" s="167"/>
      <c r="N20" s="168"/>
    </row>
    <row r="21" spans="1:16" ht="20.25" customHeight="1" x14ac:dyDescent="0.2">
      <c r="A21" s="200"/>
      <c r="B21" s="201"/>
      <c r="C21" s="181" t="s">
        <v>150</v>
      </c>
      <c r="D21" s="182"/>
      <c r="E21" s="163"/>
      <c r="F21" s="188"/>
      <c r="G21" s="52">
        <f ca="1">SUMIFS(LookupData!I$3:I$2682,LookupData!$A$3:$A$2682,$D$4,LookupData!$B$3:$B$2682,$D$8,LookupData!$C$3:$C$2682,$A20)</f>
        <v>418295.79</v>
      </c>
      <c r="H21" s="53">
        <f ca="1">SUMIFS(LookupData!J$3:J$2682,LookupData!$A$3:$A$2682,$D$4,LookupData!$B$3:$B$2682,$D$8,LookupData!$C$3:$C$2682,$A20)</f>
        <v>427180.88</v>
      </c>
      <c r="I21" s="30">
        <v>427180.88</v>
      </c>
      <c r="J21" s="30">
        <v>426784.88</v>
      </c>
      <c r="K21" s="43"/>
      <c r="L21" s="192"/>
      <c r="M21" s="167"/>
      <c r="N21" s="168"/>
    </row>
    <row r="22" spans="1:16" ht="20.25" customHeight="1" thickBot="1" x14ac:dyDescent="0.25">
      <c r="A22" s="200"/>
      <c r="B22" s="201"/>
      <c r="C22" s="181" t="s">
        <v>151</v>
      </c>
      <c r="D22" s="182"/>
      <c r="E22" s="163"/>
      <c r="F22" s="188"/>
      <c r="G22" s="54">
        <f ca="1">SUMIFS(LookupData!D$3:D$2682,LookupData!$A$3:$A$2682,$D$4,LookupData!$B$3:$B$2682,$D$8,LookupData!$C$3:$C$2682,$A20)</f>
        <v>431648.85</v>
      </c>
      <c r="H22" s="55">
        <f ca="1">SUMIFS(LookupData!E$3:E$2682,LookupData!$A$3:$A$2682,$D$4,LookupData!$B$3:$B$2682,$D$8,LookupData!$C$3:$C$2682,$A20)</f>
        <v>431233.85</v>
      </c>
      <c r="I22" s="38">
        <v>431233.85</v>
      </c>
      <c r="J22" s="38">
        <v>430822.85</v>
      </c>
      <c r="K22" s="44"/>
      <c r="L22" s="192"/>
      <c r="M22" s="167"/>
      <c r="N22" s="168"/>
    </row>
    <row r="23" spans="1:16" ht="20.25" customHeight="1" thickTop="1" thickBot="1" x14ac:dyDescent="0.25">
      <c r="A23" s="202"/>
      <c r="B23" s="203"/>
      <c r="C23" s="181" t="s">
        <v>152</v>
      </c>
      <c r="D23" s="182"/>
      <c r="E23" s="163"/>
      <c r="F23" s="188"/>
      <c r="G23" s="71">
        <f t="shared" ref="G23:H23" ca="1" si="4">IFERROR(IF(G22=0,1,ROUND(G21/G22,4)),0)</f>
        <v>0.96909999999999996</v>
      </c>
      <c r="H23" s="77">
        <f t="shared" ca="1" si="4"/>
        <v>0.99060000000000004</v>
      </c>
      <c r="I23" s="77">
        <f t="shared" ref="I23:K23" si="5">IFERROR(IF(I22=0,1,ROUND(I21/I22,4)),0)</f>
        <v>0.99060000000000004</v>
      </c>
      <c r="J23" s="77">
        <f t="shared" si="5"/>
        <v>0.99060000000000004</v>
      </c>
      <c r="K23" s="78">
        <f t="shared" si="5"/>
        <v>1</v>
      </c>
      <c r="L23" s="192"/>
      <c r="M23" s="167"/>
      <c r="N23" s="168"/>
      <c r="O23"/>
      <c r="P23"/>
    </row>
    <row r="24" spans="1:16" ht="20.25" customHeight="1" thickBot="1" x14ac:dyDescent="0.25">
      <c r="A24" s="173" t="str">
        <f>LookupData!W6</f>
        <v>CGE CQ4-21</v>
      </c>
      <c r="B24" s="174"/>
      <c r="C24" s="179" t="str">
        <f>LookupData!X6</f>
        <v>RPE 09/30/20</v>
      </c>
      <c r="D24" s="180"/>
      <c r="E24" s="189"/>
      <c r="F24" s="190"/>
      <c r="G24" s="191"/>
      <c r="H24" s="39" t="s">
        <v>145</v>
      </c>
      <c r="I24" s="40" t="s">
        <v>146</v>
      </c>
      <c r="J24" s="40" t="s">
        <v>147</v>
      </c>
      <c r="K24" s="40" t="s">
        <v>148</v>
      </c>
      <c r="L24" s="41" t="s">
        <v>149</v>
      </c>
      <c r="M24" s="169"/>
      <c r="N24" s="171"/>
      <c r="O24"/>
      <c r="P24"/>
    </row>
    <row r="25" spans="1:16" ht="20.25" customHeight="1" x14ac:dyDescent="0.2">
      <c r="A25" s="175"/>
      <c r="B25" s="176"/>
      <c r="C25" s="181" t="s">
        <v>150</v>
      </c>
      <c r="D25" s="182"/>
      <c r="E25" s="192"/>
      <c r="F25" s="193"/>
      <c r="G25" s="194"/>
      <c r="H25" s="52">
        <f ca="1">SUMIFS(LookupData!I$3:I$2682,LookupData!$A$3:$A$2682,$D$4,LookupData!$B$3:$B$2682,$D$8,LookupData!$C$3:$C$2682,$A24)</f>
        <v>472214.19</v>
      </c>
      <c r="I25" s="30">
        <v>494778.47</v>
      </c>
      <c r="J25" s="30">
        <v>495266.23</v>
      </c>
      <c r="K25" s="30"/>
      <c r="L25" s="43"/>
      <c r="M25" s="169"/>
      <c r="N25" s="171"/>
      <c r="O25"/>
      <c r="P25"/>
    </row>
    <row r="26" spans="1:16" ht="20.25" customHeight="1" thickBot="1" x14ac:dyDescent="0.25">
      <c r="A26" s="175"/>
      <c r="B26" s="176"/>
      <c r="C26" s="181" t="s">
        <v>151</v>
      </c>
      <c r="D26" s="182"/>
      <c r="E26" s="192"/>
      <c r="F26" s="193"/>
      <c r="G26" s="194"/>
      <c r="H26" s="54">
        <f ca="1">SUMIFS(LookupData!D$3:D$2682,LookupData!$A$3:$A$2682,$D$4,LookupData!$B$3:$B$2682,$D$8,LookupData!$C$3:$C$2682,$A24)</f>
        <v>501100.31</v>
      </c>
      <c r="I26" s="38">
        <v>501100.31</v>
      </c>
      <c r="J26" s="38">
        <v>501100.31</v>
      </c>
      <c r="K26" s="38"/>
      <c r="L26" s="44"/>
      <c r="M26" s="169"/>
      <c r="N26" s="171"/>
      <c r="O26"/>
      <c r="P26"/>
    </row>
    <row r="27" spans="1:16" ht="20.25" customHeight="1" thickTop="1" thickBot="1" x14ac:dyDescent="0.25">
      <c r="A27" s="177"/>
      <c r="B27" s="178"/>
      <c r="C27" s="183" t="s">
        <v>152</v>
      </c>
      <c r="D27" s="184"/>
      <c r="E27" s="195"/>
      <c r="F27" s="196"/>
      <c r="G27" s="197"/>
      <c r="H27" s="73">
        <f t="shared" ref="H27" ca="1" si="6">IFERROR(IF(H26=0,1,ROUND(H25/H26,4)),0)</f>
        <v>0.94240000000000002</v>
      </c>
      <c r="I27" s="75">
        <f t="shared" ref="I27:L27" si="7">IFERROR(IF(I26=0,1,ROUND(I25/I26,4)),0)</f>
        <v>0.98740000000000006</v>
      </c>
      <c r="J27" s="75">
        <f t="shared" si="7"/>
        <v>0.98839999999999995</v>
      </c>
      <c r="K27" s="75">
        <f t="shared" si="7"/>
        <v>1</v>
      </c>
      <c r="L27" s="76">
        <f t="shared" si="7"/>
        <v>1</v>
      </c>
      <c r="M27" s="170"/>
      <c r="N27" s="172"/>
      <c r="O27"/>
      <c r="P27"/>
    </row>
    <row r="28" spans="1:16" ht="20.25" customHeight="1" thickBot="1" x14ac:dyDescent="0.25">
      <c r="A28" s="198" t="str">
        <f>LookupData!W7</f>
        <v>CGE CQ1-22</v>
      </c>
      <c r="B28" s="199"/>
      <c r="C28" s="179" t="str">
        <f>LookupData!X7</f>
        <v>RPE 12/31/20</v>
      </c>
      <c r="D28" s="180"/>
      <c r="E28" s="189"/>
      <c r="F28" s="190"/>
      <c r="G28" s="190"/>
      <c r="H28" s="191"/>
      <c r="I28" s="39" t="s">
        <v>145</v>
      </c>
      <c r="J28" s="40" t="s">
        <v>146</v>
      </c>
      <c r="K28" s="40" t="s">
        <v>147</v>
      </c>
      <c r="L28" s="41" t="s">
        <v>148</v>
      </c>
      <c r="M28" s="161"/>
      <c r="N28" s="162"/>
      <c r="O28"/>
      <c r="P28"/>
    </row>
    <row r="29" spans="1:16" ht="20.25" customHeight="1" x14ac:dyDescent="0.2">
      <c r="A29" s="200"/>
      <c r="B29" s="201"/>
      <c r="C29" s="181" t="s">
        <v>150</v>
      </c>
      <c r="D29" s="182"/>
      <c r="E29" s="192"/>
      <c r="F29" s="193"/>
      <c r="G29" s="193"/>
      <c r="H29" s="194"/>
      <c r="I29" s="42">
        <v>445623.99</v>
      </c>
      <c r="J29" s="30">
        <v>488286.96</v>
      </c>
      <c r="K29" s="30"/>
      <c r="L29" s="43"/>
      <c r="M29" s="163"/>
      <c r="N29" s="164"/>
      <c r="O29"/>
      <c r="P29"/>
    </row>
    <row r="30" spans="1:16" ht="20.25" customHeight="1" thickBot="1" x14ac:dyDescent="0.25">
      <c r="A30" s="200"/>
      <c r="B30" s="201"/>
      <c r="C30" s="181" t="s">
        <v>151</v>
      </c>
      <c r="D30" s="182"/>
      <c r="E30" s="192"/>
      <c r="F30" s="193"/>
      <c r="G30" s="193"/>
      <c r="H30" s="194"/>
      <c r="I30" s="37">
        <v>492889.8</v>
      </c>
      <c r="J30" s="38">
        <v>492879.8</v>
      </c>
      <c r="K30" s="38"/>
      <c r="L30" s="44"/>
      <c r="M30" s="165"/>
      <c r="N30" s="166"/>
      <c r="O30"/>
      <c r="P30"/>
    </row>
    <row r="31" spans="1:16" ht="20.25" customHeight="1" thickTop="1" thickBot="1" x14ac:dyDescent="0.25">
      <c r="A31" s="202"/>
      <c r="B31" s="203"/>
      <c r="C31" s="183" t="s">
        <v>152</v>
      </c>
      <c r="D31" s="184"/>
      <c r="E31" s="195"/>
      <c r="F31" s="196"/>
      <c r="G31" s="196"/>
      <c r="H31" s="197"/>
      <c r="I31" s="73">
        <f t="shared" ref="I31:L31" si="8">IFERROR(IF(I30=0,1,ROUND(I29/I30,4)),0)</f>
        <v>0.90410000000000001</v>
      </c>
      <c r="J31" s="75">
        <f t="shared" si="8"/>
        <v>0.99070000000000003</v>
      </c>
      <c r="K31" s="75">
        <f t="shared" si="8"/>
        <v>1</v>
      </c>
      <c r="L31" s="74">
        <f t="shared" si="8"/>
        <v>1</v>
      </c>
      <c r="M31" s="138" t="s">
        <v>153</v>
      </c>
      <c r="N31" s="139"/>
      <c r="O31"/>
      <c r="P31"/>
    </row>
    <row r="32" spans="1:16" ht="20.25" customHeight="1" thickBot="1" x14ac:dyDescent="0.25">
      <c r="A32" s="173" t="str">
        <f>LookupData!W8</f>
        <v>CGE CQ2-22</v>
      </c>
      <c r="B32" s="174"/>
      <c r="C32" s="179" t="str">
        <f>LookupData!X8</f>
        <v>RPE 03/31/21</v>
      </c>
      <c r="D32" s="180"/>
      <c r="E32" s="189"/>
      <c r="F32" s="190"/>
      <c r="G32" s="190"/>
      <c r="H32" s="190"/>
      <c r="I32" s="191"/>
      <c r="J32" s="39" t="s">
        <v>145</v>
      </c>
      <c r="K32" s="40" t="s">
        <v>146</v>
      </c>
      <c r="L32" s="40" t="s">
        <v>147</v>
      </c>
      <c r="M32" s="149" t="str">
        <f>LookupData!Y7</f>
        <v>10/01/20 - 12/31/20</v>
      </c>
      <c r="N32" s="150"/>
      <c r="O32"/>
      <c r="P32"/>
    </row>
    <row r="33" spans="1:16" ht="20.25" customHeight="1" x14ac:dyDescent="0.2">
      <c r="A33" s="175"/>
      <c r="B33" s="176"/>
      <c r="C33" s="181" t="s">
        <v>150</v>
      </c>
      <c r="D33" s="182"/>
      <c r="E33" s="192"/>
      <c r="F33" s="193"/>
      <c r="G33" s="193"/>
      <c r="H33" s="193"/>
      <c r="I33" s="194"/>
      <c r="J33" s="42">
        <v>477429.52</v>
      </c>
      <c r="K33" s="30"/>
      <c r="L33" s="48"/>
      <c r="M33" s="153"/>
      <c r="N33" s="154"/>
      <c r="O33"/>
      <c r="P33"/>
    </row>
    <row r="34" spans="1:16" ht="20.25" customHeight="1" thickBot="1" x14ac:dyDescent="0.25">
      <c r="A34" s="175"/>
      <c r="B34" s="176"/>
      <c r="C34" s="181" t="s">
        <v>151</v>
      </c>
      <c r="D34" s="182"/>
      <c r="E34" s="192"/>
      <c r="F34" s="193"/>
      <c r="G34" s="193"/>
      <c r="H34" s="193"/>
      <c r="I34" s="194"/>
      <c r="J34" s="37">
        <v>525588.06999999995</v>
      </c>
      <c r="K34" s="38"/>
      <c r="L34" s="49"/>
      <c r="M34" s="155"/>
      <c r="N34" s="156"/>
      <c r="O34"/>
      <c r="P34"/>
    </row>
    <row r="35" spans="1:16" ht="20.25" customHeight="1" thickTop="1" thickBot="1" x14ac:dyDescent="0.25">
      <c r="A35" s="177"/>
      <c r="B35" s="178"/>
      <c r="C35" s="183" t="s">
        <v>152</v>
      </c>
      <c r="D35" s="184"/>
      <c r="E35" s="195"/>
      <c r="F35" s="196"/>
      <c r="G35" s="196"/>
      <c r="H35" s="196"/>
      <c r="I35" s="197"/>
      <c r="J35" s="73">
        <f t="shared" ref="J35:L35" si="9">IFERROR(IF(J34=0,1,ROUND(J33/J34,4)),0)</f>
        <v>0.90839999999999999</v>
      </c>
      <c r="K35" s="75">
        <f t="shared" si="9"/>
        <v>1</v>
      </c>
      <c r="L35" s="74">
        <f t="shared" si="9"/>
        <v>1</v>
      </c>
      <c r="M35" s="151" t="str">
        <f>LookupData!Y8</f>
        <v>01/01/21 - 03/31/21</v>
      </c>
      <c r="N35" s="152"/>
      <c r="O35"/>
      <c r="P35"/>
    </row>
    <row r="36" spans="1:16" ht="20.25" customHeight="1" thickBot="1" x14ac:dyDescent="0.25">
      <c r="A36" s="198" t="str">
        <f>LookupData!W9</f>
        <v>CGE CQ3-22</v>
      </c>
      <c r="B36" s="199"/>
      <c r="C36" s="179" t="str">
        <f>LookupData!X9</f>
        <v>RPE 06/30/21</v>
      </c>
      <c r="D36" s="180"/>
      <c r="E36" s="189"/>
      <c r="F36" s="190"/>
      <c r="G36" s="190"/>
      <c r="H36" s="190"/>
      <c r="I36" s="190"/>
      <c r="J36" s="191"/>
      <c r="K36" s="39" t="s">
        <v>145</v>
      </c>
      <c r="L36" s="40" t="s">
        <v>146</v>
      </c>
      <c r="M36" s="157"/>
      <c r="N36" s="158"/>
      <c r="O36"/>
      <c r="P36"/>
    </row>
    <row r="37" spans="1:16" ht="20.25" customHeight="1" thickBot="1" x14ac:dyDescent="0.25">
      <c r="A37" s="200"/>
      <c r="B37" s="201"/>
      <c r="C37" s="181" t="s">
        <v>150</v>
      </c>
      <c r="D37" s="182"/>
      <c r="E37" s="192"/>
      <c r="F37" s="193"/>
      <c r="G37" s="193"/>
      <c r="H37" s="193"/>
      <c r="I37" s="193"/>
      <c r="J37" s="194"/>
      <c r="K37" s="42"/>
      <c r="L37" s="30"/>
      <c r="M37" s="159"/>
      <c r="N37" s="160"/>
      <c r="O37"/>
      <c r="P37"/>
    </row>
    <row r="38" spans="1:16" ht="20.25" customHeight="1" thickBot="1" x14ac:dyDescent="0.25">
      <c r="A38" s="200"/>
      <c r="B38" s="201"/>
      <c r="C38" s="181" t="s">
        <v>151</v>
      </c>
      <c r="D38" s="182"/>
      <c r="E38" s="192"/>
      <c r="F38" s="193"/>
      <c r="G38" s="193"/>
      <c r="H38" s="193"/>
      <c r="I38" s="193"/>
      <c r="J38" s="194"/>
      <c r="K38" s="37"/>
      <c r="L38" s="38"/>
      <c r="M38" s="151" t="str">
        <f>LookupData!Y9</f>
        <v>04/01/21 - 06/30/21</v>
      </c>
      <c r="N38" s="152"/>
      <c r="O38"/>
      <c r="P38"/>
    </row>
    <row r="39" spans="1:16" ht="20.25" customHeight="1" thickTop="1" thickBot="1" x14ac:dyDescent="0.25">
      <c r="A39" s="202"/>
      <c r="B39" s="203"/>
      <c r="C39" s="183" t="s">
        <v>152</v>
      </c>
      <c r="D39" s="184"/>
      <c r="E39" s="195"/>
      <c r="F39" s="196"/>
      <c r="G39" s="196"/>
      <c r="H39" s="196"/>
      <c r="I39" s="196"/>
      <c r="J39" s="197"/>
      <c r="K39" s="73">
        <f t="shared" ref="K39:L39" si="10">IFERROR(IF(K38=0,1,ROUND(K37/K38,4)),0)</f>
        <v>1</v>
      </c>
      <c r="L39" s="74">
        <f t="shared" si="10"/>
        <v>1</v>
      </c>
      <c r="M39" s="157"/>
      <c r="N39" s="158"/>
      <c r="O39"/>
      <c r="P39"/>
    </row>
    <row r="40" spans="1:16" ht="20.25" customHeight="1" thickBot="1" x14ac:dyDescent="0.25">
      <c r="A40" s="173" t="str">
        <f>LookupData!W10</f>
        <v>CGE CQ4-22</v>
      </c>
      <c r="B40" s="174"/>
      <c r="C40" s="179" t="str">
        <f>LookupData!X10</f>
        <v>RPE 09/30/21</v>
      </c>
      <c r="D40" s="180"/>
      <c r="E40" s="189"/>
      <c r="F40" s="190"/>
      <c r="G40" s="190"/>
      <c r="H40" s="190"/>
      <c r="I40" s="190"/>
      <c r="J40" s="190"/>
      <c r="K40" s="191"/>
      <c r="L40" s="39" t="s">
        <v>145</v>
      </c>
      <c r="M40" s="159"/>
      <c r="N40" s="160"/>
      <c r="O40"/>
      <c r="P40"/>
    </row>
    <row r="41" spans="1:16" ht="20.25" customHeight="1" x14ac:dyDescent="0.2">
      <c r="A41" s="175"/>
      <c r="B41" s="176"/>
      <c r="C41" s="181" t="s">
        <v>150</v>
      </c>
      <c r="D41" s="182"/>
      <c r="E41" s="192"/>
      <c r="F41" s="193"/>
      <c r="G41" s="193"/>
      <c r="H41" s="193"/>
      <c r="I41" s="193"/>
      <c r="J41" s="193"/>
      <c r="K41" s="194"/>
      <c r="L41" s="59"/>
      <c r="M41" s="151" t="str">
        <f>LookupData!Y10</f>
        <v>07/01/21 - 09/30/21</v>
      </c>
      <c r="N41" s="152"/>
      <c r="O41"/>
      <c r="P41"/>
    </row>
    <row r="42" spans="1:16" ht="20.25" customHeight="1" thickBot="1" x14ac:dyDescent="0.25">
      <c r="A42" s="175"/>
      <c r="B42" s="176"/>
      <c r="C42" s="181" t="s">
        <v>151</v>
      </c>
      <c r="D42" s="182"/>
      <c r="E42" s="192"/>
      <c r="F42" s="193"/>
      <c r="G42" s="193"/>
      <c r="H42" s="193"/>
      <c r="I42" s="193"/>
      <c r="J42" s="193"/>
      <c r="K42" s="194"/>
      <c r="L42" s="60"/>
      <c r="M42" s="157"/>
      <c r="N42" s="158"/>
      <c r="O42"/>
      <c r="P42"/>
    </row>
    <row r="43" spans="1:16" ht="20.25" customHeight="1" thickTop="1" thickBot="1" x14ac:dyDescent="0.25">
      <c r="A43" s="177"/>
      <c r="B43" s="178"/>
      <c r="C43" s="183" t="s">
        <v>152</v>
      </c>
      <c r="D43" s="184"/>
      <c r="E43" s="195"/>
      <c r="F43" s="196"/>
      <c r="G43" s="196"/>
      <c r="H43" s="196"/>
      <c r="I43" s="196"/>
      <c r="J43" s="196"/>
      <c r="K43" s="197"/>
      <c r="L43" s="72">
        <f>IFERROR(IF(L42=0,1,ROUND(L41/L42,4)),0)</f>
        <v>1</v>
      </c>
      <c r="M43" s="159"/>
      <c r="N43" s="160"/>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48" t="s">
        <v>169</v>
      </c>
      <c r="E45" s="148"/>
      <c r="F45" s="148"/>
      <c r="G45" s="148"/>
      <c r="H45" s="148" t="s">
        <v>166</v>
      </c>
      <c r="I45" s="148"/>
      <c r="J45" s="148"/>
      <c r="K45" s="148"/>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aJdn/13Tihjd1xkN+yn17auX5rSkXMa+3FkRdKlq6n9iY7jDSIdJqB6iiqfls3xVxikrbtg3ST6KHCxizeK+lw==" saltValue="zUrG92oBNbt+UWXeTHxyBw==" spinCount="100000" sheet="1" formatColumns="0" formatRows="0"/>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94" priority="24">
      <formula>F14&gt;(MIN($E14:E14))</formula>
    </cfRule>
  </conditionalFormatting>
  <conditionalFormatting sqref="F13:I13">
    <cfRule type="expression" dxfId="93" priority="23">
      <formula>F13&lt;(MAX($E13:E13))</formula>
    </cfRule>
  </conditionalFormatting>
  <conditionalFormatting sqref="G17:J17">
    <cfRule type="expression" dxfId="92" priority="22">
      <formula>G17&lt;(MAX($F17:F17))</formula>
    </cfRule>
  </conditionalFormatting>
  <conditionalFormatting sqref="G18:J18">
    <cfRule type="expression" dxfId="91" priority="21">
      <formula>G18&gt;(MIN($F18:F18))</formula>
    </cfRule>
  </conditionalFormatting>
  <conditionalFormatting sqref="H22:K22">
    <cfRule type="expression" dxfId="90" priority="20">
      <formula>H22&gt;(MIN($G22:G22))</formula>
    </cfRule>
  </conditionalFormatting>
  <conditionalFormatting sqref="H21:K21">
    <cfRule type="expression" dxfId="89" priority="19">
      <formula>H21&lt;(MAX($G21:G21))</formula>
    </cfRule>
  </conditionalFormatting>
  <conditionalFormatting sqref="I26:L26">
    <cfRule type="expression" dxfId="88" priority="18">
      <formula>I26&gt;(MIN($H26:H26))</formula>
    </cfRule>
  </conditionalFormatting>
  <conditionalFormatting sqref="I25:L25">
    <cfRule type="expression" dxfId="87" priority="17">
      <formula>I25&lt;(MAX($H25:H25))</formula>
    </cfRule>
  </conditionalFormatting>
  <conditionalFormatting sqref="J30:L30">
    <cfRule type="expression" dxfId="86" priority="16">
      <formula>J30&gt;(MIN($I30:I30))</formula>
    </cfRule>
  </conditionalFormatting>
  <conditionalFormatting sqref="J29:L29">
    <cfRule type="expression" dxfId="85" priority="15">
      <formula>J29&lt;(MAX($I29:I29))</formula>
    </cfRule>
  </conditionalFormatting>
  <conditionalFormatting sqref="K34:L34">
    <cfRule type="expression" dxfId="84" priority="14">
      <formula>K34&gt;(MIN($J34:J34))</formula>
    </cfRule>
  </conditionalFormatting>
  <conditionalFormatting sqref="K33:L33">
    <cfRule type="expression" dxfId="83" priority="13">
      <formula>K33&lt;(MAX($J33:J33))</formula>
    </cfRule>
  </conditionalFormatting>
  <conditionalFormatting sqref="L38">
    <cfRule type="expression" dxfId="82" priority="12">
      <formula>L38&gt;(MIN($G38:K38))</formula>
    </cfRule>
  </conditionalFormatting>
  <conditionalFormatting sqref="L37">
    <cfRule type="expression" dxfId="81" priority="11">
      <formula>L37&lt;(MAX($K37:K37))</formula>
    </cfRule>
  </conditionalFormatting>
  <conditionalFormatting sqref="I15 J19 K23 L27">
    <cfRule type="expression" dxfId="80" priority="10">
      <formula>I15&lt;$H$8</formula>
    </cfRule>
  </conditionalFormatting>
  <conditionalFormatting sqref="M16:N19">
    <cfRule type="expression" dxfId="79" priority="4">
      <formula>$J$19&lt;$H$8</formula>
    </cfRule>
  </conditionalFormatting>
  <conditionalFormatting sqref="M20:N23">
    <cfRule type="expression" dxfId="78" priority="3">
      <formula>$K$23&lt;$H$8</formula>
    </cfRule>
  </conditionalFormatting>
  <conditionalFormatting sqref="M24:N27">
    <cfRule type="expression" dxfId="77" priority="2">
      <formula>$L$27&lt;$H$8</formula>
    </cfRule>
  </conditionalFormatting>
  <conditionalFormatting sqref="M12:N15">
    <cfRule type="expression" dxfId="76" priority="1">
      <formula>$I$15&lt;$H$8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7" zoomScale="90" zoomScaleNormal="90" zoomScaleSheetLayoutView="75" zoomScalePageLayoutView="75" workbookViewId="0">
      <selection activeCell="J35" sqref="J35"/>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1" t="s">
        <v>126</v>
      </c>
    </row>
    <row r="2" spans="1:14" ht="24" customHeight="1" x14ac:dyDescent="0.2">
      <c r="A2" s="101" t="str">
        <f>'Circuit Criminal'!A2</f>
        <v>County Fiscal Year 2020-2021</v>
      </c>
    </row>
    <row r="3" spans="1:14" ht="24" customHeight="1" x14ac:dyDescent="0.2"/>
    <row r="4" spans="1:14" ht="24" customHeight="1" x14ac:dyDescent="0.2">
      <c r="A4" s="8"/>
      <c r="C4" s="32" t="s">
        <v>0</v>
      </c>
      <c r="D4" s="229" t="str">
        <f>'Circuit Criminal'!D4</f>
        <v>Brevard</v>
      </c>
      <c r="E4" s="229"/>
      <c r="F4" s="9"/>
      <c r="G4" s="32" t="s">
        <v>135</v>
      </c>
      <c r="H4" s="97" t="str">
        <f>'Circuit Criminal'!H4</f>
        <v>Qtr 2: Jan - Mar</v>
      </c>
      <c r="I4"/>
      <c r="K4" s="32" t="s">
        <v>1</v>
      </c>
      <c r="L4" s="79">
        <f>'Circuit Criminal'!L4</f>
        <v>1</v>
      </c>
      <c r="N4" s="208" t="str">
        <f>'Circuit Criminal'!N4</f>
        <v>CCOC Form Version 1
Created 10/01/2020</v>
      </c>
    </row>
    <row r="5" spans="1:14" ht="24" customHeight="1" thickBot="1" x14ac:dyDescent="0.25">
      <c r="A5" s="8"/>
      <c r="C5" s="32" t="s">
        <v>68</v>
      </c>
      <c r="D5" s="207" t="str">
        <f>'Circuit Criminal'!D5</f>
        <v>Andrea Butler</v>
      </c>
      <c r="E5" s="207"/>
      <c r="F5" s="9"/>
      <c r="N5" s="209"/>
    </row>
    <row r="6" spans="1:14" ht="24" customHeight="1" x14ac:dyDescent="0.2">
      <c r="A6" s="8"/>
      <c r="C6" s="32" t="s">
        <v>69</v>
      </c>
      <c r="D6" s="206" t="str">
        <f>'Circuit Criminal'!D6</f>
        <v>andrea.butler@brevardclerk.us</v>
      </c>
      <c r="E6" s="206"/>
      <c r="F6" s="9"/>
      <c r="J6" s="140" t="s">
        <v>161</v>
      </c>
      <c r="K6" s="141"/>
      <c r="L6" s="141"/>
      <c r="M6" s="141"/>
      <c r="N6" s="142"/>
    </row>
    <row r="7" spans="1:14" ht="24" customHeight="1" thickBot="1" x14ac:dyDescent="0.25">
      <c r="A7" s="8"/>
      <c r="J7" s="66" t="s">
        <v>157</v>
      </c>
      <c r="K7" s="143" t="s">
        <v>159</v>
      </c>
      <c r="L7" s="143"/>
      <c r="M7" s="143"/>
      <c r="N7" s="144"/>
    </row>
    <row r="8" spans="1:14" ht="24" customHeight="1" thickTop="1" thickBot="1" x14ac:dyDescent="0.25">
      <c r="A8" s="214" t="s">
        <v>136</v>
      </c>
      <c r="B8" s="214"/>
      <c r="C8" s="215"/>
      <c r="D8" s="29" t="str">
        <f ca="1">MID(CELL("filename",A1),FIND("]",CELL("filename",A1))+1,255)</f>
        <v>County Civil</v>
      </c>
      <c r="E8" s="10"/>
      <c r="F8" s="214" t="s">
        <v>137</v>
      </c>
      <c r="G8" s="214"/>
      <c r="H8" s="98">
        <f ca="1">INDEX(LookupData!AA3:AA12,MATCH(D8,LookupData!Z3:Z12,0))</f>
        <v>0.9</v>
      </c>
      <c r="J8" s="63" t="s">
        <v>158</v>
      </c>
      <c r="K8" s="145" t="s">
        <v>160</v>
      </c>
      <c r="L8" s="145"/>
      <c r="M8" s="145"/>
      <c r="N8" s="146"/>
    </row>
    <row r="9" spans="1:14" ht="19.5" customHeight="1" thickTop="1" thickBot="1" x14ac:dyDescent="0.25">
      <c r="A9" s="8"/>
      <c r="D9" s="8"/>
      <c r="E9" s="8"/>
    </row>
    <row r="10" spans="1:14" ht="25.5" customHeight="1" thickBot="1" x14ac:dyDescent="0.25">
      <c r="D10" s="1"/>
      <c r="E10" s="1"/>
      <c r="F10" s="1"/>
      <c r="G10" s="1"/>
      <c r="H10" s="1"/>
      <c r="I10" s="1"/>
      <c r="J10" s="1"/>
      <c r="K10" s="1"/>
      <c r="L10" s="1"/>
      <c r="M10" s="216" t="s">
        <v>141</v>
      </c>
      <c r="N10" s="217"/>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61" t="s">
        <v>142</v>
      </c>
      <c r="N11" s="62" t="s">
        <v>143</v>
      </c>
    </row>
    <row r="12" spans="1:14" ht="19.5" customHeight="1" thickBot="1" x14ac:dyDescent="0.25">
      <c r="A12" s="198" t="str">
        <f>LookupData!W3</f>
        <v>CGE CQ1-21</v>
      </c>
      <c r="B12" s="199"/>
      <c r="C12" s="179" t="str">
        <f>LookupData!X3</f>
        <v>RPE 12/31/19</v>
      </c>
      <c r="D12" s="180"/>
      <c r="E12" s="39" t="s">
        <v>145</v>
      </c>
      <c r="F12" s="40" t="s">
        <v>146</v>
      </c>
      <c r="G12" s="40" t="s">
        <v>147</v>
      </c>
      <c r="H12" s="40" t="s">
        <v>148</v>
      </c>
      <c r="I12" s="41" t="s">
        <v>149</v>
      </c>
      <c r="J12" s="218"/>
      <c r="K12" s="218"/>
      <c r="L12" s="218"/>
      <c r="M12" s="210"/>
      <c r="N12" s="212"/>
    </row>
    <row r="13" spans="1:14" ht="19.5" customHeight="1" x14ac:dyDescent="0.2">
      <c r="A13" s="200"/>
      <c r="B13" s="201"/>
      <c r="C13" s="181" t="s">
        <v>150</v>
      </c>
      <c r="D13" s="182"/>
      <c r="E13" s="52">
        <f ca="1">SUMIFS(LookupData!I$3:I$2682,LookupData!$A$3:$A$2682,$D$4,LookupData!$B$3:$B$2682,$D$8,LookupData!$C$3:$C$2682,$A12)</f>
        <v>735447.75</v>
      </c>
      <c r="F13" s="53">
        <f ca="1">SUMIFS(LookupData!J$3:J$2682,LookupData!$A$3:$A$2682,$D$4,LookupData!$B$3:$B$2682,$D$8,LookupData!$C$3:$C$2682,$A12)</f>
        <v>819126.75</v>
      </c>
      <c r="G13" s="53">
        <f ca="1">SUMIFS(LookupData!K$3:K$2682,LookupData!$A$3:$A$2682,$D$4,LookupData!$B$3:$B$2682,$D$8,LookupData!$C$3:$C$2682,$A12)</f>
        <v>819331.75</v>
      </c>
      <c r="H13" s="53">
        <f ca="1">SUMIFS(LookupData!L$3:L$2682,LookupData!$A$3:$A$2682,$D$4,LookupData!$B$3:$B$2682,$D$8,LookupData!$C$3:$C$2682,$A12)</f>
        <v>819331.75</v>
      </c>
      <c r="I13" s="43">
        <v>819331.75</v>
      </c>
      <c r="J13" s="219"/>
      <c r="K13" s="219"/>
      <c r="L13" s="219"/>
      <c r="M13" s="211"/>
      <c r="N13" s="213"/>
    </row>
    <row r="14" spans="1:14" ht="19.5" customHeight="1" thickBot="1" x14ac:dyDescent="0.25">
      <c r="A14" s="200"/>
      <c r="B14" s="201"/>
      <c r="C14" s="181" t="s">
        <v>151</v>
      </c>
      <c r="D14" s="182"/>
      <c r="E14" s="54">
        <f ca="1">SUMIFS(LookupData!D$3:D$2682,LookupData!$A$3:$A$2682,$D$4,LookupData!$B$3:$B$2682,$D$8,LookupData!$C$3:$C$2682,$A12)</f>
        <v>823890.25</v>
      </c>
      <c r="F14" s="55">
        <f ca="1">SUMIFS(LookupData!E$3:E$2682,LookupData!$A$3:$A$2682,$D$4,LookupData!$B$3:$B$2682,$D$8,LookupData!$C$3:$C$2682,$A12)</f>
        <v>823795.25</v>
      </c>
      <c r="G14" s="55">
        <f ca="1">SUMIFS(LookupData!F$3:F$2682,LookupData!$A$3:$A$2682,$D$4,LookupData!$B$3:$B$2682,$D$8,LookupData!$C$3:$C$2682,$A12)</f>
        <v>823795.25</v>
      </c>
      <c r="H14" s="55">
        <f ca="1">SUMIFS(LookupData!G$3:G$2682,LookupData!$A$3:$A$2682,$D$4,LookupData!$B$3:$B$2682,$D$8,LookupData!$C$3:$C$2682,$A12)</f>
        <v>823795.25</v>
      </c>
      <c r="I14" s="44">
        <v>823795.25</v>
      </c>
      <c r="J14" s="219"/>
      <c r="K14" s="219"/>
      <c r="L14" s="219"/>
      <c r="M14" s="211"/>
      <c r="N14" s="213"/>
    </row>
    <row r="15" spans="1:14" ht="19.5" customHeight="1" thickTop="1" thickBot="1" x14ac:dyDescent="0.25">
      <c r="A15" s="202"/>
      <c r="B15" s="203"/>
      <c r="C15" s="181" t="s">
        <v>152</v>
      </c>
      <c r="D15" s="182"/>
      <c r="E15" s="71">
        <f ca="1">IFERROR(IF(E14=0,1,ROUND(E13/E14,4)),0)</f>
        <v>0.89270000000000005</v>
      </c>
      <c r="F15" s="77">
        <f t="shared" ref="F15:H15" ca="1" si="0">IFERROR(IF(F14=0,1,ROUND(F13/F14,4)),0)</f>
        <v>0.99429999999999996</v>
      </c>
      <c r="G15" s="77">
        <f t="shared" ca="1" si="0"/>
        <v>0.99460000000000004</v>
      </c>
      <c r="H15" s="77">
        <f t="shared" ca="1" si="0"/>
        <v>0.99460000000000004</v>
      </c>
      <c r="I15" s="78">
        <f t="shared" ref="I15" si="1">IFERROR(IF(I14=0,1,ROUND(I13/I14,4)),0)</f>
        <v>0.99460000000000004</v>
      </c>
      <c r="J15" s="219"/>
      <c r="K15" s="219"/>
      <c r="L15" s="219"/>
      <c r="M15" s="211"/>
      <c r="N15" s="213"/>
    </row>
    <row r="16" spans="1:14" ht="20.25" customHeight="1" thickBot="1" x14ac:dyDescent="0.25">
      <c r="A16" s="173" t="str">
        <f>LookupData!W4</f>
        <v>CGE CQ2-21</v>
      </c>
      <c r="B16" s="174"/>
      <c r="C16" s="179" t="str">
        <f>LookupData!X4</f>
        <v>RPE 03/31/20</v>
      </c>
      <c r="D16" s="180"/>
      <c r="E16" s="185"/>
      <c r="F16" s="39" t="s">
        <v>145</v>
      </c>
      <c r="G16" s="40" t="s">
        <v>146</v>
      </c>
      <c r="H16" s="40" t="s">
        <v>147</v>
      </c>
      <c r="I16" s="40" t="s">
        <v>148</v>
      </c>
      <c r="J16" s="41" t="s">
        <v>149</v>
      </c>
      <c r="K16" s="189"/>
      <c r="L16" s="191"/>
      <c r="M16" s="167"/>
      <c r="N16" s="168"/>
    </row>
    <row r="17" spans="1:16" ht="20.25" customHeight="1" x14ac:dyDescent="0.2">
      <c r="A17" s="175"/>
      <c r="B17" s="176"/>
      <c r="C17" s="181" t="s">
        <v>150</v>
      </c>
      <c r="D17" s="182"/>
      <c r="E17" s="186"/>
      <c r="F17" s="52">
        <f ca="1">SUMIFS(LookupData!I$3:I$2682,LookupData!$A$3:$A$2682,$D$4,LookupData!$B$3:$B$2682,$D$8,LookupData!$C$3:$C$2682,$A16)</f>
        <v>656100.15</v>
      </c>
      <c r="G17" s="53">
        <f ca="1">SUMIFS(LookupData!J$3:J$2682,LookupData!$A$3:$A$2682,$D$4,LookupData!$B$3:$B$2682,$D$8,LookupData!$C$3:$C$2682,$A16)</f>
        <v>670705.15</v>
      </c>
      <c r="H17" s="53">
        <f ca="1">SUMIFS(LookupData!K$3:K$2682,LookupData!$A$3:$A$2682,$D$4,LookupData!$B$3:$B$2682,$D$8,LookupData!$C$3:$C$2682,$A16)</f>
        <v>670250.15</v>
      </c>
      <c r="I17" s="30">
        <v>670250.15</v>
      </c>
      <c r="J17" s="43">
        <v>670250.15</v>
      </c>
      <c r="K17" s="192"/>
      <c r="L17" s="194"/>
      <c r="M17" s="167"/>
      <c r="N17" s="168"/>
    </row>
    <row r="18" spans="1:16" ht="20.25" customHeight="1" thickBot="1" x14ac:dyDescent="0.25">
      <c r="A18" s="175"/>
      <c r="B18" s="176"/>
      <c r="C18" s="181" t="s">
        <v>151</v>
      </c>
      <c r="D18" s="182"/>
      <c r="E18" s="186"/>
      <c r="F18" s="54">
        <f ca="1">SUMIFS(LookupData!D$3:D$2682,LookupData!$A$3:$A$2682,$D$4,LookupData!$B$3:$B$2682,$D$8,LookupData!$C$3:$C$2682,$A16)</f>
        <v>673565.15</v>
      </c>
      <c r="G18" s="55">
        <f ca="1">SUMIFS(LookupData!E$3:E$2682,LookupData!$A$3:$A$2682,$D$4,LookupData!$B$3:$B$2682,$D$8,LookupData!$C$3:$C$2682,$A16)</f>
        <v>673555.15</v>
      </c>
      <c r="H18" s="55">
        <f ca="1">SUMIFS(LookupData!F$3:F$2682,LookupData!$A$3:$A$2682,$D$4,LookupData!$B$3:$B$2682,$D$8,LookupData!$C$3:$C$2682,$A16)</f>
        <v>673370.15</v>
      </c>
      <c r="I18" s="38">
        <v>673350.15</v>
      </c>
      <c r="J18" s="44">
        <v>673350.15</v>
      </c>
      <c r="K18" s="192"/>
      <c r="L18" s="194"/>
      <c r="M18" s="167"/>
      <c r="N18" s="168"/>
    </row>
    <row r="19" spans="1:16" ht="20.25" customHeight="1" thickTop="1" thickBot="1" x14ac:dyDescent="0.25">
      <c r="A19" s="177"/>
      <c r="B19" s="178"/>
      <c r="C19" s="183" t="s">
        <v>152</v>
      </c>
      <c r="D19" s="184"/>
      <c r="E19" s="187"/>
      <c r="F19" s="73">
        <f ca="1">IFERROR(IF(F18=0,1,ROUND(F17/F18,4)),0)</f>
        <v>0.97409999999999997</v>
      </c>
      <c r="G19" s="75">
        <f t="shared" ref="G19:H19" ca="1" si="2">IFERROR(IF(G18=0,1,ROUND(G17/G18,4)),0)</f>
        <v>0.99580000000000002</v>
      </c>
      <c r="H19" s="75">
        <f t="shared" ca="1" si="2"/>
        <v>0.99539999999999995</v>
      </c>
      <c r="I19" s="75">
        <f t="shared" ref="I19:J19" si="3">IFERROR(IF(I18=0,1,ROUND(I17/I18,4)),0)</f>
        <v>0.99539999999999995</v>
      </c>
      <c r="J19" s="76">
        <f t="shared" si="3"/>
        <v>0.99539999999999995</v>
      </c>
      <c r="K19" s="195"/>
      <c r="L19" s="197"/>
      <c r="M19" s="167"/>
      <c r="N19" s="168"/>
    </row>
    <row r="20" spans="1:16" ht="20.25" customHeight="1" thickBot="1" x14ac:dyDescent="0.25">
      <c r="A20" s="198" t="str">
        <f>LookupData!W5</f>
        <v>CGE CQ3-21</v>
      </c>
      <c r="B20" s="199"/>
      <c r="C20" s="204" t="str">
        <f>LookupData!X5</f>
        <v>RPE 06/30/20</v>
      </c>
      <c r="D20" s="205"/>
      <c r="E20" s="163"/>
      <c r="F20" s="188"/>
      <c r="G20" s="50" t="s">
        <v>145</v>
      </c>
      <c r="H20" s="36" t="s">
        <v>146</v>
      </c>
      <c r="I20" s="36" t="s">
        <v>147</v>
      </c>
      <c r="J20" s="36" t="s">
        <v>148</v>
      </c>
      <c r="K20" s="51" t="s">
        <v>149</v>
      </c>
      <c r="L20" s="192"/>
      <c r="M20" s="167"/>
      <c r="N20" s="168"/>
    </row>
    <row r="21" spans="1:16" ht="20.25" customHeight="1" x14ac:dyDescent="0.2">
      <c r="A21" s="200"/>
      <c r="B21" s="201"/>
      <c r="C21" s="181" t="s">
        <v>150</v>
      </c>
      <c r="D21" s="182"/>
      <c r="E21" s="163"/>
      <c r="F21" s="188"/>
      <c r="G21" s="52">
        <f ca="1">SUMIFS(LookupData!I$3:I$2682,LookupData!$A$3:$A$2682,$D$4,LookupData!$B$3:$B$2682,$D$8,LookupData!$C$3:$C$2682,$A20)</f>
        <v>305634.92</v>
      </c>
      <c r="H21" s="53">
        <f ca="1">SUMIFS(LookupData!J$3:J$2682,LookupData!$A$3:$A$2682,$D$4,LookupData!$B$3:$B$2682,$D$8,LookupData!$C$3:$C$2682,$A20)</f>
        <v>314504.92</v>
      </c>
      <c r="I21" s="30">
        <v>314504.92</v>
      </c>
      <c r="J21" s="30">
        <v>314504.92</v>
      </c>
      <c r="K21" s="43"/>
      <c r="L21" s="192"/>
      <c r="M21" s="167"/>
      <c r="N21" s="168"/>
    </row>
    <row r="22" spans="1:16" ht="20.25" customHeight="1" thickBot="1" x14ac:dyDescent="0.25">
      <c r="A22" s="200"/>
      <c r="B22" s="201"/>
      <c r="C22" s="181" t="s">
        <v>151</v>
      </c>
      <c r="D22" s="182"/>
      <c r="E22" s="163"/>
      <c r="F22" s="188"/>
      <c r="G22" s="54">
        <f ca="1">SUMIFS(LookupData!D$3:D$2682,LookupData!$A$3:$A$2682,$D$4,LookupData!$B$3:$B$2682,$D$8,LookupData!$C$3:$C$2682,$A20)</f>
        <v>316305.3</v>
      </c>
      <c r="H22" s="55">
        <f ca="1">SUMIFS(LookupData!E$3:E$2682,LookupData!$A$3:$A$2682,$D$4,LookupData!$B$3:$B$2682,$D$8,LookupData!$C$3:$C$2682,$A20)</f>
        <v>316220.3</v>
      </c>
      <c r="I22" s="38">
        <v>316220.3</v>
      </c>
      <c r="J22" s="38">
        <v>316220.3</v>
      </c>
      <c r="K22" s="44"/>
      <c r="L22" s="192"/>
      <c r="M22" s="167"/>
      <c r="N22" s="168"/>
    </row>
    <row r="23" spans="1:16" ht="20.25" customHeight="1" thickTop="1" thickBot="1" x14ac:dyDescent="0.25">
      <c r="A23" s="202"/>
      <c r="B23" s="203"/>
      <c r="C23" s="181" t="s">
        <v>152</v>
      </c>
      <c r="D23" s="182"/>
      <c r="E23" s="163"/>
      <c r="F23" s="188"/>
      <c r="G23" s="71">
        <f t="shared" ref="G23:H23" ca="1" si="4">IFERROR(IF(G22=0,1,ROUND(G21/G22,4)),0)</f>
        <v>0.96630000000000005</v>
      </c>
      <c r="H23" s="77">
        <f t="shared" ca="1" si="4"/>
        <v>0.99460000000000004</v>
      </c>
      <c r="I23" s="77">
        <f t="shared" ref="I23:K23" si="5">IFERROR(IF(I22=0,1,ROUND(I21/I22,4)),0)</f>
        <v>0.99460000000000004</v>
      </c>
      <c r="J23" s="77">
        <f t="shared" si="5"/>
        <v>0.99460000000000004</v>
      </c>
      <c r="K23" s="78">
        <f t="shared" si="5"/>
        <v>1</v>
      </c>
      <c r="L23" s="192"/>
      <c r="M23" s="167"/>
      <c r="N23" s="168"/>
      <c r="O23"/>
      <c r="P23"/>
    </row>
    <row r="24" spans="1:16" ht="20.25" customHeight="1" thickBot="1" x14ac:dyDescent="0.25">
      <c r="A24" s="173" t="str">
        <f>LookupData!W6</f>
        <v>CGE CQ4-21</v>
      </c>
      <c r="B24" s="174"/>
      <c r="C24" s="179" t="str">
        <f>LookupData!X6</f>
        <v>RPE 09/30/20</v>
      </c>
      <c r="D24" s="180"/>
      <c r="E24" s="189"/>
      <c r="F24" s="190"/>
      <c r="G24" s="191"/>
      <c r="H24" s="39" t="s">
        <v>145</v>
      </c>
      <c r="I24" s="40" t="s">
        <v>146</v>
      </c>
      <c r="J24" s="40" t="s">
        <v>147</v>
      </c>
      <c r="K24" s="40" t="s">
        <v>148</v>
      </c>
      <c r="L24" s="41" t="s">
        <v>149</v>
      </c>
      <c r="M24" s="169"/>
      <c r="N24" s="171"/>
      <c r="O24"/>
      <c r="P24"/>
    </row>
    <row r="25" spans="1:16" ht="20.25" customHeight="1" x14ac:dyDescent="0.2">
      <c r="A25" s="175"/>
      <c r="B25" s="176"/>
      <c r="C25" s="181" t="s">
        <v>150</v>
      </c>
      <c r="D25" s="182"/>
      <c r="E25" s="192"/>
      <c r="F25" s="193"/>
      <c r="G25" s="194"/>
      <c r="H25" s="52">
        <f ca="1">SUMIFS(LookupData!I$3:I$2682,LookupData!$A$3:$A$2682,$D$4,LookupData!$B$3:$B$2682,$D$8,LookupData!$C$3:$C$2682,$A24)</f>
        <v>373284.28</v>
      </c>
      <c r="I25" s="30">
        <v>392392.42</v>
      </c>
      <c r="J25" s="30">
        <v>392392.42</v>
      </c>
      <c r="K25" s="30"/>
      <c r="L25" s="43"/>
      <c r="M25" s="169"/>
      <c r="N25" s="171"/>
      <c r="O25"/>
      <c r="P25"/>
    </row>
    <row r="26" spans="1:16" ht="20.25" customHeight="1" thickBot="1" x14ac:dyDescent="0.25">
      <c r="A26" s="175"/>
      <c r="B26" s="176"/>
      <c r="C26" s="181" t="s">
        <v>151</v>
      </c>
      <c r="D26" s="182"/>
      <c r="E26" s="192"/>
      <c r="F26" s="193"/>
      <c r="G26" s="194"/>
      <c r="H26" s="54">
        <f ca="1">SUMIFS(LookupData!D$3:D$2682,LookupData!$A$3:$A$2682,$D$4,LookupData!$B$3:$B$2682,$D$8,LookupData!$C$3:$C$2682,$A24)</f>
        <v>395525.3</v>
      </c>
      <c r="I26" s="38">
        <v>395430.3</v>
      </c>
      <c r="J26" s="38">
        <v>395430.3</v>
      </c>
      <c r="K26" s="38"/>
      <c r="L26" s="44"/>
      <c r="M26" s="169"/>
      <c r="N26" s="171"/>
      <c r="O26"/>
      <c r="P26"/>
    </row>
    <row r="27" spans="1:16" ht="20.25" customHeight="1" thickTop="1" thickBot="1" x14ac:dyDescent="0.25">
      <c r="A27" s="177"/>
      <c r="B27" s="178"/>
      <c r="C27" s="183" t="s">
        <v>152</v>
      </c>
      <c r="D27" s="184"/>
      <c r="E27" s="195"/>
      <c r="F27" s="196"/>
      <c r="G27" s="197"/>
      <c r="H27" s="73">
        <f t="shared" ref="H27" ca="1" si="6">IFERROR(IF(H26=0,1,ROUND(H25/H26,4)),0)</f>
        <v>0.94379999999999997</v>
      </c>
      <c r="I27" s="75">
        <f t="shared" ref="I27:L27" si="7">IFERROR(IF(I26=0,1,ROUND(I25/I26,4)),0)</f>
        <v>0.99229999999999996</v>
      </c>
      <c r="J27" s="75">
        <f t="shared" si="7"/>
        <v>0.99229999999999996</v>
      </c>
      <c r="K27" s="75">
        <f t="shared" si="7"/>
        <v>1</v>
      </c>
      <c r="L27" s="76">
        <f t="shared" si="7"/>
        <v>1</v>
      </c>
      <c r="M27" s="170"/>
      <c r="N27" s="172"/>
      <c r="O27"/>
      <c r="P27"/>
    </row>
    <row r="28" spans="1:16" ht="20.25" customHeight="1" thickBot="1" x14ac:dyDescent="0.25">
      <c r="A28" s="198" t="str">
        <f>LookupData!W7</f>
        <v>CGE CQ1-22</v>
      </c>
      <c r="B28" s="199"/>
      <c r="C28" s="179" t="str">
        <f>LookupData!X7</f>
        <v>RPE 12/31/20</v>
      </c>
      <c r="D28" s="180"/>
      <c r="E28" s="189"/>
      <c r="F28" s="190"/>
      <c r="G28" s="190"/>
      <c r="H28" s="191"/>
      <c r="I28" s="39" t="s">
        <v>145</v>
      </c>
      <c r="J28" s="40" t="s">
        <v>146</v>
      </c>
      <c r="K28" s="40" t="s">
        <v>147</v>
      </c>
      <c r="L28" s="41" t="s">
        <v>148</v>
      </c>
      <c r="M28" s="161"/>
      <c r="N28" s="162"/>
      <c r="O28"/>
      <c r="P28"/>
    </row>
    <row r="29" spans="1:16" ht="20.25" customHeight="1" x14ac:dyDescent="0.2">
      <c r="A29" s="200"/>
      <c r="B29" s="201"/>
      <c r="C29" s="181" t="s">
        <v>150</v>
      </c>
      <c r="D29" s="182"/>
      <c r="E29" s="192"/>
      <c r="F29" s="193"/>
      <c r="G29" s="193"/>
      <c r="H29" s="194"/>
      <c r="I29" s="42">
        <v>534671.07999999996</v>
      </c>
      <c r="J29" s="30">
        <v>582742.48</v>
      </c>
      <c r="K29" s="30"/>
      <c r="L29" s="43"/>
      <c r="M29" s="163"/>
      <c r="N29" s="164"/>
      <c r="O29"/>
      <c r="P29"/>
    </row>
    <row r="30" spans="1:16" ht="20.25" customHeight="1" thickBot="1" x14ac:dyDescent="0.25">
      <c r="A30" s="200"/>
      <c r="B30" s="201"/>
      <c r="C30" s="181" t="s">
        <v>151</v>
      </c>
      <c r="D30" s="182"/>
      <c r="E30" s="192"/>
      <c r="F30" s="193"/>
      <c r="G30" s="193"/>
      <c r="H30" s="194"/>
      <c r="I30" s="37">
        <v>588144.99</v>
      </c>
      <c r="J30" s="38">
        <v>588059.99</v>
      </c>
      <c r="K30" s="38"/>
      <c r="L30" s="44"/>
      <c r="M30" s="165"/>
      <c r="N30" s="166"/>
      <c r="O30"/>
      <c r="P30"/>
    </row>
    <row r="31" spans="1:16" ht="20.25" customHeight="1" thickTop="1" thickBot="1" x14ac:dyDescent="0.25">
      <c r="A31" s="202"/>
      <c r="B31" s="203"/>
      <c r="C31" s="183" t="s">
        <v>152</v>
      </c>
      <c r="D31" s="184"/>
      <c r="E31" s="195"/>
      <c r="F31" s="196"/>
      <c r="G31" s="196"/>
      <c r="H31" s="197"/>
      <c r="I31" s="73">
        <f t="shared" ref="I31:L31" si="8">IFERROR(IF(I30=0,1,ROUND(I29/I30,4)),0)</f>
        <v>0.90910000000000002</v>
      </c>
      <c r="J31" s="75">
        <f t="shared" si="8"/>
        <v>0.99099999999999999</v>
      </c>
      <c r="K31" s="75">
        <f t="shared" si="8"/>
        <v>1</v>
      </c>
      <c r="L31" s="74">
        <f t="shared" si="8"/>
        <v>1</v>
      </c>
      <c r="M31" s="138" t="s">
        <v>153</v>
      </c>
      <c r="N31" s="139"/>
      <c r="O31"/>
      <c r="P31"/>
    </row>
    <row r="32" spans="1:16" ht="20.25" customHeight="1" thickBot="1" x14ac:dyDescent="0.25">
      <c r="A32" s="173" t="str">
        <f>LookupData!W8</f>
        <v>CGE CQ2-22</v>
      </c>
      <c r="B32" s="174"/>
      <c r="C32" s="179" t="str">
        <f>LookupData!X8</f>
        <v>RPE 03/31/21</v>
      </c>
      <c r="D32" s="180"/>
      <c r="E32" s="189"/>
      <c r="F32" s="190"/>
      <c r="G32" s="190"/>
      <c r="H32" s="190"/>
      <c r="I32" s="191"/>
      <c r="J32" s="39" t="s">
        <v>145</v>
      </c>
      <c r="K32" s="40" t="s">
        <v>146</v>
      </c>
      <c r="L32" s="40" t="s">
        <v>147</v>
      </c>
      <c r="M32" s="149" t="str">
        <f>LookupData!Y7</f>
        <v>10/01/20 - 12/31/20</v>
      </c>
      <c r="N32" s="150"/>
      <c r="O32"/>
      <c r="P32"/>
    </row>
    <row r="33" spans="1:16" ht="20.25" customHeight="1" x14ac:dyDescent="0.2">
      <c r="A33" s="175"/>
      <c r="B33" s="176"/>
      <c r="C33" s="181" t="s">
        <v>150</v>
      </c>
      <c r="D33" s="182"/>
      <c r="E33" s="192"/>
      <c r="F33" s="193"/>
      <c r="G33" s="193"/>
      <c r="H33" s="193"/>
      <c r="I33" s="194"/>
      <c r="J33" s="42">
        <v>553244.56999999995</v>
      </c>
      <c r="K33" s="30"/>
      <c r="L33" s="48"/>
      <c r="M33" s="153"/>
      <c r="N33" s="154"/>
      <c r="O33"/>
      <c r="P33"/>
    </row>
    <row r="34" spans="1:16" ht="20.25" customHeight="1" thickBot="1" x14ac:dyDescent="0.25">
      <c r="A34" s="175"/>
      <c r="B34" s="176"/>
      <c r="C34" s="181" t="s">
        <v>151</v>
      </c>
      <c r="D34" s="182"/>
      <c r="E34" s="192"/>
      <c r="F34" s="193"/>
      <c r="G34" s="193"/>
      <c r="H34" s="193"/>
      <c r="I34" s="194"/>
      <c r="J34" s="37">
        <v>601133.24</v>
      </c>
      <c r="K34" s="38"/>
      <c r="L34" s="49"/>
      <c r="M34" s="155"/>
      <c r="N34" s="156"/>
      <c r="O34"/>
      <c r="P34"/>
    </row>
    <row r="35" spans="1:16" ht="20.25" customHeight="1" thickTop="1" thickBot="1" x14ac:dyDescent="0.25">
      <c r="A35" s="177"/>
      <c r="B35" s="178"/>
      <c r="C35" s="183" t="s">
        <v>152</v>
      </c>
      <c r="D35" s="184"/>
      <c r="E35" s="195"/>
      <c r="F35" s="196"/>
      <c r="G35" s="196"/>
      <c r="H35" s="196"/>
      <c r="I35" s="197"/>
      <c r="J35" s="73">
        <f t="shared" ref="J35:L35" si="9">IFERROR(IF(J34=0,1,ROUND(J33/J34,4)),0)</f>
        <v>0.92030000000000001</v>
      </c>
      <c r="K35" s="75">
        <f t="shared" si="9"/>
        <v>1</v>
      </c>
      <c r="L35" s="74">
        <f t="shared" si="9"/>
        <v>1</v>
      </c>
      <c r="M35" s="151" t="str">
        <f>LookupData!Y8</f>
        <v>01/01/21 - 03/31/21</v>
      </c>
      <c r="N35" s="152"/>
      <c r="O35"/>
      <c r="P35"/>
    </row>
    <row r="36" spans="1:16" ht="20.25" customHeight="1" thickBot="1" x14ac:dyDescent="0.25">
      <c r="A36" s="198" t="str">
        <f>LookupData!W9</f>
        <v>CGE CQ3-22</v>
      </c>
      <c r="B36" s="199"/>
      <c r="C36" s="179" t="str">
        <f>LookupData!X9</f>
        <v>RPE 06/30/21</v>
      </c>
      <c r="D36" s="180"/>
      <c r="E36" s="189"/>
      <c r="F36" s="190"/>
      <c r="G36" s="190"/>
      <c r="H36" s="190"/>
      <c r="I36" s="190"/>
      <c r="J36" s="191"/>
      <c r="K36" s="39" t="s">
        <v>145</v>
      </c>
      <c r="L36" s="40" t="s">
        <v>146</v>
      </c>
      <c r="M36" s="157"/>
      <c r="N36" s="158"/>
      <c r="O36"/>
      <c r="P36"/>
    </row>
    <row r="37" spans="1:16" ht="20.25" customHeight="1" thickBot="1" x14ac:dyDescent="0.25">
      <c r="A37" s="200"/>
      <c r="B37" s="201"/>
      <c r="C37" s="181" t="s">
        <v>150</v>
      </c>
      <c r="D37" s="182"/>
      <c r="E37" s="192"/>
      <c r="F37" s="193"/>
      <c r="G37" s="193"/>
      <c r="H37" s="193"/>
      <c r="I37" s="193"/>
      <c r="J37" s="194"/>
      <c r="K37" s="42"/>
      <c r="L37" s="30"/>
      <c r="M37" s="159"/>
      <c r="N37" s="160"/>
      <c r="O37"/>
      <c r="P37"/>
    </row>
    <row r="38" spans="1:16" ht="20.25" customHeight="1" thickBot="1" x14ac:dyDescent="0.25">
      <c r="A38" s="200"/>
      <c r="B38" s="201"/>
      <c r="C38" s="181" t="s">
        <v>151</v>
      </c>
      <c r="D38" s="182"/>
      <c r="E38" s="192"/>
      <c r="F38" s="193"/>
      <c r="G38" s="193"/>
      <c r="H38" s="193"/>
      <c r="I38" s="193"/>
      <c r="J38" s="194"/>
      <c r="K38" s="37"/>
      <c r="L38" s="38"/>
      <c r="M38" s="151" t="str">
        <f>LookupData!Y9</f>
        <v>04/01/21 - 06/30/21</v>
      </c>
      <c r="N38" s="152"/>
      <c r="O38"/>
      <c r="P38"/>
    </row>
    <row r="39" spans="1:16" ht="20.25" customHeight="1" thickTop="1" thickBot="1" x14ac:dyDescent="0.25">
      <c r="A39" s="202"/>
      <c r="B39" s="203"/>
      <c r="C39" s="183" t="s">
        <v>152</v>
      </c>
      <c r="D39" s="184"/>
      <c r="E39" s="195"/>
      <c r="F39" s="196"/>
      <c r="G39" s="196"/>
      <c r="H39" s="196"/>
      <c r="I39" s="196"/>
      <c r="J39" s="197"/>
      <c r="K39" s="73">
        <f t="shared" ref="K39:L39" si="10">IFERROR(IF(K38=0,1,ROUND(K37/K38,4)),0)</f>
        <v>1</v>
      </c>
      <c r="L39" s="74">
        <f t="shared" si="10"/>
        <v>1</v>
      </c>
      <c r="M39" s="157"/>
      <c r="N39" s="158"/>
      <c r="O39"/>
      <c r="P39"/>
    </row>
    <row r="40" spans="1:16" ht="20.25" customHeight="1" thickBot="1" x14ac:dyDescent="0.25">
      <c r="A40" s="173" t="str">
        <f>LookupData!W10</f>
        <v>CGE CQ4-22</v>
      </c>
      <c r="B40" s="174"/>
      <c r="C40" s="179" t="str">
        <f>LookupData!X10</f>
        <v>RPE 09/30/21</v>
      </c>
      <c r="D40" s="180"/>
      <c r="E40" s="189"/>
      <c r="F40" s="190"/>
      <c r="G40" s="190"/>
      <c r="H40" s="190"/>
      <c r="I40" s="190"/>
      <c r="J40" s="190"/>
      <c r="K40" s="191"/>
      <c r="L40" s="39" t="s">
        <v>145</v>
      </c>
      <c r="M40" s="159"/>
      <c r="N40" s="160"/>
      <c r="O40"/>
      <c r="P40"/>
    </row>
    <row r="41" spans="1:16" ht="20.25" customHeight="1" x14ac:dyDescent="0.2">
      <c r="A41" s="175"/>
      <c r="B41" s="176"/>
      <c r="C41" s="181" t="s">
        <v>150</v>
      </c>
      <c r="D41" s="182"/>
      <c r="E41" s="192"/>
      <c r="F41" s="193"/>
      <c r="G41" s="193"/>
      <c r="H41" s="193"/>
      <c r="I41" s="193"/>
      <c r="J41" s="193"/>
      <c r="K41" s="194"/>
      <c r="L41" s="59"/>
      <c r="M41" s="151" t="str">
        <f>LookupData!Y10</f>
        <v>07/01/21 - 09/30/21</v>
      </c>
      <c r="N41" s="152"/>
      <c r="O41"/>
      <c r="P41"/>
    </row>
    <row r="42" spans="1:16" ht="20.25" customHeight="1" thickBot="1" x14ac:dyDescent="0.25">
      <c r="A42" s="175"/>
      <c r="B42" s="176"/>
      <c r="C42" s="181" t="s">
        <v>151</v>
      </c>
      <c r="D42" s="182"/>
      <c r="E42" s="192"/>
      <c r="F42" s="193"/>
      <c r="G42" s="193"/>
      <c r="H42" s="193"/>
      <c r="I42" s="193"/>
      <c r="J42" s="193"/>
      <c r="K42" s="194"/>
      <c r="L42" s="60"/>
      <c r="M42" s="157"/>
      <c r="N42" s="158"/>
      <c r="O42"/>
      <c r="P42"/>
    </row>
    <row r="43" spans="1:16" ht="20.25" customHeight="1" thickTop="1" thickBot="1" x14ac:dyDescent="0.25">
      <c r="A43" s="177"/>
      <c r="B43" s="178"/>
      <c r="C43" s="183" t="s">
        <v>152</v>
      </c>
      <c r="D43" s="184"/>
      <c r="E43" s="195"/>
      <c r="F43" s="196"/>
      <c r="G43" s="196"/>
      <c r="H43" s="196"/>
      <c r="I43" s="196"/>
      <c r="J43" s="196"/>
      <c r="K43" s="197"/>
      <c r="L43" s="72">
        <f>IFERROR(IF(L42=0,1,ROUND(L41/L42,4)),0)</f>
        <v>1</v>
      </c>
      <c r="M43" s="159"/>
      <c r="N43" s="160"/>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48" t="s">
        <v>169</v>
      </c>
      <c r="E45" s="148"/>
      <c r="F45" s="148"/>
      <c r="G45" s="148"/>
      <c r="H45" s="148" t="s">
        <v>166</v>
      </c>
      <c r="I45" s="148"/>
      <c r="J45" s="148"/>
      <c r="K45" s="148"/>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R1qDoDqJEV9v8X9OtKDANOvH4Wm1aSeMcKDobsH6qZUzHlmEogOD1e4Y+C9SMdLoNxRAjcuPRtNg9rxpy21Dtg==" saltValue="pBHS/pXU6OKYpXMe+8lAhw==" spinCount="100000" sheet="1" formatColumns="0" formatRows="0"/>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75" priority="24">
      <formula>F14&gt;(MIN($E14:E14))</formula>
    </cfRule>
  </conditionalFormatting>
  <conditionalFormatting sqref="F13:I13">
    <cfRule type="expression" dxfId="74" priority="23">
      <formula>F13&lt;(MAX($E13:E13))</formula>
    </cfRule>
  </conditionalFormatting>
  <conditionalFormatting sqref="G17:J17">
    <cfRule type="expression" dxfId="73" priority="22">
      <formula>G17&lt;(MAX($F17:F17))</formula>
    </cfRule>
  </conditionalFormatting>
  <conditionalFormatting sqref="G18:J18">
    <cfRule type="expression" dxfId="72" priority="21">
      <formula>G18&gt;(MIN($F18:F18))</formula>
    </cfRule>
  </conditionalFormatting>
  <conditionalFormatting sqref="H22:K22">
    <cfRule type="expression" dxfId="71" priority="20">
      <formula>H22&gt;(MIN($G22:G22))</formula>
    </cfRule>
  </conditionalFormatting>
  <conditionalFormatting sqref="H21:K21">
    <cfRule type="expression" dxfId="70" priority="19">
      <formula>H21&lt;(MAX($G21:G21))</formula>
    </cfRule>
  </conditionalFormatting>
  <conditionalFormatting sqref="I26:L26">
    <cfRule type="expression" dxfId="69" priority="18">
      <formula>I26&gt;(MIN($H26:H26))</formula>
    </cfRule>
  </conditionalFormatting>
  <conditionalFormatting sqref="I25:L25">
    <cfRule type="expression" dxfId="68" priority="17">
      <formula>I25&lt;(MAX($H25:H25))</formula>
    </cfRule>
  </conditionalFormatting>
  <conditionalFormatting sqref="J30:L30">
    <cfRule type="expression" dxfId="67" priority="16">
      <formula>J30&gt;(MIN($I30:I30))</formula>
    </cfRule>
  </conditionalFormatting>
  <conditionalFormatting sqref="J29:L29">
    <cfRule type="expression" dxfId="66" priority="15">
      <formula>J29&lt;(MAX($I29:I29))</formula>
    </cfRule>
  </conditionalFormatting>
  <conditionalFormatting sqref="K34:L34">
    <cfRule type="expression" dxfId="65" priority="14">
      <formula>K34&gt;(MIN($J34:J34))</formula>
    </cfRule>
  </conditionalFormatting>
  <conditionalFormatting sqref="K33:L33">
    <cfRule type="expression" dxfId="64" priority="13">
      <formula>K33&lt;(MAX($J33:J33))</formula>
    </cfRule>
  </conditionalFormatting>
  <conditionalFormatting sqref="L38">
    <cfRule type="expression" dxfId="63" priority="12">
      <formula>L38&gt;(MIN($G38:K38))</formula>
    </cfRule>
  </conditionalFormatting>
  <conditionalFormatting sqref="L37">
    <cfRule type="expression" dxfId="62" priority="11">
      <formula>L37&lt;(MAX($K37:K37))</formula>
    </cfRule>
  </conditionalFormatting>
  <conditionalFormatting sqref="I15 J19 K23 L27">
    <cfRule type="expression" dxfId="61" priority="10">
      <formula>I15&lt;$H$8</formula>
    </cfRule>
  </conditionalFormatting>
  <conditionalFormatting sqref="M16:N19">
    <cfRule type="expression" dxfId="60" priority="4">
      <formula>$J$19&lt;$H$8</formula>
    </cfRule>
  </conditionalFormatting>
  <conditionalFormatting sqref="M20:N23">
    <cfRule type="expression" dxfId="59" priority="3">
      <formula>$K$23&lt;$H$8</formula>
    </cfRule>
  </conditionalFormatting>
  <conditionalFormatting sqref="M24:N27">
    <cfRule type="expression" dxfId="58" priority="2">
      <formula>$L$27&lt;$H$8</formula>
    </cfRule>
  </conditionalFormatting>
  <conditionalFormatting sqref="M12:N15">
    <cfRule type="expression" dxfId="57"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topLeftCell="A13" zoomScale="90" zoomScaleNormal="90" zoomScaleSheetLayoutView="75" zoomScalePageLayoutView="75" workbookViewId="0">
      <selection activeCell="J35" sqref="J35"/>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1" t="s">
        <v>126</v>
      </c>
    </row>
    <row r="2" spans="1:14" ht="24" customHeight="1" x14ac:dyDescent="0.2">
      <c r="A2" s="101" t="str">
        <f>'Circuit Criminal'!A2</f>
        <v>County Fiscal Year 2020-2021</v>
      </c>
    </row>
    <row r="3" spans="1:14" ht="24" customHeight="1" x14ac:dyDescent="0.2"/>
    <row r="4" spans="1:14" ht="24" customHeight="1" x14ac:dyDescent="0.2">
      <c r="A4" s="8"/>
      <c r="C4" s="32" t="s">
        <v>0</v>
      </c>
      <c r="D4" s="229" t="str">
        <f>'Circuit Criminal'!D4</f>
        <v>Brevard</v>
      </c>
      <c r="E4" s="229"/>
      <c r="F4" s="9"/>
      <c r="G4" s="32" t="s">
        <v>135</v>
      </c>
      <c r="H4" s="97" t="str">
        <f>'Circuit Criminal'!H4</f>
        <v>Qtr 2: Jan - Mar</v>
      </c>
      <c r="I4"/>
      <c r="K4" s="32" t="s">
        <v>1</v>
      </c>
      <c r="L4" s="79">
        <f>'Circuit Criminal'!L4</f>
        <v>1</v>
      </c>
      <c r="N4" s="208" t="str">
        <f>'Circuit Criminal'!N4</f>
        <v>CCOC Form Version 1
Created 10/01/2020</v>
      </c>
    </row>
    <row r="5" spans="1:14" ht="24" customHeight="1" thickBot="1" x14ac:dyDescent="0.25">
      <c r="A5" s="8"/>
      <c r="C5" s="32" t="s">
        <v>68</v>
      </c>
      <c r="D5" s="207" t="str">
        <f>'Circuit Criminal'!D5</f>
        <v>Andrea Butler</v>
      </c>
      <c r="E5" s="207"/>
      <c r="F5" s="9"/>
      <c r="N5" s="209"/>
    </row>
    <row r="6" spans="1:14" ht="24" customHeight="1" x14ac:dyDescent="0.2">
      <c r="A6" s="8"/>
      <c r="C6" s="32" t="s">
        <v>69</v>
      </c>
      <c r="D6" s="206" t="str">
        <f>'Circuit Criminal'!D6</f>
        <v>andrea.butler@brevardclerk.us</v>
      </c>
      <c r="E6" s="206"/>
      <c r="F6" s="9"/>
      <c r="J6" s="140" t="s">
        <v>161</v>
      </c>
      <c r="K6" s="141"/>
      <c r="L6" s="141"/>
      <c r="M6" s="141"/>
      <c r="N6" s="142"/>
    </row>
    <row r="7" spans="1:14" ht="24" customHeight="1" thickBot="1" x14ac:dyDescent="0.25">
      <c r="A7" s="8"/>
      <c r="J7" s="66" t="s">
        <v>157</v>
      </c>
      <c r="K7" s="143" t="s">
        <v>159</v>
      </c>
      <c r="L7" s="143"/>
      <c r="M7" s="143"/>
      <c r="N7" s="144"/>
    </row>
    <row r="8" spans="1:14" ht="24" customHeight="1" thickTop="1" thickBot="1" x14ac:dyDescent="0.25">
      <c r="A8" s="214" t="s">
        <v>136</v>
      </c>
      <c r="B8" s="214"/>
      <c r="C8" s="215"/>
      <c r="D8" s="29" t="str">
        <f ca="1">MID(CELL("filename",A1),FIND("]",CELL("filename",A1))+1,255)</f>
        <v>Probate</v>
      </c>
      <c r="E8" s="10"/>
      <c r="F8" s="214" t="s">
        <v>137</v>
      </c>
      <c r="G8" s="214"/>
      <c r="H8" s="98">
        <f ca="1">INDEX(LookupData!AA3:AA12,MATCH(D8,LookupData!Z3:Z12,0))</f>
        <v>0.9</v>
      </c>
      <c r="J8" s="63" t="s">
        <v>158</v>
      </c>
      <c r="K8" s="145" t="s">
        <v>160</v>
      </c>
      <c r="L8" s="145"/>
      <c r="M8" s="145"/>
      <c r="N8" s="146"/>
    </row>
    <row r="9" spans="1:14" ht="19.5" customHeight="1" thickTop="1" thickBot="1" x14ac:dyDescent="0.25">
      <c r="A9" s="8"/>
      <c r="D9" s="8"/>
      <c r="E9" s="8"/>
    </row>
    <row r="10" spans="1:14" ht="25.5" customHeight="1" thickBot="1" x14ac:dyDescent="0.25">
      <c r="D10" s="1"/>
      <c r="E10" s="1"/>
      <c r="F10" s="1"/>
      <c r="G10" s="1"/>
      <c r="H10" s="1"/>
      <c r="I10" s="1"/>
      <c r="J10" s="1"/>
      <c r="K10" s="1"/>
      <c r="L10" s="1"/>
      <c r="M10" s="216" t="s">
        <v>141</v>
      </c>
      <c r="N10" s="217"/>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61" t="s">
        <v>142</v>
      </c>
      <c r="N11" s="62" t="s">
        <v>143</v>
      </c>
    </row>
    <row r="12" spans="1:14" ht="19.5" customHeight="1" thickBot="1" x14ac:dyDescent="0.25">
      <c r="A12" s="198" t="str">
        <f>LookupData!W3</f>
        <v>CGE CQ1-21</v>
      </c>
      <c r="B12" s="199"/>
      <c r="C12" s="179" t="str">
        <f>LookupData!X3</f>
        <v>RPE 12/31/19</v>
      </c>
      <c r="D12" s="180"/>
      <c r="E12" s="39" t="s">
        <v>145</v>
      </c>
      <c r="F12" s="40" t="s">
        <v>146</v>
      </c>
      <c r="G12" s="40" t="s">
        <v>147</v>
      </c>
      <c r="H12" s="40" t="s">
        <v>148</v>
      </c>
      <c r="I12" s="41" t="s">
        <v>149</v>
      </c>
      <c r="J12" s="218"/>
      <c r="K12" s="218"/>
      <c r="L12" s="218"/>
      <c r="M12" s="210"/>
      <c r="N12" s="212"/>
    </row>
    <row r="13" spans="1:14" ht="19.5" customHeight="1" x14ac:dyDescent="0.2">
      <c r="A13" s="200"/>
      <c r="B13" s="201"/>
      <c r="C13" s="181" t="s">
        <v>150</v>
      </c>
      <c r="D13" s="182"/>
      <c r="E13" s="52">
        <f ca="1">SUMIFS(LookupData!I$3:I$2682,LookupData!$A$3:$A$2682,$D$4,LookupData!$B$3:$B$2682,$D$8,LookupData!$C$3:$C$2682,$A12)</f>
        <v>195067.96</v>
      </c>
      <c r="F13" s="53">
        <f ca="1">SUMIFS(LookupData!J$3:J$2682,LookupData!$A$3:$A$2682,$D$4,LookupData!$B$3:$B$2682,$D$8,LookupData!$C$3:$C$2682,$A12)</f>
        <v>201508.96</v>
      </c>
      <c r="G13" s="53">
        <f ca="1">SUMIFS(LookupData!K$3:K$2682,LookupData!$A$3:$A$2682,$D$4,LookupData!$B$3:$B$2682,$D$8,LookupData!$C$3:$C$2682,$A12)</f>
        <v>201908.96</v>
      </c>
      <c r="H13" s="53">
        <f ca="1">SUMIFS(LookupData!L$3:L$2682,LookupData!$A$3:$A$2682,$D$4,LookupData!$B$3:$B$2682,$D$8,LookupData!$C$3:$C$2682,$A12)</f>
        <v>201908.96</v>
      </c>
      <c r="I13" s="43">
        <v>201908.96</v>
      </c>
      <c r="J13" s="219"/>
      <c r="K13" s="219"/>
      <c r="L13" s="219"/>
      <c r="M13" s="211"/>
      <c r="N13" s="213"/>
    </row>
    <row r="14" spans="1:14" ht="19.5" customHeight="1" thickBot="1" x14ac:dyDescent="0.25">
      <c r="A14" s="200"/>
      <c r="B14" s="201"/>
      <c r="C14" s="181" t="s">
        <v>151</v>
      </c>
      <c r="D14" s="182"/>
      <c r="E14" s="54">
        <f ca="1">SUMIFS(LookupData!D$3:D$2682,LookupData!$A$3:$A$2682,$D$4,LookupData!$B$3:$B$2682,$D$8,LookupData!$C$3:$C$2682,$A12)</f>
        <v>203167.1</v>
      </c>
      <c r="F14" s="55">
        <f ca="1">SUMIFS(LookupData!E$3:E$2682,LookupData!$A$3:$A$2682,$D$4,LookupData!$B$3:$B$2682,$D$8,LookupData!$C$3:$C$2682,$A12)</f>
        <v>203167.1</v>
      </c>
      <c r="G14" s="55">
        <f ca="1">SUMIFS(LookupData!F$3:F$2682,LookupData!$A$3:$A$2682,$D$4,LookupData!$B$3:$B$2682,$D$8,LookupData!$C$3:$C$2682,$A12)</f>
        <v>203167.1</v>
      </c>
      <c r="H14" s="55">
        <f ca="1">SUMIFS(LookupData!G$3:G$2682,LookupData!$A$3:$A$2682,$D$4,LookupData!$B$3:$B$2682,$D$8,LookupData!$C$3:$C$2682,$A12)</f>
        <v>203167.1</v>
      </c>
      <c r="I14" s="44">
        <v>203167.1</v>
      </c>
      <c r="J14" s="219"/>
      <c r="K14" s="219"/>
      <c r="L14" s="219"/>
      <c r="M14" s="211"/>
      <c r="N14" s="213"/>
    </row>
    <row r="15" spans="1:14" ht="19.5" customHeight="1" thickTop="1" thickBot="1" x14ac:dyDescent="0.25">
      <c r="A15" s="202"/>
      <c r="B15" s="203"/>
      <c r="C15" s="181" t="s">
        <v>152</v>
      </c>
      <c r="D15" s="182"/>
      <c r="E15" s="71">
        <f ca="1">IFERROR(IF(E14=0,1,ROUND(E13/E14,4)),0)</f>
        <v>0.96009999999999995</v>
      </c>
      <c r="F15" s="77">
        <f t="shared" ref="F15:H15" ca="1" si="0">IFERROR(IF(F14=0,1,ROUND(F13/F14,4)),0)</f>
        <v>0.99180000000000001</v>
      </c>
      <c r="G15" s="77">
        <f t="shared" ca="1" si="0"/>
        <v>0.99380000000000002</v>
      </c>
      <c r="H15" s="77">
        <f t="shared" ca="1" si="0"/>
        <v>0.99380000000000002</v>
      </c>
      <c r="I15" s="78">
        <f t="shared" ref="I15" si="1">IFERROR(IF(I14=0,1,ROUND(I13/I14,4)),0)</f>
        <v>0.99380000000000002</v>
      </c>
      <c r="J15" s="219"/>
      <c r="K15" s="219"/>
      <c r="L15" s="219"/>
      <c r="M15" s="211"/>
      <c r="N15" s="213"/>
    </row>
    <row r="16" spans="1:14" ht="20.25" customHeight="1" thickBot="1" x14ac:dyDescent="0.25">
      <c r="A16" s="173" t="str">
        <f>LookupData!W4</f>
        <v>CGE CQ2-21</v>
      </c>
      <c r="B16" s="174"/>
      <c r="C16" s="179" t="str">
        <f>LookupData!X4</f>
        <v>RPE 03/31/20</v>
      </c>
      <c r="D16" s="180"/>
      <c r="E16" s="185"/>
      <c r="F16" s="39" t="s">
        <v>145</v>
      </c>
      <c r="G16" s="40" t="s">
        <v>146</v>
      </c>
      <c r="H16" s="40" t="s">
        <v>147</v>
      </c>
      <c r="I16" s="40" t="s">
        <v>148</v>
      </c>
      <c r="J16" s="41" t="s">
        <v>149</v>
      </c>
      <c r="K16" s="189"/>
      <c r="L16" s="191"/>
      <c r="M16" s="167"/>
      <c r="N16" s="168"/>
    </row>
    <row r="17" spans="1:16" ht="20.25" customHeight="1" x14ac:dyDescent="0.2">
      <c r="A17" s="175"/>
      <c r="B17" s="176"/>
      <c r="C17" s="181" t="s">
        <v>150</v>
      </c>
      <c r="D17" s="182"/>
      <c r="E17" s="186"/>
      <c r="F17" s="52">
        <f ca="1">SUMIFS(LookupData!I$3:I$2682,LookupData!$A$3:$A$2682,$D$4,LookupData!$B$3:$B$2682,$D$8,LookupData!$C$3:$C$2682,$A16)</f>
        <v>225189.96</v>
      </c>
      <c r="G17" s="53">
        <f ca="1">SUMIFS(LookupData!J$3:J$2682,LookupData!$A$3:$A$2682,$D$4,LookupData!$B$3:$B$2682,$D$8,LookupData!$C$3:$C$2682,$A16)</f>
        <v>230962.92</v>
      </c>
      <c r="H17" s="53">
        <f ca="1">SUMIFS(LookupData!K$3:K$2682,LookupData!$A$3:$A$2682,$D$4,LookupData!$B$3:$B$2682,$D$8,LookupData!$C$3:$C$2682,$A16)</f>
        <v>231073.53</v>
      </c>
      <c r="I17" s="30">
        <v>231938.42</v>
      </c>
      <c r="J17" s="43">
        <v>232065.71</v>
      </c>
      <c r="K17" s="192"/>
      <c r="L17" s="194"/>
      <c r="M17" s="167"/>
      <c r="N17" s="168"/>
    </row>
    <row r="18" spans="1:16" ht="20.25" customHeight="1" thickBot="1" x14ac:dyDescent="0.25">
      <c r="A18" s="175"/>
      <c r="B18" s="176"/>
      <c r="C18" s="181" t="s">
        <v>151</v>
      </c>
      <c r="D18" s="182"/>
      <c r="E18" s="186"/>
      <c r="F18" s="54">
        <f ca="1">SUMIFS(LookupData!D$3:D$2682,LookupData!$A$3:$A$2682,$D$4,LookupData!$B$3:$B$2682,$D$8,LookupData!$C$3:$C$2682,$A16)</f>
        <v>235667</v>
      </c>
      <c r="G18" s="55">
        <f ca="1">SUMIFS(LookupData!E$3:E$2682,LookupData!$A$3:$A$2682,$D$4,LookupData!$B$3:$B$2682,$D$8,LookupData!$C$3:$C$2682,$A16)</f>
        <v>235667</v>
      </c>
      <c r="H18" s="55">
        <f ca="1">SUMIFS(LookupData!F$3:F$2682,LookupData!$A$3:$A$2682,$D$4,LookupData!$B$3:$B$2682,$D$8,LookupData!$C$3:$C$2682,$A16)</f>
        <v>235667</v>
      </c>
      <c r="I18" s="38">
        <v>235667</v>
      </c>
      <c r="J18" s="44">
        <v>235667</v>
      </c>
      <c r="K18" s="192"/>
      <c r="L18" s="194"/>
      <c r="M18" s="167"/>
      <c r="N18" s="168"/>
    </row>
    <row r="19" spans="1:16" ht="20.25" customHeight="1" thickTop="1" thickBot="1" x14ac:dyDescent="0.25">
      <c r="A19" s="177"/>
      <c r="B19" s="178"/>
      <c r="C19" s="183" t="s">
        <v>152</v>
      </c>
      <c r="D19" s="184"/>
      <c r="E19" s="187"/>
      <c r="F19" s="73">
        <f ca="1">IFERROR(IF(F18=0,1,ROUND(F17/F18,4)),0)</f>
        <v>0.95550000000000002</v>
      </c>
      <c r="G19" s="75">
        <f t="shared" ref="G19:H19" ca="1" si="2">IFERROR(IF(G18=0,1,ROUND(G17/G18,4)),0)</f>
        <v>0.98</v>
      </c>
      <c r="H19" s="75">
        <f t="shared" ca="1" si="2"/>
        <v>0.98050000000000004</v>
      </c>
      <c r="I19" s="75">
        <f t="shared" ref="I19:J19" si="3">IFERROR(IF(I18=0,1,ROUND(I17/I18,4)),0)</f>
        <v>0.98419999999999996</v>
      </c>
      <c r="J19" s="76">
        <f t="shared" si="3"/>
        <v>0.98470000000000002</v>
      </c>
      <c r="K19" s="195"/>
      <c r="L19" s="197"/>
      <c r="M19" s="167"/>
      <c r="N19" s="168"/>
    </row>
    <row r="20" spans="1:16" ht="20.25" customHeight="1" thickBot="1" x14ac:dyDescent="0.25">
      <c r="A20" s="198" t="str">
        <f>LookupData!W5</f>
        <v>CGE CQ3-21</v>
      </c>
      <c r="B20" s="199"/>
      <c r="C20" s="204" t="str">
        <f>LookupData!X5</f>
        <v>RPE 06/30/20</v>
      </c>
      <c r="D20" s="205"/>
      <c r="E20" s="163"/>
      <c r="F20" s="188"/>
      <c r="G20" s="50" t="s">
        <v>145</v>
      </c>
      <c r="H20" s="36" t="s">
        <v>146</v>
      </c>
      <c r="I20" s="36" t="s">
        <v>147</v>
      </c>
      <c r="J20" s="36" t="s">
        <v>148</v>
      </c>
      <c r="K20" s="51" t="s">
        <v>149</v>
      </c>
      <c r="L20" s="192"/>
      <c r="M20" s="167"/>
      <c r="N20" s="168"/>
    </row>
    <row r="21" spans="1:16" ht="20.25" customHeight="1" x14ac:dyDescent="0.2">
      <c r="A21" s="200"/>
      <c r="B21" s="201"/>
      <c r="C21" s="181" t="s">
        <v>150</v>
      </c>
      <c r="D21" s="182"/>
      <c r="E21" s="163"/>
      <c r="F21" s="188"/>
      <c r="G21" s="52">
        <f ca="1">SUMIFS(LookupData!I$3:I$2682,LookupData!$A$3:$A$2682,$D$4,LookupData!$B$3:$B$2682,$D$8,LookupData!$C$3:$C$2682,$A20)</f>
        <v>218932.13</v>
      </c>
      <c r="H21" s="53">
        <f ca="1">SUMIFS(LookupData!J$3:J$2682,LookupData!$A$3:$A$2682,$D$4,LookupData!$B$3:$B$2682,$D$8,LookupData!$C$3:$C$2682,$A20)</f>
        <v>228809.8</v>
      </c>
      <c r="I21" s="30">
        <v>228809.8</v>
      </c>
      <c r="J21" s="30">
        <v>228809.8</v>
      </c>
      <c r="K21" s="43"/>
      <c r="L21" s="192"/>
      <c r="M21" s="167"/>
      <c r="N21" s="168"/>
    </row>
    <row r="22" spans="1:16" ht="20.25" customHeight="1" thickBot="1" x14ac:dyDescent="0.25">
      <c r="A22" s="200"/>
      <c r="B22" s="201"/>
      <c r="C22" s="181" t="s">
        <v>151</v>
      </c>
      <c r="D22" s="182"/>
      <c r="E22" s="163"/>
      <c r="F22" s="188"/>
      <c r="G22" s="54">
        <f ca="1">SUMIFS(LookupData!D$3:D$2682,LookupData!$A$3:$A$2682,$D$4,LookupData!$B$3:$B$2682,$D$8,LookupData!$C$3:$C$2682,$A20)</f>
        <v>229845.4</v>
      </c>
      <c r="H22" s="55">
        <f ca="1">SUMIFS(LookupData!E$3:E$2682,LookupData!$A$3:$A$2682,$D$4,LookupData!$B$3:$B$2682,$D$8,LookupData!$C$3:$C$2682,$A20)</f>
        <v>229845.4</v>
      </c>
      <c r="I22" s="38">
        <v>229845.4</v>
      </c>
      <c r="J22" s="38">
        <v>229845.4</v>
      </c>
      <c r="K22" s="44"/>
      <c r="L22" s="192"/>
      <c r="M22" s="167"/>
      <c r="N22" s="168"/>
    </row>
    <row r="23" spans="1:16" ht="20.25" customHeight="1" thickTop="1" thickBot="1" x14ac:dyDescent="0.25">
      <c r="A23" s="202"/>
      <c r="B23" s="203"/>
      <c r="C23" s="181" t="s">
        <v>152</v>
      </c>
      <c r="D23" s="182"/>
      <c r="E23" s="163"/>
      <c r="F23" s="188"/>
      <c r="G23" s="71">
        <f t="shared" ref="G23:H23" ca="1" si="4">IFERROR(IF(G22=0,1,ROUND(G21/G22,4)),0)</f>
        <v>0.95250000000000001</v>
      </c>
      <c r="H23" s="77">
        <f t="shared" ca="1" si="4"/>
        <v>0.99550000000000005</v>
      </c>
      <c r="I23" s="77">
        <f t="shared" ref="I23:K23" si="5">IFERROR(IF(I22=0,1,ROUND(I21/I22,4)),0)</f>
        <v>0.99550000000000005</v>
      </c>
      <c r="J23" s="77">
        <f t="shared" si="5"/>
        <v>0.99550000000000005</v>
      </c>
      <c r="K23" s="78">
        <f t="shared" si="5"/>
        <v>1</v>
      </c>
      <c r="L23" s="192"/>
      <c r="M23" s="167"/>
      <c r="N23" s="168"/>
      <c r="O23"/>
      <c r="P23"/>
    </row>
    <row r="24" spans="1:16" ht="20.25" customHeight="1" thickBot="1" x14ac:dyDescent="0.25">
      <c r="A24" s="173" t="str">
        <f>LookupData!W6</f>
        <v>CGE CQ4-21</v>
      </c>
      <c r="B24" s="174"/>
      <c r="C24" s="179" t="str">
        <f>LookupData!X6</f>
        <v>RPE 09/30/20</v>
      </c>
      <c r="D24" s="180"/>
      <c r="E24" s="189"/>
      <c r="F24" s="190"/>
      <c r="G24" s="191"/>
      <c r="H24" s="39" t="s">
        <v>145</v>
      </c>
      <c r="I24" s="40" t="s">
        <v>146</v>
      </c>
      <c r="J24" s="40" t="s">
        <v>147</v>
      </c>
      <c r="K24" s="40" t="s">
        <v>148</v>
      </c>
      <c r="L24" s="41" t="s">
        <v>149</v>
      </c>
      <c r="M24" s="169"/>
      <c r="N24" s="171"/>
      <c r="O24"/>
      <c r="P24"/>
    </row>
    <row r="25" spans="1:16" ht="20.25" customHeight="1" x14ac:dyDescent="0.2">
      <c r="A25" s="175"/>
      <c r="B25" s="176"/>
      <c r="C25" s="181" t="s">
        <v>150</v>
      </c>
      <c r="D25" s="182"/>
      <c r="E25" s="192"/>
      <c r="F25" s="193"/>
      <c r="G25" s="194"/>
      <c r="H25" s="52">
        <f ca="1">SUMIFS(LookupData!I$3:I$2682,LookupData!$A$3:$A$2682,$D$4,LookupData!$B$3:$B$2682,$D$8,LookupData!$C$3:$C$2682,$A24)</f>
        <v>244681.44</v>
      </c>
      <c r="I25" s="30">
        <v>260053.08</v>
      </c>
      <c r="J25" s="30">
        <v>260053.08</v>
      </c>
      <c r="K25" s="30"/>
      <c r="L25" s="43"/>
      <c r="M25" s="169"/>
      <c r="N25" s="171"/>
      <c r="O25"/>
      <c r="P25"/>
    </row>
    <row r="26" spans="1:16" ht="20.25" customHeight="1" thickBot="1" x14ac:dyDescent="0.25">
      <c r="A26" s="175"/>
      <c r="B26" s="176"/>
      <c r="C26" s="181" t="s">
        <v>151</v>
      </c>
      <c r="D26" s="182"/>
      <c r="E26" s="192"/>
      <c r="F26" s="193"/>
      <c r="G26" s="194"/>
      <c r="H26" s="54">
        <f ca="1">SUMIFS(LookupData!D$3:D$2682,LookupData!$A$3:$A$2682,$D$4,LookupData!$B$3:$B$2682,$D$8,LookupData!$C$3:$C$2682,$A24)</f>
        <v>261363.45</v>
      </c>
      <c r="I26" s="38">
        <v>260963.45</v>
      </c>
      <c r="J26" s="38">
        <v>260963.45</v>
      </c>
      <c r="K26" s="38"/>
      <c r="L26" s="44"/>
      <c r="M26" s="169"/>
      <c r="N26" s="171"/>
      <c r="O26"/>
      <c r="P26"/>
    </row>
    <row r="27" spans="1:16" ht="20.25" customHeight="1" thickTop="1" thickBot="1" x14ac:dyDescent="0.25">
      <c r="A27" s="177"/>
      <c r="B27" s="178"/>
      <c r="C27" s="183" t="s">
        <v>152</v>
      </c>
      <c r="D27" s="184"/>
      <c r="E27" s="195"/>
      <c r="F27" s="196"/>
      <c r="G27" s="197"/>
      <c r="H27" s="73">
        <f t="shared" ref="H27" ca="1" si="6">IFERROR(IF(H26=0,1,ROUND(H25/H26,4)),0)</f>
        <v>0.93620000000000003</v>
      </c>
      <c r="I27" s="75">
        <f t="shared" ref="I27:L27" si="7">IFERROR(IF(I26=0,1,ROUND(I25/I26,4)),0)</f>
        <v>0.99650000000000005</v>
      </c>
      <c r="J27" s="75">
        <f t="shared" si="7"/>
        <v>0.99650000000000005</v>
      </c>
      <c r="K27" s="75">
        <f t="shared" si="7"/>
        <v>1</v>
      </c>
      <c r="L27" s="76">
        <f t="shared" si="7"/>
        <v>1</v>
      </c>
      <c r="M27" s="170"/>
      <c r="N27" s="172"/>
      <c r="O27"/>
      <c r="P27"/>
    </row>
    <row r="28" spans="1:16" ht="20.25" customHeight="1" thickBot="1" x14ac:dyDescent="0.25">
      <c r="A28" s="198" t="str">
        <f>LookupData!W7</f>
        <v>CGE CQ1-22</v>
      </c>
      <c r="B28" s="199"/>
      <c r="C28" s="179" t="str">
        <f>LookupData!X7</f>
        <v>RPE 12/31/20</v>
      </c>
      <c r="D28" s="180"/>
      <c r="E28" s="189"/>
      <c r="F28" s="190"/>
      <c r="G28" s="190"/>
      <c r="H28" s="191"/>
      <c r="I28" s="39" t="s">
        <v>145</v>
      </c>
      <c r="J28" s="40" t="s">
        <v>146</v>
      </c>
      <c r="K28" s="40" t="s">
        <v>147</v>
      </c>
      <c r="L28" s="41" t="s">
        <v>148</v>
      </c>
      <c r="M28" s="161"/>
      <c r="N28" s="162"/>
      <c r="O28"/>
      <c r="P28"/>
    </row>
    <row r="29" spans="1:16" ht="20.25" customHeight="1" x14ac:dyDescent="0.2">
      <c r="A29" s="200"/>
      <c r="B29" s="201"/>
      <c r="C29" s="181" t="s">
        <v>150</v>
      </c>
      <c r="D29" s="182"/>
      <c r="E29" s="192"/>
      <c r="F29" s="193"/>
      <c r="G29" s="193"/>
      <c r="H29" s="194"/>
      <c r="I29" s="42">
        <v>243130.12</v>
      </c>
      <c r="J29" s="30">
        <v>258314.12</v>
      </c>
      <c r="K29" s="30"/>
      <c r="L29" s="43"/>
      <c r="M29" s="163"/>
      <c r="N29" s="164"/>
      <c r="O29"/>
      <c r="P29"/>
    </row>
    <row r="30" spans="1:16" ht="20.25" customHeight="1" thickBot="1" x14ac:dyDescent="0.25">
      <c r="A30" s="200"/>
      <c r="B30" s="201"/>
      <c r="C30" s="181" t="s">
        <v>151</v>
      </c>
      <c r="D30" s="182"/>
      <c r="E30" s="192"/>
      <c r="F30" s="193"/>
      <c r="G30" s="193"/>
      <c r="H30" s="194"/>
      <c r="I30" s="37">
        <v>261079.8</v>
      </c>
      <c r="J30" s="38">
        <v>261079.8</v>
      </c>
      <c r="K30" s="38"/>
      <c r="L30" s="44"/>
      <c r="M30" s="165"/>
      <c r="N30" s="166"/>
      <c r="O30"/>
      <c r="P30"/>
    </row>
    <row r="31" spans="1:16" ht="20.25" customHeight="1" thickTop="1" thickBot="1" x14ac:dyDescent="0.25">
      <c r="A31" s="202"/>
      <c r="B31" s="203"/>
      <c r="C31" s="183" t="s">
        <v>152</v>
      </c>
      <c r="D31" s="184"/>
      <c r="E31" s="195"/>
      <c r="F31" s="196"/>
      <c r="G31" s="196"/>
      <c r="H31" s="197"/>
      <c r="I31" s="73">
        <f t="shared" ref="I31:L31" si="8">IFERROR(IF(I30=0,1,ROUND(I29/I30,4)),0)</f>
        <v>0.93120000000000003</v>
      </c>
      <c r="J31" s="75">
        <f t="shared" si="8"/>
        <v>0.98939999999999995</v>
      </c>
      <c r="K31" s="75">
        <f t="shared" si="8"/>
        <v>1</v>
      </c>
      <c r="L31" s="74">
        <f t="shared" si="8"/>
        <v>1</v>
      </c>
      <c r="M31" s="138" t="s">
        <v>153</v>
      </c>
      <c r="N31" s="139"/>
      <c r="O31"/>
      <c r="P31"/>
    </row>
    <row r="32" spans="1:16" ht="20.25" customHeight="1" thickBot="1" x14ac:dyDescent="0.25">
      <c r="A32" s="173" t="str">
        <f>LookupData!W8</f>
        <v>CGE CQ2-22</v>
      </c>
      <c r="B32" s="174"/>
      <c r="C32" s="179" t="str">
        <f>LookupData!X8</f>
        <v>RPE 03/31/21</v>
      </c>
      <c r="D32" s="180"/>
      <c r="E32" s="189"/>
      <c r="F32" s="190"/>
      <c r="G32" s="190"/>
      <c r="H32" s="190"/>
      <c r="I32" s="191"/>
      <c r="J32" s="39" t="s">
        <v>145</v>
      </c>
      <c r="K32" s="40" t="s">
        <v>146</v>
      </c>
      <c r="L32" s="40" t="s">
        <v>147</v>
      </c>
      <c r="M32" s="149" t="str">
        <f>LookupData!Y7</f>
        <v>10/01/20 - 12/31/20</v>
      </c>
      <c r="N32" s="150"/>
      <c r="O32"/>
      <c r="P32"/>
    </row>
    <row r="33" spans="1:16" ht="20.25" customHeight="1" x14ac:dyDescent="0.2">
      <c r="A33" s="175"/>
      <c r="B33" s="176"/>
      <c r="C33" s="181" t="s">
        <v>150</v>
      </c>
      <c r="D33" s="182"/>
      <c r="E33" s="192"/>
      <c r="F33" s="193"/>
      <c r="G33" s="193"/>
      <c r="H33" s="193"/>
      <c r="I33" s="194"/>
      <c r="J33" s="42">
        <v>271718.31</v>
      </c>
      <c r="K33" s="30"/>
      <c r="L33" s="48"/>
      <c r="M33" s="153"/>
      <c r="N33" s="154"/>
      <c r="O33"/>
      <c r="P33"/>
    </row>
    <row r="34" spans="1:16" ht="20.25" customHeight="1" thickBot="1" x14ac:dyDescent="0.25">
      <c r="A34" s="175"/>
      <c r="B34" s="176"/>
      <c r="C34" s="181" t="s">
        <v>151</v>
      </c>
      <c r="D34" s="182"/>
      <c r="E34" s="192"/>
      <c r="F34" s="193"/>
      <c r="G34" s="193"/>
      <c r="H34" s="193"/>
      <c r="I34" s="194"/>
      <c r="J34" s="37">
        <v>287591.40000000002</v>
      </c>
      <c r="K34" s="38"/>
      <c r="L34" s="49"/>
      <c r="M34" s="155"/>
      <c r="N34" s="156"/>
      <c r="O34"/>
      <c r="P34"/>
    </row>
    <row r="35" spans="1:16" ht="20.25" customHeight="1" thickTop="1" thickBot="1" x14ac:dyDescent="0.25">
      <c r="A35" s="177"/>
      <c r="B35" s="178"/>
      <c r="C35" s="183" t="s">
        <v>152</v>
      </c>
      <c r="D35" s="184"/>
      <c r="E35" s="195"/>
      <c r="F35" s="196"/>
      <c r="G35" s="196"/>
      <c r="H35" s="196"/>
      <c r="I35" s="197"/>
      <c r="J35" s="73">
        <f t="shared" ref="J35:L35" si="9">IFERROR(IF(J34=0,1,ROUND(J33/J34,4)),0)</f>
        <v>0.94479999999999997</v>
      </c>
      <c r="K35" s="75">
        <f t="shared" si="9"/>
        <v>1</v>
      </c>
      <c r="L35" s="74">
        <f t="shared" si="9"/>
        <v>1</v>
      </c>
      <c r="M35" s="151" t="str">
        <f>LookupData!Y8</f>
        <v>01/01/21 - 03/31/21</v>
      </c>
      <c r="N35" s="152"/>
      <c r="O35"/>
      <c r="P35"/>
    </row>
    <row r="36" spans="1:16" ht="20.25" customHeight="1" thickBot="1" x14ac:dyDescent="0.25">
      <c r="A36" s="198" t="str">
        <f>LookupData!W9</f>
        <v>CGE CQ3-22</v>
      </c>
      <c r="B36" s="199"/>
      <c r="C36" s="179" t="str">
        <f>LookupData!X9</f>
        <v>RPE 06/30/21</v>
      </c>
      <c r="D36" s="180"/>
      <c r="E36" s="189"/>
      <c r="F36" s="190"/>
      <c r="G36" s="190"/>
      <c r="H36" s="190"/>
      <c r="I36" s="190"/>
      <c r="J36" s="191"/>
      <c r="K36" s="39" t="s">
        <v>145</v>
      </c>
      <c r="L36" s="40" t="s">
        <v>146</v>
      </c>
      <c r="M36" s="157"/>
      <c r="N36" s="158"/>
      <c r="O36"/>
      <c r="P36"/>
    </row>
    <row r="37" spans="1:16" ht="20.25" customHeight="1" thickBot="1" x14ac:dyDescent="0.25">
      <c r="A37" s="200"/>
      <c r="B37" s="201"/>
      <c r="C37" s="181" t="s">
        <v>150</v>
      </c>
      <c r="D37" s="182"/>
      <c r="E37" s="192"/>
      <c r="F37" s="193"/>
      <c r="G37" s="193"/>
      <c r="H37" s="193"/>
      <c r="I37" s="193"/>
      <c r="J37" s="194"/>
      <c r="K37" s="42"/>
      <c r="L37" s="30"/>
      <c r="M37" s="159"/>
      <c r="N37" s="160"/>
      <c r="O37"/>
      <c r="P37"/>
    </row>
    <row r="38" spans="1:16" ht="20.25" customHeight="1" thickBot="1" x14ac:dyDescent="0.25">
      <c r="A38" s="200"/>
      <c r="B38" s="201"/>
      <c r="C38" s="181" t="s">
        <v>151</v>
      </c>
      <c r="D38" s="182"/>
      <c r="E38" s="192"/>
      <c r="F38" s="193"/>
      <c r="G38" s="193"/>
      <c r="H38" s="193"/>
      <c r="I38" s="193"/>
      <c r="J38" s="194"/>
      <c r="K38" s="37"/>
      <c r="L38" s="38"/>
      <c r="M38" s="151" t="str">
        <f>LookupData!Y9</f>
        <v>04/01/21 - 06/30/21</v>
      </c>
      <c r="N38" s="152"/>
      <c r="O38"/>
      <c r="P38"/>
    </row>
    <row r="39" spans="1:16" ht="20.25" customHeight="1" thickTop="1" thickBot="1" x14ac:dyDescent="0.25">
      <c r="A39" s="202"/>
      <c r="B39" s="203"/>
      <c r="C39" s="183" t="s">
        <v>152</v>
      </c>
      <c r="D39" s="184"/>
      <c r="E39" s="195"/>
      <c r="F39" s="196"/>
      <c r="G39" s="196"/>
      <c r="H39" s="196"/>
      <c r="I39" s="196"/>
      <c r="J39" s="197"/>
      <c r="K39" s="73">
        <f t="shared" ref="K39:L39" si="10">IFERROR(IF(K38=0,1,ROUND(K37/K38,4)),0)</f>
        <v>1</v>
      </c>
      <c r="L39" s="74">
        <f t="shared" si="10"/>
        <v>1</v>
      </c>
      <c r="M39" s="157"/>
      <c r="N39" s="158"/>
      <c r="O39"/>
      <c r="P39"/>
    </row>
    <row r="40" spans="1:16" ht="20.25" customHeight="1" thickBot="1" x14ac:dyDescent="0.25">
      <c r="A40" s="173" t="str">
        <f>LookupData!W10</f>
        <v>CGE CQ4-22</v>
      </c>
      <c r="B40" s="174"/>
      <c r="C40" s="179" t="str">
        <f>LookupData!X10</f>
        <v>RPE 09/30/21</v>
      </c>
      <c r="D40" s="180"/>
      <c r="E40" s="189"/>
      <c r="F40" s="190"/>
      <c r="G40" s="190"/>
      <c r="H40" s="190"/>
      <c r="I40" s="190"/>
      <c r="J40" s="190"/>
      <c r="K40" s="191"/>
      <c r="L40" s="39" t="s">
        <v>145</v>
      </c>
      <c r="M40" s="159"/>
      <c r="N40" s="160"/>
      <c r="O40"/>
      <c r="P40"/>
    </row>
    <row r="41" spans="1:16" ht="20.25" customHeight="1" x14ac:dyDescent="0.2">
      <c r="A41" s="175"/>
      <c r="B41" s="176"/>
      <c r="C41" s="181" t="s">
        <v>150</v>
      </c>
      <c r="D41" s="182"/>
      <c r="E41" s="192"/>
      <c r="F41" s="193"/>
      <c r="G41" s="193"/>
      <c r="H41" s="193"/>
      <c r="I41" s="193"/>
      <c r="J41" s="193"/>
      <c r="K41" s="194"/>
      <c r="L41" s="59"/>
      <c r="M41" s="151" t="str">
        <f>LookupData!Y10</f>
        <v>07/01/21 - 09/30/21</v>
      </c>
      <c r="N41" s="152"/>
      <c r="O41"/>
      <c r="P41"/>
    </row>
    <row r="42" spans="1:16" ht="20.25" customHeight="1" thickBot="1" x14ac:dyDescent="0.25">
      <c r="A42" s="175"/>
      <c r="B42" s="176"/>
      <c r="C42" s="181" t="s">
        <v>151</v>
      </c>
      <c r="D42" s="182"/>
      <c r="E42" s="192"/>
      <c r="F42" s="193"/>
      <c r="G42" s="193"/>
      <c r="H42" s="193"/>
      <c r="I42" s="193"/>
      <c r="J42" s="193"/>
      <c r="K42" s="194"/>
      <c r="L42" s="60"/>
      <c r="M42" s="157"/>
      <c r="N42" s="158"/>
      <c r="O42"/>
      <c r="P42"/>
    </row>
    <row r="43" spans="1:16" ht="20.25" customHeight="1" thickTop="1" thickBot="1" x14ac:dyDescent="0.25">
      <c r="A43" s="177"/>
      <c r="B43" s="178"/>
      <c r="C43" s="183" t="s">
        <v>152</v>
      </c>
      <c r="D43" s="184"/>
      <c r="E43" s="195"/>
      <c r="F43" s="196"/>
      <c r="G43" s="196"/>
      <c r="H43" s="196"/>
      <c r="I43" s="196"/>
      <c r="J43" s="196"/>
      <c r="K43" s="197"/>
      <c r="L43" s="72">
        <f>IFERROR(IF(L42=0,1,ROUND(L41/L42,4)),0)</f>
        <v>1</v>
      </c>
      <c r="M43" s="159"/>
      <c r="N43" s="160"/>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48" t="s">
        <v>169</v>
      </c>
      <c r="E45" s="148"/>
      <c r="F45" s="148"/>
      <c r="G45" s="148"/>
      <c r="H45" s="148" t="s">
        <v>166</v>
      </c>
      <c r="I45" s="148"/>
      <c r="J45" s="148"/>
      <c r="K45" s="148"/>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9cCG5Bqhs7lAKZ1CHOkREpLT0K9FpUpIwJ1gg0+J2eXF1RdyNA0K/0OCBPHb5xhBh0GARjrAFJPeJZ8lRHdUPw==" saltValue="wuI45VgD10wUR8g5TVL1XQ==" spinCount="100000" sheet="1" formatColumns="0" formatRows="0"/>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56" priority="24">
      <formula>F14&gt;(MIN($E14:E14))</formula>
    </cfRule>
  </conditionalFormatting>
  <conditionalFormatting sqref="F13:I13">
    <cfRule type="expression" dxfId="55" priority="23">
      <formula>F13&lt;(MAX($E13:E13))</formula>
    </cfRule>
  </conditionalFormatting>
  <conditionalFormatting sqref="G17:J17">
    <cfRule type="expression" dxfId="54" priority="22">
      <formula>G17&lt;(MAX($F17:F17))</formula>
    </cfRule>
  </conditionalFormatting>
  <conditionalFormatting sqref="G18:J18">
    <cfRule type="expression" dxfId="53" priority="21">
      <formula>G18&gt;(MIN($F18:F18))</formula>
    </cfRule>
  </conditionalFormatting>
  <conditionalFormatting sqref="H22:K22">
    <cfRule type="expression" dxfId="52" priority="20">
      <formula>H22&gt;(MIN($G22:G22))</formula>
    </cfRule>
  </conditionalFormatting>
  <conditionalFormatting sqref="H21:K21">
    <cfRule type="expression" dxfId="51" priority="19">
      <formula>H21&lt;(MAX($G21:G21))</formula>
    </cfRule>
  </conditionalFormatting>
  <conditionalFormatting sqref="I26:L26">
    <cfRule type="expression" dxfId="50" priority="18">
      <formula>I26&gt;(MIN($H26:H26))</formula>
    </cfRule>
  </conditionalFormatting>
  <conditionalFormatting sqref="I25:L25">
    <cfRule type="expression" dxfId="49" priority="17">
      <formula>I25&lt;(MAX($H25:H25))</formula>
    </cfRule>
  </conditionalFormatting>
  <conditionalFormatting sqref="J30:L30">
    <cfRule type="expression" dxfId="48" priority="16">
      <formula>J30&gt;(MIN($I30:I30))</formula>
    </cfRule>
  </conditionalFormatting>
  <conditionalFormatting sqref="J29:L29">
    <cfRule type="expression" dxfId="47" priority="15">
      <formula>J29&lt;(MAX($I29:I29))</formula>
    </cfRule>
  </conditionalFormatting>
  <conditionalFormatting sqref="K34:L34">
    <cfRule type="expression" dxfId="46" priority="14">
      <formula>K34&gt;(MIN($J34:J34))</formula>
    </cfRule>
  </conditionalFormatting>
  <conditionalFormatting sqref="K33:L33">
    <cfRule type="expression" dxfId="45" priority="13">
      <formula>K33&lt;(MAX($J33:J33))</formula>
    </cfRule>
  </conditionalFormatting>
  <conditionalFormatting sqref="L38">
    <cfRule type="expression" dxfId="44" priority="12">
      <formula>L38&gt;(MIN($G38:K38))</formula>
    </cfRule>
  </conditionalFormatting>
  <conditionalFormatting sqref="L37">
    <cfRule type="expression" dxfId="43" priority="11">
      <formula>L37&lt;(MAX($K37:K37))</formula>
    </cfRule>
  </conditionalFormatting>
  <conditionalFormatting sqref="I15 J19 K23 L27">
    <cfRule type="expression" dxfId="42" priority="10">
      <formula>I15&lt;$H$8</formula>
    </cfRule>
  </conditionalFormatting>
  <conditionalFormatting sqref="M16:N19">
    <cfRule type="expression" dxfId="41" priority="4">
      <formula>$J$19&lt;$H$8</formula>
    </cfRule>
  </conditionalFormatting>
  <conditionalFormatting sqref="M20:N23">
    <cfRule type="expression" dxfId="40" priority="3">
      <formula>$K$23&lt;$H$8</formula>
    </cfRule>
  </conditionalFormatting>
  <conditionalFormatting sqref="M24:N27">
    <cfRule type="expression" dxfId="39" priority="2">
      <formula>$L$27&lt;$H$8</formula>
    </cfRule>
  </conditionalFormatting>
  <conditionalFormatting sqref="M12:N15">
    <cfRule type="expression" dxfId="38" priority="1">
      <formula>$I$15&lt;$H$8</formula>
    </cfRule>
  </conditionalFormatting>
  <dataValidations count="3">
    <dataValidation type="decimal" allowBlank="1" showInputMessage="1" showErrorMessage="1" sqref="E13:I15 J33:L35 F17:J19 G21:K23 H25:L27 I29:L31 L41:L43 K37:L39">
      <formula1>-400000000</formula1>
      <formula2>400000000</formula2>
    </dataValidation>
    <dataValidation type="textLength" allowBlank="1" showInputMessage="1" showErrorMessage="1" sqref="M31">
      <formula1>0</formula1>
      <formula2>500</formula2>
    </dataValidation>
    <dataValidation type="textLength" operator="lessThanOrEqual" allowBlank="1" showInputMessage="1" showErrorMessage="1" errorTitle="Error" error="Maximum of 500 characters" sqref="N12:N27">
      <formula1>500</formula1>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LookupData!$U$3:$U$6</xm:f>
          </x14:formula1>
          <xm:sqref>H4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LookupData!$AB$3:$AB$4</xm:f>
          </x14:formula1>
          <xm:sqref>M12:M27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7"/>
  <sheetViews>
    <sheetView zoomScale="90" zoomScaleNormal="90" zoomScaleSheetLayoutView="75" zoomScalePageLayoutView="75" workbookViewId="0">
      <selection activeCell="H4" sqref="H4"/>
    </sheetView>
  </sheetViews>
  <sheetFormatPr defaultColWidth="9.140625" defaultRowHeight="15.75" x14ac:dyDescent="0.2"/>
  <cols>
    <col min="1" max="2" width="5.140625" style="6" customWidth="1"/>
    <col min="3" max="3" width="17.7109375" style="7" customWidth="1"/>
    <col min="4" max="4" width="22" style="6" customWidth="1"/>
    <col min="5" max="12" width="20.7109375" style="6" customWidth="1"/>
    <col min="13" max="13" width="18.7109375" style="6" customWidth="1"/>
    <col min="14" max="14" width="39.42578125" style="6" customWidth="1"/>
    <col min="15" max="16384" width="9.140625" style="6"/>
  </cols>
  <sheetData>
    <row r="1" spans="1:14" ht="24" customHeight="1" x14ac:dyDescent="0.2">
      <c r="A1" s="101" t="s">
        <v>126</v>
      </c>
    </row>
    <row r="2" spans="1:14" ht="24" customHeight="1" x14ac:dyDescent="0.2">
      <c r="A2" s="101" t="str">
        <f>'Circuit Criminal'!A2</f>
        <v>County Fiscal Year 2020-2021</v>
      </c>
    </row>
    <row r="3" spans="1:14" ht="24" customHeight="1" x14ac:dyDescent="0.2"/>
    <row r="4" spans="1:14" ht="24" customHeight="1" x14ac:dyDescent="0.2">
      <c r="A4" s="8"/>
      <c r="C4" s="32" t="s">
        <v>0</v>
      </c>
      <c r="D4" s="229" t="str">
        <f>'Circuit Criminal'!D4</f>
        <v>Brevard</v>
      </c>
      <c r="E4" s="229"/>
      <c r="F4" s="9"/>
      <c r="G4" s="32" t="s">
        <v>135</v>
      </c>
      <c r="H4" s="97" t="str">
        <f>'Circuit Criminal'!H4</f>
        <v>Qtr 2: Jan - Mar</v>
      </c>
      <c r="I4" s="99"/>
      <c r="K4" s="32" t="s">
        <v>1</v>
      </c>
      <c r="L4" s="79">
        <f>'Circuit Criminal'!L4</f>
        <v>1</v>
      </c>
      <c r="N4" s="208" t="str">
        <f>'Circuit Criminal'!N4</f>
        <v>CCOC Form Version 1
Created 10/01/2020</v>
      </c>
    </row>
    <row r="5" spans="1:14" ht="24" customHeight="1" thickBot="1" x14ac:dyDescent="0.25">
      <c r="A5" s="8"/>
      <c r="C5" s="32" t="s">
        <v>68</v>
      </c>
      <c r="D5" s="207" t="str">
        <f>'Circuit Criminal'!D5</f>
        <v>Andrea Butler</v>
      </c>
      <c r="E5" s="207"/>
      <c r="F5" s="9"/>
      <c r="N5" s="209"/>
    </row>
    <row r="6" spans="1:14" ht="24" customHeight="1" x14ac:dyDescent="0.2">
      <c r="A6" s="8"/>
      <c r="C6" s="32" t="s">
        <v>69</v>
      </c>
      <c r="D6" s="206" t="str">
        <f>'Circuit Criminal'!D6</f>
        <v>andrea.butler@brevardclerk.us</v>
      </c>
      <c r="E6" s="206"/>
      <c r="F6" s="9"/>
      <c r="J6" s="140" t="s">
        <v>161</v>
      </c>
      <c r="K6" s="141"/>
      <c r="L6" s="141"/>
      <c r="M6" s="141"/>
      <c r="N6" s="142"/>
    </row>
    <row r="7" spans="1:14" ht="24" customHeight="1" thickBot="1" x14ac:dyDescent="0.25">
      <c r="A7" s="8"/>
      <c r="J7" s="66" t="s">
        <v>157</v>
      </c>
      <c r="K7" s="143" t="s">
        <v>159</v>
      </c>
      <c r="L7" s="143"/>
      <c r="M7" s="143"/>
      <c r="N7" s="144"/>
    </row>
    <row r="8" spans="1:14" ht="24" customHeight="1" thickTop="1" thickBot="1" x14ac:dyDescent="0.25">
      <c r="A8" s="214" t="s">
        <v>136</v>
      </c>
      <c r="B8" s="214"/>
      <c r="C8" s="215"/>
      <c r="D8" s="29" t="str">
        <f ca="1">MID(CELL("filename",A1),FIND("]",CELL("filename",A1))+1,255)</f>
        <v>Family</v>
      </c>
      <c r="E8" s="10"/>
      <c r="F8" s="214" t="s">
        <v>137</v>
      </c>
      <c r="G8" s="214"/>
      <c r="H8" s="98">
        <f ca="1">INDEX(LookupData!AA3:AA12,MATCH(D8,LookupData!Z3:Z12,0))</f>
        <v>0.75</v>
      </c>
      <c r="J8" s="63" t="s">
        <v>158</v>
      </c>
      <c r="K8" s="145" t="s">
        <v>160</v>
      </c>
      <c r="L8" s="145"/>
      <c r="M8" s="145"/>
      <c r="N8" s="146"/>
    </row>
    <row r="9" spans="1:14" ht="19.5" customHeight="1" thickTop="1" thickBot="1" x14ac:dyDescent="0.25">
      <c r="A9" s="8"/>
      <c r="D9" s="8"/>
      <c r="E9" s="8"/>
    </row>
    <row r="10" spans="1:14" ht="25.5" customHeight="1" thickBot="1" x14ac:dyDescent="0.25">
      <c r="D10" s="1"/>
      <c r="E10" s="1"/>
      <c r="F10" s="1"/>
      <c r="G10" s="1"/>
      <c r="H10" s="1"/>
      <c r="I10" s="1"/>
      <c r="J10" s="1"/>
      <c r="K10" s="1"/>
      <c r="L10" s="1"/>
      <c r="M10" s="216" t="s">
        <v>141</v>
      </c>
      <c r="N10" s="217"/>
    </row>
    <row r="11" spans="1:14" ht="30" customHeight="1" thickBot="1" x14ac:dyDescent="0.25">
      <c r="A11" s="28"/>
      <c r="B11" s="28"/>
      <c r="C11" s="35"/>
      <c r="D11" s="1"/>
      <c r="E11" s="103" t="str">
        <f>LookupData!Y3</f>
        <v>10/01/19 - 12/31/19</v>
      </c>
      <c r="F11" s="104" t="str">
        <f>LookupData!Y4</f>
        <v>01/01/20 - 03/31/20</v>
      </c>
      <c r="G11" s="104" t="str">
        <f>LookupData!Y5</f>
        <v>04/01/20 - 06/30/20</v>
      </c>
      <c r="H11" s="104" t="str">
        <f>LookupData!Y6</f>
        <v>07/01/20 - 09/30/20</v>
      </c>
      <c r="I11" s="104" t="str">
        <f>LookupData!Y7</f>
        <v>10/01/20 - 12/31/20</v>
      </c>
      <c r="J11" s="104" t="str">
        <f>LookupData!Y8</f>
        <v>01/01/21 - 03/31/21</v>
      </c>
      <c r="K11" s="104" t="str">
        <f>LookupData!Y9</f>
        <v>04/01/21 - 06/30/21</v>
      </c>
      <c r="L11" s="105" t="str">
        <f>LookupData!Y10</f>
        <v>07/01/21 - 09/30/21</v>
      </c>
      <c r="M11" s="61" t="s">
        <v>142</v>
      </c>
      <c r="N11" s="62" t="s">
        <v>143</v>
      </c>
    </row>
    <row r="12" spans="1:14" ht="19.5" customHeight="1" thickBot="1" x14ac:dyDescent="0.25">
      <c r="A12" s="198" t="str">
        <f>LookupData!W3</f>
        <v>CGE CQ1-21</v>
      </c>
      <c r="B12" s="199"/>
      <c r="C12" s="179" t="str">
        <f>LookupData!X3</f>
        <v>RPE 12/31/19</v>
      </c>
      <c r="D12" s="180"/>
      <c r="E12" s="39" t="s">
        <v>145</v>
      </c>
      <c r="F12" s="40" t="s">
        <v>146</v>
      </c>
      <c r="G12" s="40" t="s">
        <v>147</v>
      </c>
      <c r="H12" s="40" t="s">
        <v>148</v>
      </c>
      <c r="I12" s="41" t="s">
        <v>149</v>
      </c>
      <c r="J12" s="218"/>
      <c r="K12" s="218"/>
      <c r="L12" s="218"/>
      <c r="M12" s="210"/>
      <c r="N12" s="212"/>
    </row>
    <row r="13" spans="1:14" ht="19.5" customHeight="1" x14ac:dyDescent="0.2">
      <c r="A13" s="200"/>
      <c r="B13" s="201"/>
      <c r="C13" s="181" t="s">
        <v>150</v>
      </c>
      <c r="D13" s="182"/>
      <c r="E13" s="52">
        <f ca="1">SUMIFS(LookupData!I$3:I$2682,LookupData!$A$3:$A$2682,$D$4,LookupData!$B$3:$B$2682,$D$8,LookupData!$C$3:$C$2682,$A12)</f>
        <v>276858.93</v>
      </c>
      <c r="F13" s="53">
        <f ca="1">SUMIFS(LookupData!J$3:J$2682,LookupData!$A$3:$A$2682,$D$4,LookupData!$B$3:$B$2682,$D$8,LookupData!$C$3:$C$2682,$A12)</f>
        <v>292426.21000000002</v>
      </c>
      <c r="G13" s="53">
        <f ca="1">SUMIFS(LookupData!K$3:K$2682,LookupData!$A$3:$A$2682,$D$4,LookupData!$B$3:$B$2682,$D$8,LookupData!$C$3:$C$2682,$A12)</f>
        <v>294342.55</v>
      </c>
      <c r="H13" s="53">
        <f ca="1">SUMIFS(LookupData!L$3:L$2682,LookupData!$A$3:$A$2682,$D$4,LookupData!$B$3:$B$2682,$D$8,LookupData!$C$3:$C$2682,$A12)</f>
        <v>295756.55</v>
      </c>
      <c r="I13" s="43">
        <v>296049.55</v>
      </c>
      <c r="J13" s="219"/>
      <c r="K13" s="219"/>
      <c r="L13" s="219"/>
      <c r="M13" s="211"/>
      <c r="N13" s="213"/>
    </row>
    <row r="14" spans="1:14" ht="19.5" customHeight="1" thickBot="1" x14ac:dyDescent="0.25">
      <c r="A14" s="200"/>
      <c r="B14" s="201"/>
      <c r="C14" s="181" t="s">
        <v>151</v>
      </c>
      <c r="D14" s="182"/>
      <c r="E14" s="54">
        <f ca="1">SUMIFS(LookupData!D$3:D$2682,LookupData!$A$3:$A$2682,$D$4,LookupData!$B$3:$B$2682,$D$8,LookupData!$C$3:$C$2682,$A12)</f>
        <v>318508.84999999998</v>
      </c>
      <c r="F14" s="55">
        <f ca="1">SUMIFS(LookupData!E$3:E$2682,LookupData!$A$3:$A$2682,$D$4,LookupData!$B$3:$B$2682,$D$8,LookupData!$C$3:$C$2682,$A12)</f>
        <v>317913.84999999998</v>
      </c>
      <c r="G14" s="55">
        <f ca="1">SUMIFS(LookupData!F$3:F$2682,LookupData!$A$3:$A$2682,$D$4,LookupData!$B$3:$B$2682,$D$8,LookupData!$C$3:$C$2682,$A12)</f>
        <v>317384.84999999998</v>
      </c>
      <c r="H14" s="55">
        <f ca="1">SUMIFS(LookupData!G$3:G$2682,LookupData!$A$3:$A$2682,$D$4,LookupData!$B$3:$B$2682,$D$8,LookupData!$C$3:$C$2682,$A12)</f>
        <v>317324.84999999998</v>
      </c>
      <c r="I14" s="44">
        <v>317324.84999999998</v>
      </c>
      <c r="J14" s="219"/>
      <c r="K14" s="219"/>
      <c r="L14" s="219"/>
      <c r="M14" s="211"/>
      <c r="N14" s="213"/>
    </row>
    <row r="15" spans="1:14" ht="19.5" customHeight="1" thickTop="1" thickBot="1" x14ac:dyDescent="0.25">
      <c r="A15" s="202"/>
      <c r="B15" s="203"/>
      <c r="C15" s="181" t="s">
        <v>152</v>
      </c>
      <c r="D15" s="182"/>
      <c r="E15" s="71">
        <f ca="1">IFERROR(IF(E14=0,1,ROUND(E13/E14,4)),0)</f>
        <v>0.86919999999999997</v>
      </c>
      <c r="F15" s="77">
        <f t="shared" ref="F15:H15" ca="1" si="0">IFERROR(IF(F14=0,1,ROUND(F13/F14,4)),0)</f>
        <v>0.91979999999999995</v>
      </c>
      <c r="G15" s="77">
        <f t="shared" ca="1" si="0"/>
        <v>0.9274</v>
      </c>
      <c r="H15" s="77">
        <f t="shared" ca="1" si="0"/>
        <v>0.93200000000000005</v>
      </c>
      <c r="I15" s="78">
        <f t="shared" ref="I15" si="1">IFERROR(IF(I14=0,1,ROUND(I13/I14,4)),0)</f>
        <v>0.93300000000000005</v>
      </c>
      <c r="J15" s="219"/>
      <c r="K15" s="219"/>
      <c r="L15" s="219"/>
      <c r="M15" s="211"/>
      <c r="N15" s="213"/>
    </row>
    <row r="16" spans="1:14" ht="20.25" customHeight="1" thickBot="1" x14ac:dyDescent="0.25">
      <c r="A16" s="173" t="str">
        <f>LookupData!W4</f>
        <v>CGE CQ2-21</v>
      </c>
      <c r="B16" s="174"/>
      <c r="C16" s="179" t="str">
        <f>LookupData!X4</f>
        <v>RPE 03/31/20</v>
      </c>
      <c r="D16" s="180"/>
      <c r="E16" s="185"/>
      <c r="F16" s="39" t="s">
        <v>145</v>
      </c>
      <c r="G16" s="40" t="s">
        <v>146</v>
      </c>
      <c r="H16" s="40" t="s">
        <v>147</v>
      </c>
      <c r="I16" s="40" t="s">
        <v>148</v>
      </c>
      <c r="J16" s="41" t="s">
        <v>149</v>
      </c>
      <c r="K16" s="189"/>
      <c r="L16" s="191"/>
      <c r="M16" s="167"/>
      <c r="N16" s="168"/>
    </row>
    <row r="17" spans="1:16" ht="20.25" customHeight="1" x14ac:dyDescent="0.2">
      <c r="A17" s="175"/>
      <c r="B17" s="176"/>
      <c r="C17" s="181" t="s">
        <v>150</v>
      </c>
      <c r="D17" s="182"/>
      <c r="E17" s="186"/>
      <c r="F17" s="52">
        <f ca="1">SUMIFS(LookupData!I$3:I$2682,LookupData!$A$3:$A$2682,$D$4,LookupData!$B$3:$B$2682,$D$8,LookupData!$C$3:$C$2682,$A16)</f>
        <v>279725.38</v>
      </c>
      <c r="G17" s="53">
        <f ca="1">SUMIFS(LookupData!J$3:J$2682,LookupData!$A$3:$A$2682,$D$4,LookupData!$B$3:$B$2682,$D$8,LookupData!$C$3:$C$2682,$A16)</f>
        <v>288153.28000000003</v>
      </c>
      <c r="H17" s="53">
        <f ca="1">SUMIFS(LookupData!K$3:K$2682,LookupData!$A$3:$A$2682,$D$4,LookupData!$B$3:$B$2682,$D$8,LookupData!$C$3:$C$2682,$A16)</f>
        <v>289829.81</v>
      </c>
      <c r="I17" s="30">
        <v>290696.93</v>
      </c>
      <c r="J17" s="43">
        <v>290858.93</v>
      </c>
      <c r="K17" s="192"/>
      <c r="L17" s="194"/>
      <c r="M17" s="167"/>
      <c r="N17" s="168"/>
    </row>
    <row r="18" spans="1:16" ht="20.25" customHeight="1" thickBot="1" x14ac:dyDescent="0.25">
      <c r="A18" s="175"/>
      <c r="B18" s="176"/>
      <c r="C18" s="181" t="s">
        <v>151</v>
      </c>
      <c r="D18" s="182"/>
      <c r="E18" s="186"/>
      <c r="F18" s="54">
        <f ca="1">SUMIFS(LookupData!D$3:D$2682,LookupData!$A$3:$A$2682,$D$4,LookupData!$B$3:$B$2682,$D$8,LookupData!$C$3:$C$2682,$A16)</f>
        <v>310336.8</v>
      </c>
      <c r="G18" s="55">
        <f ca="1">SUMIFS(LookupData!E$3:E$2682,LookupData!$A$3:$A$2682,$D$4,LookupData!$B$3:$B$2682,$D$8,LookupData!$C$3:$C$2682,$A16)</f>
        <v>310336.8</v>
      </c>
      <c r="H18" s="55">
        <f ca="1">SUMIFS(LookupData!F$3:F$2682,LookupData!$A$3:$A$2682,$D$4,LookupData!$B$3:$B$2682,$D$8,LookupData!$C$3:$C$2682,$A16)</f>
        <v>310336.8</v>
      </c>
      <c r="I18" s="38">
        <v>310216.8</v>
      </c>
      <c r="J18" s="44">
        <v>310096.8</v>
      </c>
      <c r="K18" s="192"/>
      <c r="L18" s="194"/>
      <c r="M18" s="167"/>
      <c r="N18" s="168"/>
    </row>
    <row r="19" spans="1:16" ht="20.25" customHeight="1" thickTop="1" thickBot="1" x14ac:dyDescent="0.25">
      <c r="A19" s="177"/>
      <c r="B19" s="178"/>
      <c r="C19" s="183" t="s">
        <v>152</v>
      </c>
      <c r="D19" s="184"/>
      <c r="E19" s="187"/>
      <c r="F19" s="73">
        <f ca="1">IFERROR(IF(F18=0,1,ROUND(F17/F18,4)),0)</f>
        <v>0.90139999999999998</v>
      </c>
      <c r="G19" s="75">
        <f t="shared" ref="G19:H19" ca="1" si="2">IFERROR(IF(G18=0,1,ROUND(G17/G18,4)),0)</f>
        <v>0.92849999999999999</v>
      </c>
      <c r="H19" s="75">
        <f t="shared" ca="1" si="2"/>
        <v>0.93389999999999995</v>
      </c>
      <c r="I19" s="75">
        <f t="shared" ref="I19:J19" si="3">IFERROR(IF(I18=0,1,ROUND(I17/I18,4)),0)</f>
        <v>0.93710000000000004</v>
      </c>
      <c r="J19" s="76">
        <f t="shared" si="3"/>
        <v>0.93799999999999994</v>
      </c>
      <c r="K19" s="195"/>
      <c r="L19" s="197"/>
      <c r="M19" s="167"/>
      <c r="N19" s="168"/>
    </row>
    <row r="20" spans="1:16" ht="20.25" customHeight="1" thickBot="1" x14ac:dyDescent="0.25">
      <c r="A20" s="198" t="str">
        <f>LookupData!W5</f>
        <v>CGE CQ3-21</v>
      </c>
      <c r="B20" s="199"/>
      <c r="C20" s="204" t="str">
        <f>LookupData!X5</f>
        <v>RPE 06/30/20</v>
      </c>
      <c r="D20" s="205"/>
      <c r="E20" s="163"/>
      <c r="F20" s="188"/>
      <c r="G20" s="50" t="s">
        <v>145</v>
      </c>
      <c r="H20" s="36" t="s">
        <v>146</v>
      </c>
      <c r="I20" s="36" t="s">
        <v>147</v>
      </c>
      <c r="J20" s="36" t="s">
        <v>148</v>
      </c>
      <c r="K20" s="51" t="s">
        <v>149</v>
      </c>
      <c r="L20" s="192"/>
      <c r="M20" s="167"/>
      <c r="N20" s="168"/>
    </row>
    <row r="21" spans="1:16" ht="20.25" customHeight="1" x14ac:dyDescent="0.2">
      <c r="A21" s="200"/>
      <c r="B21" s="201"/>
      <c r="C21" s="181" t="s">
        <v>150</v>
      </c>
      <c r="D21" s="182"/>
      <c r="E21" s="163"/>
      <c r="F21" s="188"/>
      <c r="G21" s="52">
        <f ca="1">SUMIFS(LookupData!I$3:I$2682,LookupData!$A$3:$A$2682,$D$4,LookupData!$B$3:$B$2682,$D$8,LookupData!$C$3:$C$2682,$A20)</f>
        <v>258137.24</v>
      </c>
      <c r="H21" s="53">
        <f ca="1">SUMIFS(LookupData!J$3:J$2682,LookupData!$A$3:$A$2682,$D$4,LookupData!$B$3:$B$2682,$D$8,LookupData!$C$3:$C$2682,$A20)</f>
        <v>265197.24</v>
      </c>
      <c r="I21" s="30">
        <v>267049.24</v>
      </c>
      <c r="J21" s="30">
        <v>267661.24</v>
      </c>
      <c r="K21" s="43"/>
      <c r="L21" s="192"/>
      <c r="M21" s="167"/>
      <c r="N21" s="168"/>
    </row>
    <row r="22" spans="1:16" ht="20.25" customHeight="1" thickBot="1" x14ac:dyDescent="0.25">
      <c r="A22" s="200"/>
      <c r="B22" s="201"/>
      <c r="C22" s="181" t="s">
        <v>151</v>
      </c>
      <c r="D22" s="182"/>
      <c r="E22" s="163"/>
      <c r="F22" s="188"/>
      <c r="G22" s="54">
        <f ca="1">SUMIFS(LookupData!D$3:D$2682,LookupData!$A$3:$A$2682,$D$4,LookupData!$B$3:$B$2682,$D$8,LookupData!$C$3:$C$2682,$A20)</f>
        <v>281267.25</v>
      </c>
      <c r="H22" s="55">
        <f ca="1">SUMIFS(LookupData!E$3:E$2682,LookupData!$A$3:$A$2682,$D$4,LookupData!$B$3:$B$2682,$D$8,LookupData!$C$3:$C$2682,$A20)</f>
        <v>280858.25</v>
      </c>
      <c r="I22" s="38">
        <v>280858.25</v>
      </c>
      <c r="J22" s="38">
        <v>280858.25</v>
      </c>
      <c r="K22" s="44"/>
      <c r="L22" s="192"/>
      <c r="M22" s="167"/>
      <c r="N22" s="168"/>
    </row>
    <row r="23" spans="1:16" ht="20.25" customHeight="1" thickTop="1" thickBot="1" x14ac:dyDescent="0.25">
      <c r="A23" s="202"/>
      <c r="B23" s="203"/>
      <c r="C23" s="181" t="s">
        <v>152</v>
      </c>
      <c r="D23" s="182"/>
      <c r="E23" s="163"/>
      <c r="F23" s="188"/>
      <c r="G23" s="71">
        <f t="shared" ref="G23:H23" ca="1" si="4">IFERROR(IF(G22=0,1,ROUND(G21/G22,4)),0)</f>
        <v>0.91779999999999995</v>
      </c>
      <c r="H23" s="77">
        <f t="shared" ca="1" si="4"/>
        <v>0.94420000000000004</v>
      </c>
      <c r="I23" s="77">
        <f t="shared" ref="I23:K23" si="5">IFERROR(IF(I22=0,1,ROUND(I21/I22,4)),0)</f>
        <v>0.95079999999999998</v>
      </c>
      <c r="J23" s="77">
        <f t="shared" si="5"/>
        <v>0.95299999999999996</v>
      </c>
      <c r="K23" s="78">
        <f t="shared" si="5"/>
        <v>1</v>
      </c>
      <c r="L23" s="192"/>
      <c r="M23" s="167"/>
      <c r="N23" s="168"/>
      <c r="O23"/>
      <c r="P23"/>
    </row>
    <row r="24" spans="1:16" ht="20.25" customHeight="1" thickBot="1" x14ac:dyDescent="0.25">
      <c r="A24" s="173" t="str">
        <f>LookupData!W6</f>
        <v>CGE CQ4-21</v>
      </c>
      <c r="B24" s="174"/>
      <c r="C24" s="179" t="str">
        <f>LookupData!X6</f>
        <v>RPE 09/30/20</v>
      </c>
      <c r="D24" s="180"/>
      <c r="E24" s="189"/>
      <c r="F24" s="190"/>
      <c r="G24" s="191"/>
      <c r="H24" s="39" t="s">
        <v>145</v>
      </c>
      <c r="I24" s="40" t="s">
        <v>146</v>
      </c>
      <c r="J24" s="40" t="s">
        <v>147</v>
      </c>
      <c r="K24" s="40" t="s">
        <v>148</v>
      </c>
      <c r="L24" s="41" t="s">
        <v>149</v>
      </c>
      <c r="M24" s="169"/>
      <c r="N24" s="171"/>
      <c r="O24"/>
      <c r="P24"/>
    </row>
    <row r="25" spans="1:16" ht="20.25" customHeight="1" x14ac:dyDescent="0.2">
      <c r="A25" s="175"/>
      <c r="B25" s="176"/>
      <c r="C25" s="181" t="s">
        <v>150</v>
      </c>
      <c r="D25" s="182"/>
      <c r="E25" s="192"/>
      <c r="F25" s="193"/>
      <c r="G25" s="194"/>
      <c r="H25" s="52">
        <f ca="1">SUMIFS(LookupData!I$3:I$2682,LookupData!$A$3:$A$2682,$D$4,LookupData!$B$3:$B$2682,$D$8,LookupData!$C$3:$C$2682,$A24)</f>
        <v>310291.48</v>
      </c>
      <c r="I25" s="30">
        <v>318276.82</v>
      </c>
      <c r="J25" s="30">
        <v>324424.65000000002</v>
      </c>
      <c r="K25" s="30"/>
      <c r="L25" s="43"/>
      <c r="M25" s="169"/>
      <c r="N25" s="171"/>
      <c r="O25"/>
      <c r="P25"/>
    </row>
    <row r="26" spans="1:16" ht="20.25" customHeight="1" thickBot="1" x14ac:dyDescent="0.25">
      <c r="A26" s="175"/>
      <c r="B26" s="176"/>
      <c r="C26" s="181" t="s">
        <v>151</v>
      </c>
      <c r="D26" s="182"/>
      <c r="E26" s="192"/>
      <c r="F26" s="193"/>
      <c r="G26" s="194"/>
      <c r="H26" s="54">
        <f ca="1">SUMIFS(LookupData!D$3:D$2682,LookupData!$A$3:$A$2682,$D$4,LookupData!$B$3:$B$2682,$D$8,LookupData!$C$3:$C$2682,$A24)</f>
        <v>341167.5</v>
      </c>
      <c r="I26" s="38">
        <v>340692.5</v>
      </c>
      <c r="J26" s="38">
        <v>340632.5</v>
      </c>
      <c r="K26" s="38"/>
      <c r="L26" s="44"/>
      <c r="M26" s="169"/>
      <c r="N26" s="171"/>
      <c r="O26"/>
      <c r="P26"/>
    </row>
    <row r="27" spans="1:16" ht="20.25" customHeight="1" thickTop="1" thickBot="1" x14ac:dyDescent="0.25">
      <c r="A27" s="177"/>
      <c r="B27" s="178"/>
      <c r="C27" s="183" t="s">
        <v>152</v>
      </c>
      <c r="D27" s="184"/>
      <c r="E27" s="195"/>
      <c r="F27" s="196"/>
      <c r="G27" s="197"/>
      <c r="H27" s="73">
        <f t="shared" ref="H27" ca="1" si="6">IFERROR(IF(H26=0,1,ROUND(H25/H26,4)),0)</f>
        <v>0.90949999999999998</v>
      </c>
      <c r="I27" s="75">
        <f t="shared" ref="I27:L27" si="7">IFERROR(IF(I26=0,1,ROUND(I25/I26,4)),0)</f>
        <v>0.93420000000000003</v>
      </c>
      <c r="J27" s="75">
        <f t="shared" si="7"/>
        <v>0.95240000000000002</v>
      </c>
      <c r="K27" s="75">
        <f t="shared" si="7"/>
        <v>1</v>
      </c>
      <c r="L27" s="76">
        <f t="shared" si="7"/>
        <v>1</v>
      </c>
      <c r="M27" s="170"/>
      <c r="N27" s="172"/>
      <c r="O27"/>
      <c r="P27"/>
    </row>
    <row r="28" spans="1:16" ht="20.25" customHeight="1" thickBot="1" x14ac:dyDescent="0.25">
      <c r="A28" s="198" t="str">
        <f>LookupData!W7</f>
        <v>CGE CQ1-22</v>
      </c>
      <c r="B28" s="199"/>
      <c r="C28" s="179" t="str">
        <f>LookupData!X7</f>
        <v>RPE 12/31/20</v>
      </c>
      <c r="D28" s="180"/>
      <c r="E28" s="189"/>
      <c r="F28" s="190"/>
      <c r="G28" s="190"/>
      <c r="H28" s="191"/>
      <c r="I28" s="39" t="s">
        <v>145</v>
      </c>
      <c r="J28" s="40" t="s">
        <v>146</v>
      </c>
      <c r="K28" s="40" t="s">
        <v>147</v>
      </c>
      <c r="L28" s="41" t="s">
        <v>148</v>
      </c>
      <c r="M28" s="161"/>
      <c r="N28" s="162"/>
      <c r="O28"/>
      <c r="P28"/>
    </row>
    <row r="29" spans="1:16" ht="20.25" customHeight="1" x14ac:dyDescent="0.2">
      <c r="A29" s="200"/>
      <c r="B29" s="201"/>
      <c r="C29" s="181" t="s">
        <v>150</v>
      </c>
      <c r="D29" s="182"/>
      <c r="E29" s="192"/>
      <c r="F29" s="193"/>
      <c r="G29" s="193"/>
      <c r="H29" s="194"/>
      <c r="I29" s="42">
        <v>248568.51</v>
      </c>
      <c r="J29" s="30">
        <v>261650.76</v>
      </c>
      <c r="K29" s="30"/>
      <c r="L29" s="43"/>
      <c r="M29" s="163"/>
      <c r="N29" s="164"/>
      <c r="O29"/>
      <c r="P29"/>
    </row>
    <row r="30" spans="1:16" ht="20.25" customHeight="1" thickBot="1" x14ac:dyDescent="0.25">
      <c r="A30" s="200"/>
      <c r="B30" s="201"/>
      <c r="C30" s="181" t="s">
        <v>151</v>
      </c>
      <c r="D30" s="182"/>
      <c r="E30" s="192"/>
      <c r="F30" s="193"/>
      <c r="G30" s="193"/>
      <c r="H30" s="194"/>
      <c r="I30" s="37">
        <v>277215.3</v>
      </c>
      <c r="J30" s="38">
        <v>276910.3</v>
      </c>
      <c r="K30" s="38"/>
      <c r="L30" s="44"/>
      <c r="M30" s="165"/>
      <c r="N30" s="166"/>
      <c r="O30"/>
      <c r="P30"/>
    </row>
    <row r="31" spans="1:16" ht="20.25" customHeight="1" thickTop="1" thickBot="1" x14ac:dyDescent="0.25">
      <c r="A31" s="202"/>
      <c r="B31" s="203"/>
      <c r="C31" s="183" t="s">
        <v>152</v>
      </c>
      <c r="D31" s="184"/>
      <c r="E31" s="195"/>
      <c r="F31" s="196"/>
      <c r="G31" s="196"/>
      <c r="H31" s="197"/>
      <c r="I31" s="73">
        <f t="shared" ref="I31:L31" si="8">IFERROR(IF(I30=0,1,ROUND(I29/I30,4)),0)</f>
        <v>0.89670000000000005</v>
      </c>
      <c r="J31" s="75">
        <f t="shared" si="8"/>
        <v>0.94489999999999996</v>
      </c>
      <c r="K31" s="75">
        <f t="shared" si="8"/>
        <v>1</v>
      </c>
      <c r="L31" s="74">
        <f t="shared" si="8"/>
        <v>1</v>
      </c>
      <c r="M31" s="138" t="s">
        <v>153</v>
      </c>
      <c r="N31" s="139"/>
      <c r="O31"/>
      <c r="P31"/>
    </row>
    <row r="32" spans="1:16" ht="20.25" customHeight="1" thickBot="1" x14ac:dyDescent="0.25">
      <c r="A32" s="173" t="str">
        <f>LookupData!W8</f>
        <v>CGE CQ2-22</v>
      </c>
      <c r="B32" s="174"/>
      <c r="C32" s="179" t="str">
        <f>LookupData!X8</f>
        <v>RPE 03/31/21</v>
      </c>
      <c r="D32" s="180"/>
      <c r="E32" s="189"/>
      <c r="F32" s="190"/>
      <c r="G32" s="190"/>
      <c r="H32" s="190"/>
      <c r="I32" s="191"/>
      <c r="J32" s="39" t="s">
        <v>145</v>
      </c>
      <c r="K32" s="40" t="s">
        <v>146</v>
      </c>
      <c r="L32" s="40" t="s">
        <v>147</v>
      </c>
      <c r="M32" s="149" t="str">
        <f>LookupData!Y7</f>
        <v>10/01/20 - 12/31/20</v>
      </c>
      <c r="N32" s="150"/>
      <c r="O32"/>
      <c r="P32"/>
    </row>
    <row r="33" spans="1:16" ht="20.25" customHeight="1" x14ac:dyDescent="0.2">
      <c r="A33" s="175"/>
      <c r="B33" s="176"/>
      <c r="C33" s="181" t="s">
        <v>150</v>
      </c>
      <c r="D33" s="182"/>
      <c r="E33" s="192"/>
      <c r="F33" s="193"/>
      <c r="G33" s="193"/>
      <c r="H33" s="193"/>
      <c r="I33" s="194"/>
      <c r="J33" s="42">
        <v>303587.96999999997</v>
      </c>
      <c r="K33" s="30"/>
      <c r="L33" s="48"/>
      <c r="M33" s="153"/>
      <c r="N33" s="154"/>
      <c r="O33"/>
      <c r="P33"/>
    </row>
    <row r="34" spans="1:16" ht="20.25" customHeight="1" thickBot="1" x14ac:dyDescent="0.25">
      <c r="A34" s="175"/>
      <c r="B34" s="176"/>
      <c r="C34" s="181" t="s">
        <v>151</v>
      </c>
      <c r="D34" s="182"/>
      <c r="E34" s="192"/>
      <c r="F34" s="193"/>
      <c r="G34" s="193"/>
      <c r="H34" s="193"/>
      <c r="I34" s="194"/>
      <c r="J34" s="37">
        <v>335834.3</v>
      </c>
      <c r="K34" s="38"/>
      <c r="L34" s="49"/>
      <c r="M34" s="155"/>
      <c r="N34" s="156"/>
      <c r="O34"/>
      <c r="P34"/>
    </row>
    <row r="35" spans="1:16" ht="20.25" customHeight="1" thickTop="1" thickBot="1" x14ac:dyDescent="0.25">
      <c r="A35" s="177"/>
      <c r="B35" s="178"/>
      <c r="C35" s="183" t="s">
        <v>152</v>
      </c>
      <c r="D35" s="184"/>
      <c r="E35" s="195"/>
      <c r="F35" s="196"/>
      <c r="G35" s="196"/>
      <c r="H35" s="196"/>
      <c r="I35" s="197"/>
      <c r="J35" s="73">
        <f t="shared" ref="J35:L35" si="9">IFERROR(IF(J34=0,1,ROUND(J33/J34,4)),0)</f>
        <v>0.90400000000000003</v>
      </c>
      <c r="K35" s="75">
        <f t="shared" si="9"/>
        <v>1</v>
      </c>
      <c r="L35" s="74">
        <f t="shared" si="9"/>
        <v>1</v>
      </c>
      <c r="M35" s="151" t="str">
        <f>LookupData!Y8</f>
        <v>01/01/21 - 03/31/21</v>
      </c>
      <c r="N35" s="152"/>
      <c r="O35"/>
      <c r="P35"/>
    </row>
    <row r="36" spans="1:16" ht="20.25" customHeight="1" thickBot="1" x14ac:dyDescent="0.25">
      <c r="A36" s="198" t="str">
        <f>LookupData!W9</f>
        <v>CGE CQ3-22</v>
      </c>
      <c r="B36" s="199"/>
      <c r="C36" s="179" t="str">
        <f>LookupData!X9</f>
        <v>RPE 06/30/21</v>
      </c>
      <c r="D36" s="180"/>
      <c r="E36" s="189"/>
      <c r="F36" s="190"/>
      <c r="G36" s="190"/>
      <c r="H36" s="190"/>
      <c r="I36" s="190"/>
      <c r="J36" s="191"/>
      <c r="K36" s="39" t="s">
        <v>145</v>
      </c>
      <c r="L36" s="40" t="s">
        <v>146</v>
      </c>
      <c r="M36" s="157"/>
      <c r="N36" s="158"/>
      <c r="O36"/>
      <c r="P36"/>
    </row>
    <row r="37" spans="1:16" ht="20.25" customHeight="1" thickBot="1" x14ac:dyDescent="0.25">
      <c r="A37" s="200"/>
      <c r="B37" s="201"/>
      <c r="C37" s="181" t="s">
        <v>150</v>
      </c>
      <c r="D37" s="182"/>
      <c r="E37" s="192"/>
      <c r="F37" s="193"/>
      <c r="G37" s="193"/>
      <c r="H37" s="193"/>
      <c r="I37" s="193"/>
      <c r="J37" s="194"/>
      <c r="K37" s="42"/>
      <c r="L37" s="30"/>
      <c r="M37" s="159"/>
      <c r="N37" s="160"/>
      <c r="O37"/>
      <c r="P37"/>
    </row>
    <row r="38" spans="1:16" ht="20.25" customHeight="1" thickBot="1" x14ac:dyDescent="0.25">
      <c r="A38" s="200"/>
      <c r="B38" s="201"/>
      <c r="C38" s="181" t="s">
        <v>151</v>
      </c>
      <c r="D38" s="182"/>
      <c r="E38" s="192"/>
      <c r="F38" s="193"/>
      <c r="G38" s="193"/>
      <c r="H38" s="193"/>
      <c r="I38" s="193"/>
      <c r="J38" s="194"/>
      <c r="K38" s="37"/>
      <c r="L38" s="38"/>
      <c r="M38" s="151" t="str">
        <f>LookupData!Y9</f>
        <v>04/01/21 - 06/30/21</v>
      </c>
      <c r="N38" s="152"/>
      <c r="O38"/>
      <c r="P38"/>
    </row>
    <row r="39" spans="1:16" ht="20.25" customHeight="1" thickTop="1" thickBot="1" x14ac:dyDescent="0.25">
      <c r="A39" s="202"/>
      <c r="B39" s="203"/>
      <c r="C39" s="183" t="s">
        <v>152</v>
      </c>
      <c r="D39" s="184"/>
      <c r="E39" s="195"/>
      <c r="F39" s="196"/>
      <c r="G39" s="196"/>
      <c r="H39" s="196"/>
      <c r="I39" s="196"/>
      <c r="J39" s="197"/>
      <c r="K39" s="73">
        <f t="shared" ref="K39:L39" si="10">IFERROR(IF(K38=0,1,ROUND(K37/K38,4)),0)</f>
        <v>1</v>
      </c>
      <c r="L39" s="74">
        <f t="shared" si="10"/>
        <v>1</v>
      </c>
      <c r="M39" s="157"/>
      <c r="N39" s="158"/>
      <c r="O39"/>
      <c r="P39"/>
    </row>
    <row r="40" spans="1:16" ht="20.25" customHeight="1" thickBot="1" x14ac:dyDescent="0.25">
      <c r="A40" s="173" t="str">
        <f>LookupData!W10</f>
        <v>CGE CQ4-22</v>
      </c>
      <c r="B40" s="174"/>
      <c r="C40" s="179" t="str">
        <f>LookupData!X10</f>
        <v>RPE 09/30/21</v>
      </c>
      <c r="D40" s="180"/>
      <c r="E40" s="189"/>
      <c r="F40" s="190"/>
      <c r="G40" s="190"/>
      <c r="H40" s="190"/>
      <c r="I40" s="190"/>
      <c r="J40" s="190"/>
      <c r="K40" s="191"/>
      <c r="L40" s="39" t="s">
        <v>145</v>
      </c>
      <c r="M40" s="159"/>
      <c r="N40" s="160"/>
      <c r="O40"/>
      <c r="P40"/>
    </row>
    <row r="41" spans="1:16" ht="20.25" customHeight="1" x14ac:dyDescent="0.2">
      <c r="A41" s="175"/>
      <c r="B41" s="176"/>
      <c r="C41" s="181" t="s">
        <v>150</v>
      </c>
      <c r="D41" s="182"/>
      <c r="E41" s="192"/>
      <c r="F41" s="193"/>
      <c r="G41" s="193"/>
      <c r="H41" s="193"/>
      <c r="I41" s="193"/>
      <c r="J41" s="193"/>
      <c r="K41" s="194"/>
      <c r="L41" s="59"/>
      <c r="M41" s="151" t="str">
        <f>LookupData!Y10</f>
        <v>07/01/21 - 09/30/21</v>
      </c>
      <c r="N41" s="152"/>
      <c r="O41"/>
      <c r="P41"/>
    </row>
    <row r="42" spans="1:16" ht="20.25" customHeight="1" thickBot="1" x14ac:dyDescent="0.25">
      <c r="A42" s="175"/>
      <c r="B42" s="176"/>
      <c r="C42" s="181" t="s">
        <v>151</v>
      </c>
      <c r="D42" s="182"/>
      <c r="E42" s="192"/>
      <c r="F42" s="193"/>
      <c r="G42" s="193"/>
      <c r="H42" s="193"/>
      <c r="I42" s="193"/>
      <c r="J42" s="193"/>
      <c r="K42" s="194"/>
      <c r="L42" s="60"/>
      <c r="M42" s="157"/>
      <c r="N42" s="158"/>
      <c r="O42"/>
      <c r="P42"/>
    </row>
    <row r="43" spans="1:16" ht="20.25" customHeight="1" thickTop="1" thickBot="1" x14ac:dyDescent="0.25">
      <c r="A43" s="177"/>
      <c r="B43" s="178"/>
      <c r="C43" s="183" t="s">
        <v>152</v>
      </c>
      <c r="D43" s="184"/>
      <c r="E43" s="195"/>
      <c r="F43" s="196"/>
      <c r="G43" s="196"/>
      <c r="H43" s="196"/>
      <c r="I43" s="196"/>
      <c r="J43" s="196"/>
      <c r="K43" s="197"/>
      <c r="L43" s="72">
        <f>IFERROR(IF(L42=0,1,ROUND(L41/L42,4)),0)</f>
        <v>1</v>
      </c>
      <c r="M43" s="159"/>
      <c r="N43" s="160"/>
      <c r="O43"/>
      <c r="P43"/>
    </row>
    <row r="44" spans="1:16" ht="20.25" customHeight="1" x14ac:dyDescent="0.25">
      <c r="D44" s="11"/>
      <c r="E44" s="11"/>
      <c r="F44" s="11"/>
      <c r="G44" s="11"/>
      <c r="H44" s="11"/>
      <c r="I44" s="11"/>
      <c r="J44" s="11"/>
      <c r="K44" s="11"/>
      <c r="L44" s="11"/>
      <c r="M44" s="11"/>
      <c r="N44" s="12"/>
    </row>
    <row r="45" spans="1:16" ht="61.5" customHeight="1" x14ac:dyDescent="0.3">
      <c r="C45" s="67" t="s">
        <v>162</v>
      </c>
      <c r="D45" s="148" t="s">
        <v>169</v>
      </c>
      <c r="E45" s="148"/>
      <c r="F45" s="148"/>
      <c r="G45" s="148"/>
      <c r="H45" s="148" t="s">
        <v>166</v>
      </c>
      <c r="I45" s="148"/>
      <c r="J45" s="148"/>
      <c r="K45" s="148"/>
      <c r="L45" s="68"/>
      <c r="M45" s="58"/>
      <c r="N45" s="12"/>
    </row>
    <row r="46" spans="1:16" ht="20.25" customHeight="1" x14ac:dyDescent="0.3">
      <c r="C46" s="57" t="s">
        <v>163</v>
      </c>
      <c r="D46" s="58" t="s">
        <v>164</v>
      </c>
      <c r="E46" s="58"/>
      <c r="F46" s="58"/>
      <c r="G46" s="58"/>
      <c r="H46" s="58"/>
      <c r="I46" s="58"/>
      <c r="J46" s="58"/>
      <c r="K46" s="58"/>
      <c r="L46" s="58"/>
      <c r="M46" s="58"/>
      <c r="N46" s="12"/>
    </row>
    <row r="47" spans="1:16" ht="20.25" customHeight="1" x14ac:dyDescent="0.3">
      <c r="C47" s="58"/>
      <c r="D47" s="58" t="s">
        <v>207</v>
      </c>
      <c r="E47" s="58"/>
      <c r="F47" s="58"/>
      <c r="G47" s="58"/>
      <c r="H47" s="58"/>
      <c r="I47" s="58"/>
      <c r="J47" s="58"/>
      <c r="K47" s="58"/>
      <c r="L47" s="58"/>
      <c r="M47" s="58"/>
      <c r="N47" s="12"/>
    </row>
    <row r="48" spans="1:16" ht="20.25" customHeight="1" x14ac:dyDescent="0.3">
      <c r="C48" s="58"/>
      <c r="D48" s="58" t="s">
        <v>208</v>
      </c>
      <c r="E48" s="58"/>
      <c r="F48" s="58"/>
      <c r="G48" s="58"/>
      <c r="H48" s="58"/>
      <c r="I48" s="58"/>
      <c r="J48" s="58"/>
      <c r="K48" s="58"/>
      <c r="L48" s="58"/>
      <c r="M48" s="58"/>
      <c r="N48" s="12"/>
    </row>
    <row r="49" spans="3:14" ht="20.25" customHeight="1" x14ac:dyDescent="0.3">
      <c r="C49" s="58"/>
      <c r="D49" s="58"/>
      <c r="E49" s="58" t="s">
        <v>167</v>
      </c>
      <c r="F49" s="58"/>
      <c r="G49" s="58"/>
      <c r="H49" s="58"/>
      <c r="I49" s="58"/>
      <c r="J49" s="58"/>
      <c r="K49" s="58"/>
      <c r="L49" s="58"/>
      <c r="M49" s="58"/>
      <c r="N49" s="12"/>
    </row>
    <row r="50" spans="3:14" ht="20.25" customHeight="1" x14ac:dyDescent="0.3">
      <c r="C50" s="58"/>
      <c r="D50" s="58"/>
      <c r="E50" s="58" t="s">
        <v>168</v>
      </c>
      <c r="F50" s="58"/>
      <c r="G50" s="58"/>
      <c r="H50" s="58"/>
      <c r="I50" s="58"/>
      <c r="J50" s="58"/>
      <c r="K50" s="58"/>
      <c r="L50" s="58"/>
      <c r="M50" s="58"/>
      <c r="N50" s="12"/>
    </row>
    <row r="51" spans="3:14" ht="20.25" customHeight="1" x14ac:dyDescent="0.3">
      <c r="C51" s="69"/>
      <c r="D51" s="58" t="s">
        <v>165</v>
      </c>
      <c r="E51" s="69"/>
      <c r="F51" s="69"/>
      <c r="G51" s="69"/>
      <c r="H51" s="70"/>
      <c r="I51" s="58"/>
      <c r="J51" s="58"/>
      <c r="K51" s="58"/>
      <c r="L51" s="58"/>
      <c r="M51" s="58"/>
      <c r="N51" s="12"/>
    </row>
    <row r="52" spans="3:14" ht="20.25" customHeight="1" x14ac:dyDescent="0.25">
      <c r="D52" s="11"/>
      <c r="E52" s="11"/>
      <c r="F52" s="11"/>
      <c r="G52" s="11"/>
      <c r="H52" s="11"/>
      <c r="I52" s="11"/>
      <c r="J52" s="11"/>
      <c r="K52" s="11"/>
      <c r="L52" s="11"/>
      <c r="M52" s="11"/>
      <c r="N52" s="12"/>
    </row>
    <row r="53" spans="3:14" ht="20.25" customHeight="1" x14ac:dyDescent="0.25">
      <c r="D53" s="11"/>
      <c r="E53" s="11"/>
      <c r="F53" s="11"/>
      <c r="G53" s="11"/>
      <c r="H53" s="11"/>
      <c r="I53" s="11"/>
      <c r="J53" s="11"/>
      <c r="K53" s="11"/>
      <c r="L53" s="11"/>
      <c r="M53" s="11"/>
      <c r="N53" s="12"/>
    </row>
    <row r="54" spans="3:14" ht="20.25" customHeight="1" x14ac:dyDescent="0.25">
      <c r="D54" s="11"/>
      <c r="E54" s="11"/>
      <c r="F54" s="11"/>
      <c r="G54" s="11"/>
      <c r="H54" s="11"/>
      <c r="I54" s="11"/>
      <c r="J54" s="11"/>
      <c r="K54" s="11"/>
      <c r="L54" s="11"/>
      <c r="M54" s="11"/>
      <c r="N54" s="12"/>
    </row>
    <row r="55" spans="3:14" ht="20.25" customHeight="1" x14ac:dyDescent="0.25">
      <c r="D55" s="11"/>
      <c r="E55" s="11"/>
      <c r="F55" s="11"/>
      <c r="G55" s="11"/>
      <c r="H55" s="11"/>
      <c r="I55" s="11"/>
      <c r="J55" s="11"/>
      <c r="K55" s="11"/>
      <c r="L55" s="11"/>
      <c r="M55" s="11"/>
      <c r="N55" s="12"/>
    </row>
    <row r="56" spans="3:14" ht="20.25" customHeight="1" x14ac:dyDescent="0.25">
      <c r="D56" s="11"/>
      <c r="E56" s="11"/>
      <c r="F56" s="11"/>
      <c r="G56" s="11"/>
      <c r="H56" s="11"/>
      <c r="I56" s="11"/>
      <c r="J56" s="11"/>
      <c r="K56" s="11"/>
      <c r="L56" s="11"/>
      <c r="M56" s="11"/>
      <c r="N56" s="12"/>
    </row>
    <row r="57" spans="3:14" ht="20.25" customHeight="1" x14ac:dyDescent="0.25">
      <c r="D57" s="11"/>
      <c r="E57" s="11"/>
      <c r="F57" s="11"/>
      <c r="G57" s="11"/>
      <c r="H57" s="11"/>
      <c r="I57" s="11"/>
      <c r="J57" s="11"/>
      <c r="K57" s="11"/>
      <c r="L57" s="11"/>
      <c r="M57" s="11"/>
      <c r="N57" s="12"/>
    </row>
    <row r="58" spans="3:14" ht="20.25" customHeight="1" x14ac:dyDescent="0.25">
      <c r="D58" s="11"/>
      <c r="E58" s="11"/>
      <c r="F58" s="11"/>
      <c r="G58" s="11"/>
      <c r="H58" s="11"/>
      <c r="I58" s="11"/>
      <c r="J58" s="11"/>
      <c r="K58" s="11"/>
      <c r="L58" s="11"/>
      <c r="M58" s="11"/>
      <c r="N58" s="12"/>
    </row>
    <row r="59" spans="3:14" ht="20.25" customHeight="1" x14ac:dyDescent="0.25">
      <c r="D59" s="11"/>
      <c r="E59" s="11"/>
      <c r="F59" s="11"/>
      <c r="G59" s="11"/>
      <c r="H59" s="11"/>
      <c r="I59" s="11"/>
      <c r="J59" s="11"/>
      <c r="K59" s="11"/>
      <c r="L59" s="11"/>
      <c r="M59" s="11"/>
      <c r="N59" s="12"/>
    </row>
    <row r="60" spans="3:14" ht="20.25" customHeight="1" x14ac:dyDescent="0.25">
      <c r="D60" s="11"/>
      <c r="E60" s="11"/>
      <c r="F60" s="11"/>
      <c r="G60" s="11"/>
      <c r="H60" s="11"/>
      <c r="I60" s="11"/>
      <c r="J60" s="11"/>
      <c r="K60" s="11"/>
      <c r="L60" s="11"/>
      <c r="M60" s="11"/>
      <c r="N60" s="12"/>
    </row>
    <row r="61" spans="3:14" ht="20.25" customHeight="1" x14ac:dyDescent="0.25">
      <c r="D61" s="11"/>
      <c r="E61" s="11"/>
      <c r="F61" s="11"/>
      <c r="G61" s="11"/>
      <c r="H61" s="11"/>
      <c r="I61" s="11"/>
      <c r="J61" s="11"/>
      <c r="K61" s="11"/>
      <c r="L61" s="11"/>
      <c r="M61" s="11"/>
      <c r="N61" s="12"/>
    </row>
    <row r="62" spans="3:14" ht="20.25" customHeight="1" x14ac:dyDescent="0.25">
      <c r="D62" s="11"/>
      <c r="E62" s="11"/>
      <c r="F62" s="11"/>
      <c r="G62" s="11"/>
      <c r="H62" s="11"/>
      <c r="I62" s="11"/>
      <c r="J62" s="11"/>
      <c r="K62" s="11"/>
      <c r="L62" s="11"/>
      <c r="M62" s="11"/>
      <c r="N62" s="12"/>
    </row>
    <row r="63" spans="3:14" ht="20.25" customHeight="1" x14ac:dyDescent="0.25">
      <c r="D63" s="11"/>
      <c r="E63" s="11"/>
      <c r="F63" s="11"/>
      <c r="G63" s="11"/>
      <c r="H63" s="11"/>
      <c r="I63" s="11"/>
      <c r="J63" s="11"/>
      <c r="K63" s="11"/>
      <c r="L63" s="11"/>
      <c r="M63" s="11"/>
      <c r="N63" s="12"/>
    </row>
    <row r="64" spans="3:14" ht="20.25" customHeight="1" x14ac:dyDescent="0.25">
      <c r="D64" s="11"/>
      <c r="E64" s="11"/>
      <c r="F64" s="11"/>
      <c r="G64" s="11"/>
      <c r="H64" s="11"/>
      <c r="I64" s="11"/>
      <c r="J64" s="11"/>
      <c r="K64" s="11"/>
      <c r="L64" s="11"/>
      <c r="M64" s="11"/>
      <c r="N64" s="12"/>
    </row>
    <row r="65" spans="4:14" ht="20.25" customHeight="1" x14ac:dyDescent="0.25">
      <c r="D65" s="11"/>
      <c r="E65" s="11"/>
      <c r="F65" s="11"/>
      <c r="G65" s="11"/>
      <c r="H65" s="11"/>
      <c r="I65" s="11"/>
      <c r="J65" s="11"/>
      <c r="K65" s="11"/>
      <c r="L65" s="11"/>
      <c r="M65" s="11"/>
      <c r="N65" s="12"/>
    </row>
    <row r="66" spans="4:14" ht="20.25" customHeight="1" x14ac:dyDescent="0.25">
      <c r="D66" s="11"/>
      <c r="E66" s="11"/>
      <c r="F66" s="11"/>
      <c r="G66" s="11"/>
      <c r="H66" s="11"/>
      <c r="I66" s="11"/>
      <c r="J66" s="11"/>
      <c r="K66" s="11"/>
      <c r="L66" s="11"/>
      <c r="M66" s="11"/>
      <c r="N66" s="12"/>
    </row>
    <row r="67" spans="4:14" ht="20.25" customHeight="1" x14ac:dyDescent="0.25">
      <c r="D67" s="11"/>
      <c r="E67" s="11"/>
      <c r="F67" s="11"/>
      <c r="G67" s="11"/>
      <c r="H67" s="11"/>
      <c r="I67" s="11"/>
      <c r="J67" s="11"/>
      <c r="K67" s="11"/>
      <c r="L67" s="11"/>
      <c r="M67" s="11"/>
      <c r="N67" s="12"/>
    </row>
    <row r="68" spans="4:14" ht="20.25" customHeight="1" x14ac:dyDescent="0.25">
      <c r="D68" s="11"/>
      <c r="E68" s="11"/>
      <c r="F68" s="11"/>
      <c r="G68" s="11"/>
      <c r="H68" s="11"/>
      <c r="I68" s="11"/>
      <c r="J68" s="11"/>
      <c r="K68" s="11"/>
      <c r="L68" s="11"/>
      <c r="M68" s="11"/>
      <c r="N68" s="12"/>
    </row>
    <row r="69" spans="4:14" ht="20.25" customHeight="1" x14ac:dyDescent="0.25">
      <c r="D69" s="11"/>
      <c r="E69" s="11"/>
      <c r="F69" s="11"/>
      <c r="G69" s="11"/>
      <c r="H69" s="11"/>
      <c r="I69" s="11"/>
      <c r="J69" s="11"/>
      <c r="K69" s="11"/>
      <c r="L69" s="11"/>
      <c r="M69" s="11"/>
      <c r="N69" s="12"/>
    </row>
    <row r="70" spans="4:14" ht="20.25" customHeight="1" x14ac:dyDescent="0.25">
      <c r="D70" s="11"/>
      <c r="E70" s="11"/>
      <c r="F70" s="11"/>
      <c r="G70" s="11"/>
      <c r="H70" s="11"/>
      <c r="I70" s="11"/>
      <c r="J70" s="11"/>
      <c r="K70" s="11"/>
      <c r="L70" s="11"/>
      <c r="M70" s="11"/>
      <c r="N70" s="12"/>
    </row>
    <row r="71" spans="4:14" ht="20.25" customHeight="1" x14ac:dyDescent="0.25">
      <c r="D71" s="11"/>
      <c r="E71" s="11"/>
      <c r="F71" s="11"/>
      <c r="G71" s="11"/>
      <c r="H71" s="11"/>
      <c r="I71" s="11"/>
      <c r="J71" s="11"/>
      <c r="K71" s="11"/>
      <c r="L71" s="11"/>
      <c r="M71" s="11"/>
      <c r="N71" s="12"/>
    </row>
    <row r="72" spans="4:14" ht="20.25" customHeight="1" x14ac:dyDescent="0.25">
      <c r="D72" s="11"/>
      <c r="E72" s="11"/>
      <c r="F72" s="11"/>
      <c r="G72" s="11"/>
      <c r="H72" s="11"/>
      <c r="I72" s="11"/>
      <c r="J72" s="11"/>
      <c r="K72" s="11"/>
      <c r="L72" s="11"/>
      <c r="M72" s="11"/>
      <c r="N72" s="12"/>
    </row>
    <row r="73" spans="4:14" ht="20.25" customHeight="1" x14ac:dyDescent="0.25">
      <c r="D73" s="11"/>
      <c r="E73" s="11"/>
      <c r="F73" s="11"/>
      <c r="G73" s="11"/>
      <c r="H73" s="11"/>
      <c r="I73" s="11"/>
      <c r="J73" s="11"/>
      <c r="K73" s="11"/>
      <c r="L73" s="11"/>
      <c r="M73" s="11"/>
      <c r="N73" s="12"/>
    </row>
    <row r="74" spans="4:14" ht="20.25" customHeight="1" x14ac:dyDescent="0.25">
      <c r="D74" s="11"/>
      <c r="E74" s="11"/>
      <c r="F74" s="11"/>
      <c r="G74" s="11"/>
      <c r="H74" s="11"/>
      <c r="I74" s="11"/>
      <c r="J74" s="11"/>
      <c r="K74" s="11"/>
      <c r="L74" s="11"/>
      <c r="M74" s="11"/>
      <c r="N74" s="12"/>
    </row>
    <row r="75" spans="4:14" ht="20.25" customHeight="1" x14ac:dyDescent="0.25">
      <c r="D75" s="11"/>
      <c r="E75" s="11"/>
      <c r="F75" s="11"/>
      <c r="G75" s="11"/>
      <c r="H75" s="11"/>
      <c r="I75" s="11"/>
      <c r="J75" s="11"/>
      <c r="K75" s="11"/>
      <c r="L75" s="11"/>
      <c r="M75" s="11"/>
      <c r="N75" s="12"/>
    </row>
    <row r="76" spans="4:14" ht="20.25" customHeight="1" x14ac:dyDescent="0.25">
      <c r="D76" s="11"/>
      <c r="E76" s="11"/>
      <c r="F76" s="11"/>
      <c r="G76" s="11"/>
      <c r="H76" s="11"/>
      <c r="I76" s="11"/>
      <c r="J76" s="11"/>
      <c r="K76" s="11"/>
      <c r="L76" s="11"/>
      <c r="M76" s="11"/>
      <c r="N76" s="12"/>
    </row>
    <row r="77" spans="4:14" ht="20.25" customHeight="1" x14ac:dyDescent="0.25">
      <c r="D77" s="11"/>
      <c r="E77" s="11"/>
      <c r="F77" s="11"/>
      <c r="G77" s="11"/>
      <c r="H77" s="11"/>
      <c r="I77" s="11"/>
      <c r="J77" s="11"/>
      <c r="K77" s="11"/>
      <c r="L77" s="11"/>
      <c r="M77" s="11"/>
      <c r="N77" s="12"/>
    </row>
    <row r="78" spans="4:14" ht="20.25" customHeight="1" x14ac:dyDescent="0.25">
      <c r="D78" s="11"/>
      <c r="E78" s="11"/>
      <c r="F78" s="11"/>
      <c r="G78" s="11"/>
      <c r="H78" s="11"/>
      <c r="I78" s="11"/>
      <c r="J78" s="11"/>
      <c r="K78" s="11"/>
      <c r="L78" s="11"/>
      <c r="M78" s="11"/>
      <c r="N78" s="12"/>
    </row>
    <row r="79" spans="4:14" ht="20.25" customHeight="1" x14ac:dyDescent="0.25">
      <c r="D79" s="11"/>
      <c r="E79" s="11"/>
      <c r="F79" s="11"/>
      <c r="G79" s="11"/>
      <c r="H79" s="11"/>
      <c r="I79" s="11"/>
      <c r="J79" s="11"/>
      <c r="K79" s="11"/>
      <c r="L79" s="11"/>
      <c r="M79" s="11"/>
      <c r="N79" s="12"/>
    </row>
    <row r="80" spans="4:14" ht="20.25" customHeight="1" x14ac:dyDescent="0.25">
      <c r="D80" s="11"/>
      <c r="E80" s="11"/>
      <c r="F80" s="11"/>
      <c r="G80" s="11"/>
      <c r="H80" s="11"/>
      <c r="I80" s="11"/>
      <c r="J80" s="11"/>
      <c r="K80" s="11"/>
      <c r="L80" s="11"/>
      <c r="M80" s="11"/>
      <c r="N80" s="12"/>
    </row>
    <row r="81" spans="4:14" ht="20.25" customHeight="1" x14ac:dyDescent="0.25">
      <c r="D81" s="11"/>
      <c r="E81" s="11"/>
      <c r="F81" s="11"/>
      <c r="G81" s="11"/>
      <c r="H81" s="11"/>
      <c r="I81" s="11"/>
      <c r="J81" s="11"/>
      <c r="K81" s="11"/>
      <c r="L81" s="11"/>
      <c r="M81" s="11"/>
      <c r="N81" s="12"/>
    </row>
    <row r="82" spans="4:14" ht="20.25" customHeight="1" x14ac:dyDescent="0.25">
      <c r="D82" s="11"/>
      <c r="E82" s="11"/>
      <c r="F82" s="11"/>
      <c r="G82" s="11"/>
      <c r="H82" s="11"/>
      <c r="I82" s="11"/>
      <c r="J82" s="11"/>
      <c r="K82" s="11"/>
      <c r="L82" s="11"/>
      <c r="M82" s="11"/>
      <c r="N82" s="12"/>
    </row>
    <row r="83" spans="4:14" ht="20.25" customHeight="1" x14ac:dyDescent="0.25">
      <c r="D83" s="11"/>
      <c r="E83" s="11"/>
      <c r="F83" s="11"/>
      <c r="G83" s="11"/>
      <c r="H83" s="11"/>
      <c r="I83" s="11"/>
      <c r="J83" s="11"/>
      <c r="K83" s="11"/>
      <c r="L83" s="11"/>
      <c r="M83" s="11"/>
      <c r="N83" s="12"/>
    </row>
    <row r="84" spans="4:14" ht="20.25" customHeight="1" x14ac:dyDescent="0.25">
      <c r="D84" s="11"/>
      <c r="E84" s="11"/>
      <c r="F84" s="11"/>
      <c r="G84" s="11"/>
      <c r="H84" s="11"/>
      <c r="I84" s="11"/>
      <c r="J84" s="11"/>
      <c r="K84" s="11"/>
      <c r="L84" s="11"/>
      <c r="M84" s="11"/>
      <c r="N84" s="12"/>
    </row>
    <row r="85" spans="4:14" ht="20.25" customHeight="1" x14ac:dyDescent="0.25">
      <c r="D85" s="11"/>
      <c r="E85" s="11"/>
      <c r="F85" s="11"/>
      <c r="G85" s="11"/>
      <c r="H85" s="11"/>
      <c r="I85" s="11"/>
      <c r="J85" s="11"/>
      <c r="K85" s="11"/>
      <c r="L85" s="11"/>
      <c r="M85" s="11"/>
      <c r="N85" s="12"/>
    </row>
    <row r="86" spans="4:14" ht="20.25" customHeight="1" x14ac:dyDescent="0.25">
      <c r="D86" s="11"/>
      <c r="E86" s="11"/>
      <c r="F86" s="11"/>
      <c r="G86" s="11"/>
      <c r="H86" s="11"/>
      <c r="I86" s="11"/>
      <c r="J86" s="11"/>
      <c r="K86" s="11"/>
      <c r="L86" s="11"/>
      <c r="M86" s="11"/>
      <c r="N86" s="12"/>
    </row>
    <row r="87" spans="4:14" ht="20.25" customHeight="1" x14ac:dyDescent="0.25">
      <c r="D87" s="11"/>
      <c r="E87" s="11"/>
      <c r="F87" s="11"/>
      <c r="G87" s="11"/>
      <c r="H87" s="11"/>
      <c r="I87" s="11"/>
      <c r="J87" s="11"/>
      <c r="K87" s="11"/>
      <c r="L87" s="11"/>
      <c r="M87" s="11"/>
      <c r="N87" s="12"/>
    </row>
    <row r="88" spans="4:14" ht="20.25" customHeight="1" x14ac:dyDescent="0.25">
      <c r="D88" s="11"/>
      <c r="E88" s="11"/>
      <c r="F88" s="11"/>
      <c r="G88" s="11"/>
      <c r="H88" s="11"/>
      <c r="I88" s="11"/>
      <c r="J88" s="11"/>
      <c r="K88" s="11"/>
      <c r="L88" s="11"/>
      <c r="M88" s="11"/>
      <c r="N88" s="12"/>
    </row>
    <row r="89" spans="4:14" ht="20.25" customHeight="1" x14ac:dyDescent="0.25">
      <c r="D89" s="11"/>
      <c r="E89" s="11"/>
      <c r="F89" s="11"/>
      <c r="G89" s="11"/>
      <c r="H89" s="11"/>
      <c r="I89" s="11"/>
      <c r="J89" s="11"/>
      <c r="K89" s="11"/>
      <c r="L89" s="11"/>
      <c r="M89" s="11"/>
      <c r="N89" s="12"/>
    </row>
    <row r="90" spans="4:14" ht="20.25" customHeight="1" x14ac:dyDescent="0.25">
      <c r="D90" s="11"/>
      <c r="E90" s="11"/>
      <c r="F90" s="11"/>
      <c r="G90" s="11"/>
      <c r="H90" s="11"/>
      <c r="I90" s="11"/>
      <c r="J90" s="11"/>
      <c r="K90" s="11"/>
      <c r="L90" s="11"/>
      <c r="M90" s="11"/>
      <c r="N90" s="12"/>
    </row>
    <row r="91" spans="4:14" ht="20.25" customHeight="1" x14ac:dyDescent="0.25">
      <c r="D91" s="11"/>
      <c r="E91" s="11"/>
      <c r="F91" s="11"/>
      <c r="G91" s="11"/>
      <c r="H91" s="11"/>
      <c r="I91" s="11"/>
      <c r="J91" s="11"/>
      <c r="K91" s="11"/>
      <c r="L91" s="11"/>
      <c r="M91" s="11"/>
      <c r="N91" s="12"/>
    </row>
    <row r="92" spans="4:14" ht="20.25" customHeight="1" x14ac:dyDescent="0.25">
      <c r="D92" s="11"/>
      <c r="E92" s="11"/>
      <c r="F92" s="11"/>
      <c r="G92" s="11"/>
      <c r="H92" s="11"/>
      <c r="I92" s="11"/>
      <c r="J92" s="11"/>
      <c r="K92" s="11"/>
      <c r="L92" s="11"/>
      <c r="M92" s="11"/>
      <c r="N92" s="12"/>
    </row>
    <row r="93" spans="4:14" ht="20.25" customHeight="1" x14ac:dyDescent="0.25">
      <c r="D93" s="11"/>
      <c r="E93" s="11"/>
      <c r="F93" s="11"/>
      <c r="G93" s="11"/>
      <c r="H93" s="11"/>
      <c r="I93" s="11"/>
      <c r="J93" s="11"/>
      <c r="K93" s="11"/>
      <c r="L93" s="11"/>
      <c r="M93" s="11"/>
      <c r="N93" s="12"/>
    </row>
    <row r="94" spans="4:14" ht="20.25" customHeight="1" x14ac:dyDescent="0.25">
      <c r="D94" s="11"/>
      <c r="E94" s="11"/>
      <c r="F94" s="11"/>
      <c r="G94" s="11"/>
      <c r="H94" s="11"/>
      <c r="I94" s="11"/>
      <c r="J94" s="11"/>
      <c r="K94" s="11"/>
      <c r="L94" s="11"/>
      <c r="M94" s="11"/>
      <c r="N94" s="12"/>
    </row>
    <row r="95" spans="4:14" ht="20.25" customHeight="1" x14ac:dyDescent="0.25">
      <c r="D95" s="11"/>
      <c r="E95" s="11"/>
      <c r="F95" s="11"/>
      <c r="G95" s="11"/>
      <c r="H95" s="11"/>
      <c r="I95" s="11"/>
      <c r="J95" s="11"/>
      <c r="K95" s="11"/>
      <c r="L95" s="11"/>
      <c r="M95" s="11"/>
      <c r="N95" s="12"/>
    </row>
    <row r="96" spans="4:14" ht="20.25" customHeight="1" x14ac:dyDescent="0.25">
      <c r="D96" s="11"/>
      <c r="E96" s="11"/>
      <c r="F96" s="11"/>
      <c r="G96" s="11"/>
      <c r="H96" s="11"/>
      <c r="I96" s="11"/>
      <c r="J96" s="11"/>
      <c r="K96" s="11"/>
      <c r="L96" s="11"/>
      <c r="M96" s="11"/>
      <c r="N96" s="12"/>
    </row>
    <row r="97" spans="4:14" ht="20.25" customHeight="1" x14ac:dyDescent="0.25">
      <c r="D97" s="11"/>
      <c r="E97" s="11"/>
      <c r="F97" s="11"/>
      <c r="G97" s="11"/>
      <c r="H97" s="11"/>
      <c r="I97" s="11"/>
      <c r="J97" s="11"/>
      <c r="K97" s="11"/>
      <c r="L97" s="11"/>
      <c r="M97" s="11"/>
      <c r="N97" s="12"/>
    </row>
    <row r="98" spans="4:14" ht="20.25" customHeight="1" x14ac:dyDescent="0.25">
      <c r="D98" s="11"/>
      <c r="E98" s="11"/>
      <c r="F98" s="11"/>
      <c r="G98" s="11"/>
      <c r="H98" s="11"/>
      <c r="I98" s="11"/>
      <c r="J98" s="11"/>
      <c r="K98" s="11"/>
      <c r="L98" s="11"/>
      <c r="M98" s="11"/>
      <c r="N98" s="12"/>
    </row>
    <row r="99" spans="4:14" ht="20.25" customHeight="1" x14ac:dyDescent="0.25">
      <c r="D99" s="11"/>
      <c r="E99" s="11"/>
      <c r="F99" s="11"/>
      <c r="G99" s="11"/>
      <c r="H99" s="11"/>
      <c r="I99" s="11"/>
      <c r="J99" s="11"/>
      <c r="K99" s="11"/>
      <c r="L99" s="11"/>
      <c r="M99" s="11"/>
      <c r="N99" s="12"/>
    </row>
    <row r="100" spans="4:14" ht="20.25" customHeight="1" x14ac:dyDescent="0.25">
      <c r="D100" s="11"/>
      <c r="E100" s="11"/>
      <c r="F100" s="11"/>
      <c r="G100" s="11"/>
      <c r="H100" s="11"/>
      <c r="I100" s="11"/>
      <c r="J100" s="11"/>
      <c r="K100" s="11"/>
      <c r="L100" s="11"/>
      <c r="M100" s="11"/>
      <c r="N100" s="12"/>
    </row>
    <row r="101" spans="4:14" ht="20.25" customHeight="1" x14ac:dyDescent="0.25">
      <c r="D101" s="11"/>
      <c r="E101" s="11"/>
      <c r="F101" s="11"/>
      <c r="G101" s="11"/>
      <c r="H101" s="11"/>
      <c r="I101" s="11"/>
      <c r="J101" s="11"/>
      <c r="K101" s="11"/>
      <c r="L101" s="11"/>
      <c r="M101" s="11"/>
      <c r="N101" s="12"/>
    </row>
    <row r="102" spans="4:14" ht="20.25" customHeight="1" x14ac:dyDescent="0.25">
      <c r="D102" s="11"/>
      <c r="E102" s="11"/>
      <c r="F102" s="11"/>
      <c r="G102" s="11"/>
      <c r="H102" s="11"/>
      <c r="I102" s="11"/>
      <c r="J102" s="11"/>
      <c r="K102" s="11"/>
      <c r="L102" s="11"/>
      <c r="M102" s="11"/>
      <c r="N102" s="12"/>
    </row>
    <row r="103" spans="4:14" ht="20.25" customHeight="1" x14ac:dyDescent="0.25">
      <c r="D103" s="11"/>
      <c r="E103" s="11"/>
      <c r="F103" s="11"/>
      <c r="G103" s="11"/>
      <c r="H103" s="11"/>
      <c r="I103" s="11"/>
      <c r="J103" s="11"/>
      <c r="K103" s="11"/>
      <c r="L103" s="11"/>
      <c r="M103" s="11"/>
      <c r="N103" s="12"/>
    </row>
    <row r="104" spans="4:14" ht="20.25" customHeight="1" x14ac:dyDescent="0.25">
      <c r="D104" s="11"/>
      <c r="E104" s="11"/>
      <c r="F104" s="11"/>
      <c r="G104" s="11"/>
      <c r="H104" s="11"/>
      <c r="I104" s="11"/>
      <c r="J104" s="11"/>
      <c r="K104" s="11"/>
      <c r="L104" s="11"/>
      <c r="M104" s="11"/>
      <c r="N104" s="12"/>
    </row>
    <row r="105" spans="4:14" ht="20.25" customHeight="1" x14ac:dyDescent="0.25">
      <c r="D105" s="11"/>
      <c r="E105" s="11"/>
      <c r="F105" s="11"/>
      <c r="G105" s="11"/>
      <c r="H105" s="11"/>
      <c r="I105" s="11"/>
      <c r="J105" s="11"/>
      <c r="K105" s="11"/>
      <c r="L105" s="11"/>
      <c r="M105" s="11"/>
      <c r="N105" s="12"/>
    </row>
    <row r="106" spans="4:14" ht="20.25" customHeight="1" x14ac:dyDescent="0.25">
      <c r="D106" s="11"/>
      <c r="E106" s="11"/>
      <c r="F106" s="11"/>
      <c r="G106" s="11"/>
      <c r="H106" s="11"/>
      <c r="I106" s="11"/>
      <c r="J106" s="11"/>
      <c r="K106" s="11"/>
      <c r="L106" s="11"/>
      <c r="M106" s="11"/>
      <c r="N106" s="12"/>
    </row>
    <row r="107" spans="4:14" ht="20.25" customHeight="1" x14ac:dyDescent="0.25">
      <c r="D107" s="11"/>
      <c r="E107" s="11"/>
      <c r="F107" s="11"/>
      <c r="G107" s="11"/>
      <c r="H107" s="11"/>
      <c r="I107" s="11"/>
      <c r="J107" s="11"/>
      <c r="K107" s="11"/>
      <c r="L107" s="11"/>
      <c r="M107" s="11"/>
      <c r="N107" s="12"/>
    </row>
    <row r="108" spans="4:14" ht="20.25" customHeight="1" x14ac:dyDescent="0.25">
      <c r="D108" s="11"/>
      <c r="E108" s="11"/>
      <c r="F108" s="11"/>
      <c r="G108" s="11"/>
      <c r="H108" s="11"/>
      <c r="I108" s="11"/>
      <c r="J108" s="11"/>
      <c r="K108" s="11"/>
      <c r="L108" s="11"/>
      <c r="M108" s="11"/>
      <c r="N108" s="12"/>
    </row>
    <row r="109" spans="4:14" ht="20.25" customHeight="1" x14ac:dyDescent="0.25">
      <c r="D109" s="11"/>
      <c r="E109" s="11"/>
      <c r="F109" s="11"/>
      <c r="G109" s="11"/>
      <c r="H109" s="11"/>
      <c r="I109" s="11"/>
      <c r="J109" s="11"/>
      <c r="K109" s="11"/>
      <c r="L109" s="11"/>
      <c r="M109" s="11"/>
      <c r="N109" s="12"/>
    </row>
    <row r="110" spans="4:14" ht="20.25" customHeight="1" x14ac:dyDescent="0.25">
      <c r="D110" s="11"/>
      <c r="E110" s="11"/>
      <c r="F110" s="11"/>
      <c r="G110" s="11"/>
      <c r="H110" s="11"/>
      <c r="I110" s="11"/>
      <c r="J110" s="11"/>
      <c r="K110" s="11"/>
      <c r="L110" s="11"/>
      <c r="M110" s="11"/>
      <c r="N110" s="12"/>
    </row>
    <row r="111" spans="4:14" ht="20.25" customHeight="1" x14ac:dyDescent="0.25">
      <c r="D111" s="11"/>
      <c r="E111" s="11"/>
      <c r="F111" s="11"/>
      <c r="G111" s="11"/>
      <c r="H111" s="11"/>
      <c r="I111" s="11"/>
      <c r="J111" s="11"/>
      <c r="K111" s="11"/>
      <c r="L111" s="11"/>
      <c r="M111" s="11"/>
      <c r="N111" s="12"/>
    </row>
    <row r="112" spans="4:14" ht="20.25" customHeight="1" x14ac:dyDescent="0.25">
      <c r="D112" s="11"/>
      <c r="E112" s="11"/>
      <c r="F112" s="11"/>
      <c r="G112" s="11"/>
      <c r="H112" s="11"/>
      <c r="I112" s="11"/>
      <c r="J112" s="11"/>
      <c r="K112" s="11"/>
      <c r="L112" s="11"/>
      <c r="M112" s="11"/>
      <c r="N112" s="12"/>
    </row>
    <row r="113" spans="4:14" ht="20.25" customHeight="1" x14ac:dyDescent="0.25">
      <c r="D113" s="11"/>
      <c r="E113" s="11"/>
      <c r="F113" s="11"/>
      <c r="G113" s="11"/>
      <c r="H113" s="11"/>
      <c r="I113" s="11"/>
      <c r="J113" s="11"/>
      <c r="K113" s="11"/>
      <c r="L113" s="11"/>
      <c r="M113" s="11"/>
      <c r="N113" s="12"/>
    </row>
    <row r="114" spans="4:14" ht="20.25" customHeight="1" x14ac:dyDescent="0.25">
      <c r="D114" s="11"/>
      <c r="E114" s="11"/>
      <c r="F114" s="11"/>
      <c r="G114" s="11"/>
      <c r="H114" s="11"/>
      <c r="I114" s="11"/>
      <c r="J114" s="11"/>
      <c r="K114" s="11"/>
      <c r="L114" s="11"/>
      <c r="M114" s="11"/>
      <c r="N114" s="12"/>
    </row>
    <row r="115" spans="4:14" ht="20.25" customHeight="1" x14ac:dyDescent="0.25">
      <c r="D115" s="11"/>
      <c r="E115" s="11"/>
      <c r="F115" s="11"/>
      <c r="G115" s="11"/>
      <c r="H115" s="11"/>
      <c r="I115" s="11"/>
      <c r="J115" s="11"/>
      <c r="K115" s="11"/>
      <c r="L115" s="11"/>
      <c r="M115" s="11"/>
      <c r="N115" s="12"/>
    </row>
    <row r="116" spans="4:14" ht="20.25" customHeight="1" x14ac:dyDescent="0.25">
      <c r="D116" s="11"/>
      <c r="E116" s="11"/>
      <c r="F116" s="11"/>
      <c r="G116" s="11"/>
      <c r="H116" s="11"/>
      <c r="I116" s="11"/>
      <c r="J116" s="11"/>
      <c r="K116" s="11"/>
      <c r="L116" s="11"/>
      <c r="M116" s="11"/>
      <c r="N116" s="12"/>
    </row>
    <row r="117" spans="4:14" ht="20.25" customHeight="1" x14ac:dyDescent="0.25">
      <c r="D117" s="11"/>
      <c r="E117" s="11"/>
      <c r="F117" s="11"/>
      <c r="G117" s="11"/>
      <c r="H117" s="11"/>
      <c r="I117" s="11"/>
      <c r="J117" s="11"/>
      <c r="K117" s="11"/>
      <c r="L117" s="11"/>
      <c r="M117" s="11"/>
      <c r="N117" s="12"/>
    </row>
    <row r="118" spans="4:14" ht="20.25" customHeight="1" x14ac:dyDescent="0.25">
      <c r="D118" s="11"/>
      <c r="E118" s="11"/>
      <c r="F118" s="11"/>
      <c r="G118" s="11"/>
      <c r="H118" s="11"/>
      <c r="I118" s="11"/>
      <c r="J118" s="11"/>
      <c r="K118" s="11"/>
      <c r="L118" s="11"/>
      <c r="M118" s="11"/>
      <c r="N118" s="12"/>
    </row>
    <row r="119" spans="4:14" ht="20.25" customHeight="1" x14ac:dyDescent="0.25">
      <c r="D119" s="11"/>
      <c r="E119" s="11"/>
      <c r="F119" s="11"/>
      <c r="G119" s="11"/>
      <c r="H119" s="11"/>
      <c r="I119" s="11"/>
      <c r="J119" s="11"/>
      <c r="K119" s="11"/>
      <c r="L119" s="11"/>
      <c r="M119" s="11"/>
      <c r="N119" s="12"/>
    </row>
    <row r="120" spans="4:14" ht="20.25" customHeight="1" x14ac:dyDescent="0.25">
      <c r="D120" s="11"/>
      <c r="E120" s="11"/>
      <c r="F120" s="11"/>
      <c r="G120" s="11"/>
      <c r="H120" s="11"/>
      <c r="I120" s="11"/>
      <c r="J120" s="11"/>
      <c r="K120" s="11"/>
      <c r="L120" s="11"/>
      <c r="M120" s="11"/>
      <c r="N120" s="12"/>
    </row>
    <row r="121" spans="4:14" ht="20.25" customHeight="1" x14ac:dyDescent="0.25">
      <c r="D121" s="11"/>
      <c r="E121" s="11"/>
      <c r="F121" s="11"/>
      <c r="G121" s="11"/>
      <c r="H121" s="11"/>
      <c r="I121" s="11"/>
      <c r="J121" s="11"/>
      <c r="K121" s="11"/>
      <c r="L121" s="11"/>
      <c r="M121" s="11"/>
      <c r="N121" s="12"/>
    </row>
    <row r="122" spans="4:14" ht="20.25" customHeight="1" x14ac:dyDescent="0.25">
      <c r="D122" s="11"/>
      <c r="E122" s="11"/>
      <c r="F122" s="11"/>
      <c r="G122" s="11"/>
      <c r="H122" s="11"/>
      <c r="I122" s="11"/>
      <c r="J122" s="11"/>
      <c r="K122" s="11"/>
      <c r="L122" s="11"/>
      <c r="M122" s="11"/>
      <c r="N122" s="12"/>
    </row>
    <row r="123" spans="4:14" ht="20.25" customHeight="1" x14ac:dyDescent="0.25">
      <c r="D123" s="11"/>
      <c r="E123" s="11"/>
      <c r="F123" s="11"/>
      <c r="G123" s="11"/>
      <c r="H123" s="11"/>
      <c r="I123" s="11"/>
      <c r="J123" s="11"/>
      <c r="K123" s="11"/>
      <c r="L123" s="11"/>
      <c r="M123" s="11"/>
      <c r="N123" s="12"/>
    </row>
    <row r="124" spans="4:14" ht="20.25" customHeight="1" x14ac:dyDescent="0.25">
      <c r="D124" s="11"/>
      <c r="E124" s="11"/>
      <c r="F124" s="11"/>
      <c r="G124" s="11"/>
      <c r="H124" s="11"/>
      <c r="I124" s="11"/>
      <c r="J124" s="11"/>
      <c r="K124" s="11"/>
      <c r="L124" s="11"/>
      <c r="M124" s="11"/>
      <c r="N124" s="12"/>
    </row>
    <row r="125" spans="4:14" ht="20.25" customHeight="1" x14ac:dyDescent="0.25">
      <c r="D125" s="11"/>
      <c r="E125" s="11"/>
      <c r="F125" s="11"/>
      <c r="G125" s="11"/>
      <c r="H125" s="11"/>
      <c r="I125" s="11"/>
      <c r="J125" s="11"/>
      <c r="K125" s="11"/>
      <c r="L125" s="11"/>
      <c r="M125" s="11"/>
      <c r="N125" s="12"/>
    </row>
    <row r="126" spans="4:14" ht="20.25" customHeight="1" x14ac:dyDescent="0.25">
      <c r="D126" s="11"/>
      <c r="E126" s="11"/>
      <c r="F126" s="11"/>
      <c r="G126" s="11"/>
      <c r="H126" s="11"/>
      <c r="I126" s="11"/>
      <c r="J126" s="11"/>
      <c r="K126" s="11"/>
      <c r="L126" s="11"/>
      <c r="M126" s="11"/>
      <c r="N126" s="12"/>
    </row>
    <row r="127" spans="4:14" ht="20.25" customHeight="1" x14ac:dyDescent="0.25">
      <c r="D127" s="11"/>
      <c r="E127" s="11"/>
      <c r="F127" s="11"/>
      <c r="G127" s="11"/>
      <c r="H127" s="11"/>
      <c r="I127" s="11"/>
      <c r="J127" s="11"/>
      <c r="K127" s="11"/>
      <c r="L127" s="11"/>
      <c r="M127" s="11"/>
      <c r="N127" s="12"/>
    </row>
    <row r="128" spans="4:14" ht="20.25" customHeight="1" x14ac:dyDescent="0.25">
      <c r="D128" s="11"/>
      <c r="E128" s="11"/>
      <c r="F128" s="11"/>
      <c r="G128" s="11"/>
      <c r="H128" s="11"/>
      <c r="I128" s="11"/>
      <c r="J128" s="11"/>
      <c r="K128" s="11"/>
      <c r="L128" s="11"/>
      <c r="M128" s="11"/>
      <c r="N128" s="12"/>
    </row>
    <row r="129" spans="4:14" ht="20.25" customHeight="1" x14ac:dyDescent="0.25">
      <c r="D129" s="11"/>
      <c r="E129" s="11"/>
      <c r="F129" s="11"/>
      <c r="G129" s="11"/>
      <c r="H129" s="11"/>
      <c r="I129" s="11"/>
      <c r="J129" s="11"/>
      <c r="K129" s="11"/>
      <c r="L129" s="11"/>
      <c r="M129" s="11"/>
      <c r="N129" s="12"/>
    </row>
    <row r="130" spans="4:14" ht="20.25" customHeight="1" x14ac:dyDescent="0.25">
      <c r="D130" s="11"/>
      <c r="E130" s="11"/>
      <c r="F130" s="11"/>
      <c r="G130" s="11"/>
      <c r="H130" s="11"/>
      <c r="I130" s="11"/>
      <c r="J130" s="11"/>
      <c r="K130" s="11"/>
      <c r="L130" s="11"/>
      <c r="M130" s="11"/>
      <c r="N130" s="12"/>
    </row>
    <row r="131" spans="4:14" ht="20.25" customHeight="1" x14ac:dyDescent="0.25">
      <c r="D131" s="11"/>
      <c r="E131" s="11"/>
      <c r="F131" s="11"/>
      <c r="G131" s="11"/>
      <c r="H131" s="11"/>
      <c r="I131" s="11"/>
      <c r="J131" s="11"/>
      <c r="K131" s="11"/>
      <c r="L131" s="11"/>
      <c r="M131" s="11"/>
      <c r="N131" s="12"/>
    </row>
    <row r="132" spans="4:14" ht="20.25" customHeight="1" x14ac:dyDescent="0.25">
      <c r="D132" s="11"/>
      <c r="E132" s="11"/>
      <c r="F132" s="11"/>
      <c r="G132" s="11"/>
      <c r="H132" s="11"/>
      <c r="I132" s="11"/>
      <c r="J132" s="11"/>
      <c r="K132" s="11"/>
      <c r="L132" s="11"/>
      <c r="M132" s="11"/>
      <c r="N132" s="12"/>
    </row>
    <row r="133" spans="4:14" ht="20.25" customHeight="1" x14ac:dyDescent="0.25">
      <c r="D133" s="11"/>
      <c r="E133" s="11"/>
      <c r="F133" s="11"/>
      <c r="G133" s="11"/>
      <c r="H133" s="11"/>
      <c r="I133" s="11"/>
      <c r="J133" s="11"/>
      <c r="K133" s="11"/>
      <c r="L133" s="11"/>
      <c r="M133" s="11"/>
      <c r="N133" s="12"/>
    </row>
    <row r="134" spans="4:14" ht="20.25" customHeight="1" x14ac:dyDescent="0.25">
      <c r="D134" s="11"/>
      <c r="E134" s="11"/>
      <c r="F134" s="11"/>
      <c r="G134" s="11"/>
      <c r="H134" s="11"/>
      <c r="I134" s="11"/>
      <c r="J134" s="11"/>
      <c r="K134" s="11"/>
      <c r="L134" s="11"/>
      <c r="M134" s="11"/>
      <c r="N134" s="12"/>
    </row>
    <row r="135" spans="4:14" ht="20.25" customHeight="1" x14ac:dyDescent="0.25">
      <c r="D135" s="11"/>
      <c r="E135" s="11"/>
      <c r="F135" s="11"/>
      <c r="G135" s="11"/>
      <c r="H135" s="11"/>
      <c r="I135" s="11"/>
      <c r="J135" s="11"/>
      <c r="K135" s="11"/>
      <c r="L135" s="11"/>
      <c r="M135" s="11"/>
      <c r="N135" s="12"/>
    </row>
    <row r="136" spans="4:14" ht="20.25" customHeight="1" x14ac:dyDescent="0.25">
      <c r="D136" s="11"/>
      <c r="E136" s="11"/>
      <c r="F136" s="11"/>
      <c r="G136" s="11"/>
      <c r="H136" s="11"/>
      <c r="I136" s="11"/>
      <c r="J136" s="11"/>
      <c r="K136" s="11"/>
      <c r="L136" s="11"/>
      <c r="M136" s="11"/>
      <c r="N136" s="12"/>
    </row>
    <row r="137" spans="4:14" ht="20.25" customHeight="1" x14ac:dyDescent="0.25">
      <c r="D137" s="11"/>
      <c r="E137" s="11"/>
      <c r="F137" s="11"/>
      <c r="G137" s="11"/>
      <c r="H137" s="11"/>
      <c r="I137" s="11"/>
      <c r="J137" s="11"/>
      <c r="K137" s="11"/>
      <c r="L137" s="11"/>
      <c r="M137" s="11"/>
      <c r="N137" s="12"/>
    </row>
    <row r="138" spans="4:14" ht="20.25" customHeight="1" x14ac:dyDescent="0.25">
      <c r="D138" s="11"/>
      <c r="E138" s="11"/>
      <c r="F138" s="11"/>
      <c r="G138" s="11"/>
      <c r="H138" s="11"/>
      <c r="I138" s="11"/>
      <c r="J138" s="11"/>
      <c r="K138" s="11"/>
      <c r="L138" s="11"/>
      <c r="M138" s="11"/>
      <c r="N138" s="12"/>
    </row>
    <row r="139" spans="4:14" ht="20.25" customHeight="1" x14ac:dyDescent="0.25">
      <c r="D139" s="11"/>
      <c r="E139" s="11"/>
      <c r="F139" s="11"/>
      <c r="G139" s="11"/>
      <c r="H139" s="11"/>
      <c r="I139" s="11"/>
      <c r="J139" s="11"/>
      <c r="K139" s="11"/>
      <c r="L139" s="11"/>
      <c r="M139" s="11"/>
      <c r="N139" s="12"/>
    </row>
    <row r="140" spans="4:14" ht="20.25" customHeight="1" x14ac:dyDescent="0.25">
      <c r="D140" s="11"/>
      <c r="E140" s="11"/>
      <c r="F140" s="11"/>
      <c r="G140" s="11"/>
      <c r="H140" s="11"/>
      <c r="I140" s="11"/>
      <c r="J140" s="11"/>
      <c r="K140" s="11"/>
      <c r="L140" s="11"/>
      <c r="M140" s="11"/>
      <c r="N140" s="12"/>
    </row>
    <row r="141" spans="4:14" ht="20.25" customHeight="1" x14ac:dyDescent="0.25">
      <c r="D141" s="11"/>
      <c r="E141" s="11"/>
      <c r="F141" s="11"/>
      <c r="G141" s="11"/>
      <c r="H141" s="11"/>
      <c r="I141" s="11"/>
      <c r="J141" s="11"/>
      <c r="K141" s="11"/>
      <c r="L141" s="11"/>
      <c r="M141" s="11"/>
      <c r="N141" s="12"/>
    </row>
    <row r="142" spans="4:14" ht="20.25" customHeight="1" x14ac:dyDescent="0.25">
      <c r="D142" s="11"/>
      <c r="E142" s="11"/>
      <c r="F142" s="11"/>
      <c r="G142" s="11"/>
      <c r="H142" s="11"/>
      <c r="I142" s="11"/>
      <c r="J142" s="11"/>
      <c r="K142" s="11"/>
      <c r="L142" s="11"/>
      <c r="M142" s="11"/>
      <c r="N142" s="12"/>
    </row>
    <row r="143" spans="4:14" ht="20.25" customHeight="1" x14ac:dyDescent="0.25">
      <c r="D143" s="11"/>
      <c r="E143" s="11"/>
      <c r="F143" s="11"/>
      <c r="G143" s="11"/>
      <c r="H143" s="11"/>
      <c r="I143" s="11"/>
      <c r="J143" s="11"/>
      <c r="K143" s="11"/>
      <c r="L143" s="11"/>
      <c r="M143" s="11"/>
      <c r="N143" s="12"/>
    </row>
    <row r="144" spans="4:14" ht="20.25" customHeight="1" x14ac:dyDescent="0.25">
      <c r="D144" s="11"/>
      <c r="E144" s="11"/>
      <c r="F144" s="11"/>
      <c r="G144" s="11"/>
      <c r="H144" s="11"/>
      <c r="I144" s="11"/>
      <c r="J144" s="11"/>
      <c r="K144" s="11"/>
      <c r="L144" s="11"/>
      <c r="M144" s="11"/>
      <c r="N144" s="12"/>
    </row>
    <row r="145" spans="4:14" ht="20.25" customHeight="1" x14ac:dyDescent="0.25">
      <c r="D145" s="11"/>
      <c r="E145" s="11"/>
      <c r="F145" s="11"/>
      <c r="G145" s="11"/>
      <c r="H145" s="11"/>
      <c r="I145" s="11"/>
      <c r="J145" s="11"/>
      <c r="K145" s="11"/>
      <c r="L145" s="11"/>
      <c r="M145" s="11"/>
      <c r="N145" s="12"/>
    </row>
    <row r="146" spans="4:14" ht="20.25" customHeight="1" x14ac:dyDescent="0.25">
      <c r="D146" s="11"/>
      <c r="E146" s="11"/>
      <c r="F146" s="11"/>
      <c r="G146" s="11"/>
      <c r="H146" s="11"/>
      <c r="I146" s="11"/>
      <c r="J146" s="11"/>
      <c r="K146" s="11"/>
      <c r="L146" s="11"/>
      <c r="M146" s="11"/>
      <c r="N146" s="12"/>
    </row>
    <row r="147" spans="4:14" ht="20.25" customHeight="1" x14ac:dyDescent="0.25">
      <c r="D147" s="11"/>
      <c r="E147" s="11"/>
      <c r="F147" s="11"/>
      <c r="G147" s="11"/>
      <c r="H147" s="11"/>
      <c r="I147" s="11"/>
      <c r="J147" s="11"/>
      <c r="K147" s="11"/>
      <c r="L147" s="11"/>
      <c r="M147" s="11"/>
      <c r="N147" s="12"/>
    </row>
    <row r="148" spans="4:14" ht="20.25" customHeight="1" x14ac:dyDescent="0.25">
      <c r="D148" s="11"/>
      <c r="E148" s="11"/>
      <c r="F148" s="11"/>
      <c r="G148" s="11"/>
      <c r="H148" s="11"/>
      <c r="I148" s="11"/>
      <c r="J148" s="11"/>
      <c r="K148" s="11"/>
      <c r="L148" s="11"/>
      <c r="M148" s="11"/>
      <c r="N148" s="12"/>
    </row>
    <row r="149" spans="4:14" ht="20.25" customHeight="1" x14ac:dyDescent="0.25">
      <c r="D149" s="11"/>
      <c r="E149" s="11"/>
      <c r="F149" s="11"/>
      <c r="G149" s="11"/>
      <c r="H149" s="11"/>
      <c r="I149" s="11"/>
      <c r="J149" s="11"/>
      <c r="K149" s="11"/>
      <c r="L149" s="11"/>
      <c r="M149" s="11"/>
      <c r="N149" s="12"/>
    </row>
    <row r="150" spans="4:14" ht="20.25" customHeight="1" x14ac:dyDescent="0.25">
      <c r="D150" s="11"/>
      <c r="E150" s="11"/>
      <c r="F150" s="11"/>
      <c r="G150" s="11"/>
      <c r="H150" s="11"/>
      <c r="I150" s="11"/>
      <c r="J150" s="11"/>
      <c r="K150" s="11"/>
      <c r="L150" s="11"/>
      <c r="M150" s="11"/>
      <c r="N150" s="12"/>
    </row>
    <row r="151" spans="4:14" ht="20.25" customHeight="1" x14ac:dyDescent="0.25">
      <c r="D151" s="11"/>
      <c r="E151" s="11"/>
      <c r="F151" s="11"/>
      <c r="G151" s="11"/>
      <c r="H151" s="11"/>
      <c r="I151" s="11"/>
      <c r="J151" s="11"/>
      <c r="K151" s="11"/>
      <c r="L151" s="11"/>
      <c r="M151" s="11"/>
      <c r="N151" s="12"/>
    </row>
    <row r="152" spans="4:14" ht="20.25" customHeight="1" x14ac:dyDescent="0.25">
      <c r="D152" s="11"/>
      <c r="E152" s="11"/>
      <c r="F152" s="11"/>
      <c r="G152" s="11"/>
      <c r="H152" s="11"/>
      <c r="I152" s="11"/>
      <c r="J152" s="11"/>
      <c r="K152" s="11"/>
      <c r="L152" s="11"/>
      <c r="M152" s="11"/>
      <c r="N152" s="12"/>
    </row>
    <row r="153" spans="4:14" ht="20.25" customHeight="1" x14ac:dyDescent="0.25">
      <c r="D153" s="11"/>
      <c r="E153" s="11"/>
      <c r="F153" s="11"/>
      <c r="G153" s="11"/>
      <c r="H153" s="11"/>
      <c r="I153" s="11"/>
      <c r="J153" s="11"/>
      <c r="K153" s="11"/>
      <c r="L153" s="11"/>
      <c r="M153" s="11"/>
      <c r="N153" s="12"/>
    </row>
    <row r="154" spans="4:14" ht="20.25" customHeight="1" x14ac:dyDescent="0.25">
      <c r="D154" s="11"/>
      <c r="E154" s="11"/>
      <c r="F154" s="11"/>
      <c r="G154" s="11"/>
      <c r="H154" s="11"/>
      <c r="I154" s="11"/>
      <c r="J154" s="11"/>
      <c r="K154" s="11"/>
      <c r="L154" s="11"/>
      <c r="M154" s="11"/>
      <c r="N154" s="12"/>
    </row>
    <row r="155" spans="4:14" ht="20.25" customHeight="1" x14ac:dyDescent="0.25">
      <c r="D155" s="11"/>
      <c r="E155" s="11"/>
      <c r="F155" s="11"/>
      <c r="G155" s="11"/>
      <c r="H155" s="11"/>
      <c r="I155" s="11"/>
      <c r="J155" s="11"/>
      <c r="K155" s="11"/>
      <c r="L155" s="11"/>
      <c r="M155" s="11"/>
      <c r="N155" s="12"/>
    </row>
    <row r="156" spans="4:14" ht="20.25" customHeight="1" x14ac:dyDescent="0.25">
      <c r="D156" s="11"/>
      <c r="E156" s="11"/>
      <c r="F156" s="11"/>
      <c r="G156" s="11"/>
      <c r="H156" s="11"/>
      <c r="I156" s="11"/>
      <c r="J156" s="11"/>
      <c r="K156" s="11"/>
      <c r="L156" s="11"/>
      <c r="M156" s="11"/>
      <c r="N156" s="12"/>
    </row>
    <row r="157" spans="4:14" ht="20.25" customHeight="1" x14ac:dyDescent="0.25">
      <c r="D157" s="11"/>
      <c r="E157" s="11"/>
      <c r="F157" s="11"/>
      <c r="G157" s="11"/>
      <c r="H157" s="11"/>
      <c r="I157" s="11"/>
      <c r="J157" s="11"/>
      <c r="K157" s="11"/>
      <c r="L157" s="11"/>
      <c r="M157" s="11"/>
      <c r="N157" s="12"/>
    </row>
    <row r="158" spans="4:14" ht="20.25" customHeight="1" x14ac:dyDescent="0.25">
      <c r="D158" s="11"/>
      <c r="E158" s="11"/>
      <c r="F158" s="11"/>
      <c r="G158" s="11"/>
      <c r="H158" s="11"/>
      <c r="I158" s="11"/>
      <c r="J158" s="11"/>
      <c r="K158" s="11"/>
      <c r="L158" s="11"/>
      <c r="M158" s="11"/>
      <c r="N158" s="12"/>
    </row>
    <row r="159" spans="4:14" ht="20.25" customHeight="1" x14ac:dyDescent="0.25">
      <c r="D159" s="11"/>
      <c r="E159" s="11"/>
      <c r="F159" s="11"/>
      <c r="G159" s="11"/>
      <c r="H159" s="11"/>
      <c r="I159" s="11"/>
      <c r="J159" s="11"/>
      <c r="K159" s="11"/>
      <c r="L159" s="11"/>
      <c r="M159" s="11"/>
      <c r="N159" s="12"/>
    </row>
    <row r="160" spans="4:14" ht="20.25" customHeight="1" x14ac:dyDescent="0.25">
      <c r="D160" s="11"/>
      <c r="E160" s="11"/>
      <c r="F160" s="11"/>
      <c r="G160" s="11"/>
      <c r="H160" s="11"/>
      <c r="I160" s="11"/>
      <c r="J160" s="11"/>
      <c r="K160" s="11"/>
      <c r="L160" s="11"/>
      <c r="M160" s="11"/>
      <c r="N160" s="12"/>
    </row>
    <row r="161" spans="4:14" ht="20.25" customHeight="1" x14ac:dyDescent="0.25">
      <c r="D161" s="11"/>
      <c r="E161" s="11"/>
      <c r="F161" s="11"/>
      <c r="G161" s="11"/>
      <c r="H161" s="11"/>
      <c r="I161" s="11"/>
      <c r="J161" s="11"/>
      <c r="K161" s="11"/>
      <c r="L161" s="11"/>
      <c r="M161" s="11"/>
      <c r="N161" s="12"/>
    </row>
    <row r="162" spans="4:14" ht="20.25" customHeight="1" x14ac:dyDescent="0.25">
      <c r="D162" s="11"/>
      <c r="E162" s="11"/>
      <c r="F162" s="11"/>
      <c r="G162" s="11"/>
      <c r="H162" s="11"/>
      <c r="I162" s="11"/>
      <c r="J162" s="11"/>
      <c r="K162" s="11"/>
      <c r="L162" s="11"/>
      <c r="M162" s="11"/>
      <c r="N162" s="12"/>
    </row>
    <row r="163" spans="4:14" ht="20.25" customHeight="1" x14ac:dyDescent="0.25">
      <c r="D163" s="11"/>
      <c r="E163" s="11"/>
      <c r="F163" s="11"/>
      <c r="G163" s="11"/>
      <c r="H163" s="11"/>
      <c r="I163" s="11"/>
      <c r="J163" s="11"/>
      <c r="K163" s="11"/>
      <c r="L163" s="11"/>
      <c r="M163" s="11"/>
      <c r="N163" s="12"/>
    </row>
    <row r="164" spans="4:14" ht="20.25" customHeight="1" x14ac:dyDescent="0.25">
      <c r="D164" s="11"/>
      <c r="E164" s="11"/>
      <c r="F164" s="11"/>
      <c r="G164" s="11"/>
      <c r="H164" s="11"/>
      <c r="I164" s="11"/>
      <c r="J164" s="11"/>
      <c r="K164" s="11"/>
      <c r="L164" s="11"/>
      <c r="M164" s="11"/>
      <c r="N164" s="12"/>
    </row>
    <row r="165" spans="4:14" ht="20.25" customHeight="1" x14ac:dyDescent="0.25">
      <c r="D165" s="11"/>
      <c r="E165" s="11"/>
      <c r="F165" s="11"/>
      <c r="G165" s="11"/>
      <c r="H165" s="11"/>
      <c r="I165" s="11"/>
      <c r="J165" s="11"/>
      <c r="K165" s="11"/>
      <c r="L165" s="11"/>
      <c r="M165" s="11"/>
      <c r="N165" s="12"/>
    </row>
    <row r="166" spans="4:14" ht="20.25" customHeight="1" x14ac:dyDescent="0.25">
      <c r="D166" s="11"/>
      <c r="E166" s="11"/>
      <c r="F166" s="11"/>
      <c r="G166" s="11"/>
      <c r="H166" s="11"/>
      <c r="I166" s="11"/>
      <c r="J166" s="11"/>
      <c r="K166" s="11"/>
      <c r="L166" s="11"/>
      <c r="M166" s="11"/>
      <c r="N166" s="12"/>
    </row>
    <row r="167" spans="4:14" ht="20.25" customHeight="1" x14ac:dyDescent="0.25">
      <c r="D167" s="11"/>
      <c r="E167" s="11"/>
      <c r="F167" s="11"/>
      <c r="G167" s="11"/>
      <c r="H167" s="11"/>
      <c r="I167" s="11"/>
      <c r="J167" s="11"/>
      <c r="K167" s="11"/>
      <c r="L167" s="11"/>
      <c r="M167" s="11"/>
      <c r="N167" s="12"/>
    </row>
  </sheetData>
  <sheetProtection algorithmName="SHA-512" hashValue="oxq+zG7h9mRqKXy5Jh80DZLfcct+oB1aW4z1te655eieb4mPGK1qf5iNbFEdblOH2KNkWOOrWJuy5T3gJaG52Q==" saltValue="jroXDOoZvBFkujS3bGDg+Q==" spinCount="100000" sheet="1" formatColumns="0" formatRows="0"/>
  <mergeCells count="80">
    <mergeCell ref="K7:N7"/>
    <mergeCell ref="C14:D14"/>
    <mergeCell ref="C15:D15"/>
    <mergeCell ref="D4:E4"/>
    <mergeCell ref="D5:E5"/>
    <mergeCell ref="D6:E6"/>
    <mergeCell ref="J6:N6"/>
    <mergeCell ref="A8:C8"/>
    <mergeCell ref="F8:G8"/>
    <mergeCell ref="K8:N8"/>
    <mergeCell ref="M10:N10"/>
    <mergeCell ref="C13:D13"/>
    <mergeCell ref="J12:L15"/>
    <mergeCell ref="M12:M15"/>
    <mergeCell ref="N12:N15"/>
    <mergeCell ref="N4:N5"/>
    <mergeCell ref="A16:B19"/>
    <mergeCell ref="C16:D16"/>
    <mergeCell ref="A12:B15"/>
    <mergeCell ref="C12:D12"/>
    <mergeCell ref="N20:N23"/>
    <mergeCell ref="C21:D21"/>
    <mergeCell ref="C22:D22"/>
    <mergeCell ref="C23:D23"/>
    <mergeCell ref="K16:L19"/>
    <mergeCell ref="M16:M19"/>
    <mergeCell ref="N16:N19"/>
    <mergeCell ref="C17:D17"/>
    <mergeCell ref="C18:D18"/>
    <mergeCell ref="C19:D19"/>
    <mergeCell ref="E16:E19"/>
    <mergeCell ref="A20:B23"/>
    <mergeCell ref="C20:D20"/>
    <mergeCell ref="E20:F23"/>
    <mergeCell ref="L20:L23"/>
    <mergeCell ref="M20:M23"/>
    <mergeCell ref="A24:B27"/>
    <mergeCell ref="C24:D24"/>
    <mergeCell ref="E24:G27"/>
    <mergeCell ref="M24:M27"/>
    <mergeCell ref="N24:N27"/>
    <mergeCell ref="C25:D25"/>
    <mergeCell ref="C26:D26"/>
    <mergeCell ref="C27:D27"/>
    <mergeCell ref="A28:B31"/>
    <mergeCell ref="C28:D28"/>
    <mergeCell ref="E28:H31"/>
    <mergeCell ref="M28:N30"/>
    <mergeCell ref="C29:D29"/>
    <mergeCell ref="C30:D30"/>
    <mergeCell ref="C31:D31"/>
    <mergeCell ref="M31:N31"/>
    <mergeCell ref="A32:B35"/>
    <mergeCell ref="C32:D32"/>
    <mergeCell ref="E32:I35"/>
    <mergeCell ref="M32:N32"/>
    <mergeCell ref="C33:D33"/>
    <mergeCell ref="M33:N34"/>
    <mergeCell ref="C34:D34"/>
    <mergeCell ref="C35:D35"/>
    <mergeCell ref="M35:N35"/>
    <mergeCell ref="M41:N41"/>
    <mergeCell ref="C42:D42"/>
    <mergeCell ref="M42:N43"/>
    <mergeCell ref="C43:D43"/>
    <mergeCell ref="A36:B39"/>
    <mergeCell ref="C36:D36"/>
    <mergeCell ref="E36:J39"/>
    <mergeCell ref="M36:N37"/>
    <mergeCell ref="C37:D37"/>
    <mergeCell ref="C38:D38"/>
    <mergeCell ref="M38:N38"/>
    <mergeCell ref="C39:D39"/>
    <mergeCell ref="M39:N40"/>
    <mergeCell ref="A40:B43"/>
    <mergeCell ref="D45:G45"/>
    <mergeCell ref="H45:K45"/>
    <mergeCell ref="C40:D40"/>
    <mergeCell ref="E40:K43"/>
    <mergeCell ref="C41:D41"/>
  </mergeCells>
  <conditionalFormatting sqref="F14:I14">
    <cfRule type="expression" dxfId="37" priority="25">
      <formula>F14&gt;(MIN($E14:E14))</formula>
    </cfRule>
  </conditionalFormatting>
  <conditionalFormatting sqref="F13:I13">
    <cfRule type="expression" dxfId="36" priority="24">
      <formula>F13&lt;(MAX($E13:E13))</formula>
    </cfRule>
  </conditionalFormatting>
  <conditionalFormatting sqref="G17:J17">
    <cfRule type="expression" dxfId="35" priority="23">
      <formula>G17&lt;(MAX($F17:F17))</formula>
    </cfRule>
  </conditionalFormatting>
  <conditionalFormatting sqref="G18:J18">
    <cfRule type="expression" dxfId="34" priority="22">
      <formula>G18&gt;(MIN($F18:F18))</formula>
    </cfRule>
  </conditionalFormatting>
  <conditionalFormatting sqref="H22:K22">
    <cfRule type="expression" dxfId="33" priority="21">
      <formula>H22&gt;(MIN($G22:G22))</formula>
    </cfRule>
  </conditionalFormatting>
  <conditionalFormatting sqref="H21:K21">
    <cfRule type="expression" dxfId="32" priority="20">
      <formula>H21&lt;(MAX($G21:G21))</formula>
    </cfRule>
  </conditionalFormatting>
  <conditionalFormatting sqref="I26:L26">
    <cfRule type="expression" dxfId="31" priority="19">
      <formula>I26&gt;(MIN($H26:H26))</formula>
    </cfRule>
  </conditionalFormatting>
  <conditionalFormatting sqref="I25:L25">
    <cfRule type="expression" dxfId="30" priority="18">
      <formula>I25&lt;(MAX($H25:H25))</formula>
    </cfRule>
  </conditionalFormatting>
  <conditionalFormatting sqref="J30:L30">
    <cfRule type="expression" dxfId="29" priority="17">
      <formula>J30&gt;(MIN($I30:I30))</formula>
    </cfRule>
  </conditionalFormatting>
  <conditionalFormatting sqref="J29:L29">
    <cfRule type="expression" dxfId="28" priority="16">
      <formula>J29&lt;(MAX($I29:I29))</formula>
    </cfRule>
  </conditionalFormatting>
  <conditionalFormatting sqref="K34:L34">
    <cfRule type="expression" dxfId="27" priority="15">
      <formula>K34&gt;(MIN($J34:J34))</formula>
    </cfRule>
  </conditionalFormatting>
  <conditionalFormatting sqref="K33:L33">
    <cfRule type="expression" dxfId="26" priority="14">
      <formula>K33&lt;(MAX($J33:J33))</formula>
    </cfRule>
  </conditionalFormatting>
  <conditionalFormatting sqref="L38">
    <cfRule type="expression" dxfId="25" priority="13">
      <formula>L38&gt;(MIN($G38:K38))</formula>
    </cfRule>
  </conditionalFormatting>
  <conditionalFormatting sqref="L37">
    <cfRule type="expression" dxfId="24" priority="12">
      <formula>L37&lt;(MAX($K37:K37))</formula>
    </cfRule>
  </conditionalFormatting>
  <conditionalFormatting sqref="I15 J19 K23 L27">
    <cfRule type="expression" dxfId="23" priority="11">
      <formula>I15&lt;$H$8</formula>
    </cfRule>
  </conditionalFormatting>
  <conditionalFormatting sqref="M12:N15">
    <cfRule type="expression" dxfId="22" priority="1">
      <formula>$I$15&lt;$H$8</formula>
    </cfRule>
  </conditionalFormatting>
  <conditionalFormatting sqref="M16:N19">
    <cfRule type="expression" dxfId="21" priority="4">
      <formula>$J$19&lt;$H$8</formula>
    </cfRule>
  </conditionalFormatting>
  <conditionalFormatting sqref="M20:N23">
    <cfRule type="expression" dxfId="20" priority="3">
      <formula>$K$23&lt;$H$8</formula>
    </cfRule>
  </conditionalFormatting>
  <conditionalFormatting sqref="M24:N27">
    <cfRule type="expression" dxfId="19" priority="2">
      <formula>$L$27&lt;$H$8</formula>
    </cfRule>
  </conditionalFormatting>
  <dataValidations count="3">
    <dataValidation type="textLength" operator="lessThanOrEqual" allowBlank="1" showInputMessage="1" showErrorMessage="1" errorTitle="Error" error="Maximum of 500 characters" sqref="N12:N27">
      <formula1>500</formula1>
    </dataValidation>
    <dataValidation type="textLength" allowBlank="1" showInputMessage="1" showErrorMessage="1" sqref="M31">
      <formula1>0</formula1>
      <formula2>500</formula2>
    </dataValidation>
    <dataValidation type="decimal" allowBlank="1" showInputMessage="1" showErrorMessage="1" sqref="E13:I15 J33:L35 F17:J19 G21:K23 H25:L27 I29:L31 L41:L43 K37:L39">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LookupData!$AB$3:$AB$4</xm:f>
          </x14:formula1>
          <xm:sqref>M12:M27</xm:sqref>
        </x14:dataValidation>
        <x14:dataValidation type="list" allowBlank="1" showInputMessage="1" showErrorMessage="1">
          <x14:formula1>
            <xm:f>LookupData!$R$3:$R$69</xm:f>
          </x14:formula1>
          <xm:sqref>D4:E4</xm:sqref>
        </x14:dataValidation>
        <x14:dataValidation type="list" allowBlank="1" showInputMessage="1" showErrorMessage="1">
          <x14:formula1>
            <xm:f>LookupData!$T$3:$T$17</xm:f>
          </x14:formula1>
          <xm:sqref>L4</xm:sqref>
        </x14:dataValidation>
        <x14:dataValidation type="list" allowBlank="1" showInputMessage="1" showErrorMessage="1">
          <x14:formula1>
            <xm:f>LookupData!$U$3:$U$6</xm:f>
          </x14:formula1>
          <xm:sqref>H4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Circuit Criminal</vt:lpstr>
      <vt:lpstr>Drug Trafficking</vt:lpstr>
      <vt:lpstr>County Criminal</vt:lpstr>
      <vt:lpstr>Juvenile Delinquency</vt:lpstr>
      <vt:lpstr>Criminal Traffic</vt:lpstr>
      <vt:lpstr>Circuit Civil</vt:lpstr>
      <vt:lpstr>County Civil</vt:lpstr>
      <vt:lpstr>Probate</vt:lpstr>
      <vt:lpstr>Family</vt:lpstr>
      <vt:lpstr>Civil Traffic</vt:lpstr>
      <vt:lpstr>LookupData</vt:lpstr>
      <vt:lpstr>ReportInfo</vt:lpstr>
      <vt:lpstr>'Circuit Civil'!Print_Area</vt:lpstr>
      <vt:lpstr>'Circuit Criminal'!Print_Area</vt:lpstr>
      <vt:lpstr>'Civil Traffic'!Print_Area</vt:lpstr>
      <vt:lpstr>'County Civil'!Print_Area</vt:lpstr>
      <vt:lpstr>'County Criminal'!Print_Area</vt:lpstr>
      <vt:lpstr>'Criminal Traffic'!Print_Area</vt:lpstr>
      <vt:lpstr>'Drug Trafficking'!Print_Area</vt:lpstr>
      <vt:lpstr>Family!Print_Area</vt:lpstr>
      <vt:lpstr>'Juvenile Delinquency'!Print_Area</vt:lpstr>
      <vt:lpstr>Probate!Print_Area</vt:lpstr>
      <vt:lpstr>'Circuit Civil'!Print_Titles</vt:lpstr>
      <vt:lpstr>'Circuit Criminal'!Print_Titles</vt:lpstr>
      <vt:lpstr>'Civil Traffic'!Print_Titles</vt:lpstr>
      <vt:lpstr>'County Civil'!Print_Titles</vt:lpstr>
      <vt:lpstr>'County Criminal'!Print_Titles</vt:lpstr>
      <vt:lpstr>'Criminal Traffic'!Print_Titles</vt:lpstr>
      <vt:lpstr>'Drug Trafficking'!Print_Titles</vt:lpstr>
      <vt:lpstr>Family!Print_Titles</vt:lpstr>
      <vt:lpstr>'Juvenile Delinquency'!Print_Titles</vt:lpstr>
      <vt:lpstr>Probate!Print_Titles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Kim Reynolds</cp:lastModifiedBy>
  <cp:lastPrinted>2021-04-16T14:07:43Z</cp:lastPrinted>
  <dcterms:created xsi:type="dcterms:W3CDTF">1996-10-14T23:33:28Z</dcterms:created>
  <dcterms:modified xsi:type="dcterms:W3CDTF">2021-04-16T14:13:10Z</dcterms:modified>
</cp:coreProperties>
</file>