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53"/>
  <c r="L44" i="53"/>
  <c r="K44" i="53"/>
  <c r="J44" i="53"/>
  <c r="I44" i="53"/>
  <c r="H44" i="44"/>
  <c r="H44" i="53" s="1"/>
  <c r="G44" i="44"/>
  <c r="G44" i="53" s="1"/>
  <c r="F44" i="44"/>
  <c r="P43" i="44"/>
  <c r="P43" i="53" s="1"/>
  <c r="O43" i="44"/>
  <c r="O43" i="53" s="1"/>
  <c r="N43" i="44"/>
  <c r="N43" i="53" s="1"/>
  <c r="M43" i="53"/>
  <c r="L43" i="53"/>
  <c r="K43" i="53"/>
  <c r="J43" i="53"/>
  <c r="I43" i="53"/>
  <c r="H43" i="53"/>
  <c r="G43" i="53"/>
  <c r="F43" i="53"/>
  <c r="P42" i="44"/>
  <c r="P42" i="53" s="1"/>
  <c r="O42" i="44"/>
  <c r="O42" i="53" s="1"/>
  <c r="N42" i="44"/>
  <c r="N42" i="53" s="1"/>
  <c r="M42" i="53"/>
  <c r="L42" i="53"/>
  <c r="K42" i="44"/>
  <c r="K42" i="53" s="1"/>
  <c r="J42" i="53"/>
  <c r="I42" i="53"/>
  <c r="H42" i="53"/>
  <c r="G42" i="53"/>
  <c r="F42" i="44"/>
  <c r="F42" i="53" s="1"/>
  <c r="P41" i="44"/>
  <c r="P41" i="53" s="1"/>
  <c r="O41" i="44"/>
  <c r="O41" i="53" s="1"/>
  <c r="N41" i="44"/>
  <c r="N41" i="53" s="1"/>
  <c r="M41" i="53"/>
  <c r="L41" i="53"/>
  <c r="K41" i="53"/>
  <c r="J41" i="53"/>
  <c r="I41" i="53"/>
  <c r="H41" i="53"/>
  <c r="G41" i="53"/>
  <c r="F41" i="53"/>
  <c r="P40" i="44"/>
  <c r="P40" i="53" s="1"/>
  <c r="O40" i="44"/>
  <c r="O40" i="53" s="1"/>
  <c r="N40" i="44"/>
  <c r="N40" i="53" s="1"/>
  <c r="M40" i="53"/>
  <c r="L40" i="53"/>
  <c r="K40" i="44"/>
  <c r="K40" i="53" s="1"/>
  <c r="J40" i="44"/>
  <c r="J40" i="53" s="1"/>
  <c r="I40" i="53"/>
  <c r="H40" i="53"/>
  <c r="G40" i="53"/>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53"/>
  <c r="P53" i="44"/>
  <c r="P53" i="53" s="1"/>
  <c r="O53" i="44"/>
  <c r="O53" i="53" s="1"/>
  <c r="N53" i="44"/>
  <c r="N53" i="53" s="1"/>
  <c r="M53" i="44"/>
  <c r="M53" i="53" s="1"/>
  <c r="P52" i="44"/>
  <c r="P52" i="53" s="1"/>
  <c r="O52" i="44"/>
  <c r="O52" i="53" s="1"/>
  <c r="N52" i="44"/>
  <c r="N52" i="53" s="1"/>
  <c r="M52" i="53"/>
  <c r="P51" i="44"/>
  <c r="P51" i="53" s="1"/>
  <c r="O51" i="44"/>
  <c r="O51" i="53" s="1"/>
  <c r="N51" i="44"/>
  <c r="N51" i="53" s="1"/>
  <c r="M51" i="44"/>
  <c r="M51" i="53" s="1"/>
  <c r="P50" i="44"/>
  <c r="P50" i="53" s="1"/>
  <c r="O50" i="44"/>
  <c r="O50" i="53" s="1"/>
  <c r="N50" i="44"/>
  <c r="N50" i="53" s="1"/>
  <c r="M50" i="53"/>
  <c r="P49" i="44"/>
  <c r="P49" i="53" s="1"/>
  <c r="O49" i="44"/>
  <c r="O49" i="53" s="1"/>
  <c r="N49" i="44"/>
  <c r="N49" i="53" s="1"/>
  <c r="M49" i="53"/>
  <c r="P48" i="44"/>
  <c r="P48" i="53" s="1"/>
  <c r="O48" i="44"/>
  <c r="O48" i="53" s="1"/>
  <c r="N48" i="44"/>
  <c r="N48" i="53" s="1"/>
  <c r="M48" i="53"/>
  <c r="P47" i="44"/>
  <c r="P47" i="53" s="1"/>
  <c r="O47" i="44"/>
  <c r="O47" i="53" s="1"/>
  <c r="N47" i="44"/>
  <c r="N47" i="53" s="1"/>
  <c r="M47" i="53"/>
  <c r="P46" i="44"/>
  <c r="P46" i="53" s="1"/>
  <c r="O46" i="44"/>
  <c r="O46" i="53" s="1"/>
  <c r="N46" i="44"/>
  <c r="N46" i="53" s="1"/>
  <c r="M46" i="44"/>
  <c r="M46" i="53" s="1"/>
  <c r="P45" i="44"/>
  <c r="P45" i="53" s="1"/>
  <c r="O45" i="44"/>
  <c r="O45" i="53" s="1"/>
  <c r="N45" i="44"/>
  <c r="N45" i="53" s="1"/>
  <c r="M45" i="53"/>
  <c r="F45" i="53"/>
  <c r="G45" i="53"/>
  <c r="H45" i="53"/>
  <c r="I45" i="53"/>
  <c r="J45" i="53"/>
  <c r="K45" i="53"/>
  <c r="L45" i="53"/>
  <c r="F46" i="53"/>
  <c r="G46" i="53"/>
  <c r="H46" i="53"/>
  <c r="I46" i="53"/>
  <c r="J46" i="44"/>
  <c r="J46" i="53" s="1"/>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53"/>
  <c r="F53" i="44"/>
  <c r="F53" i="53" s="1"/>
  <c r="G53" i="44"/>
  <c r="G53" i="53" s="1"/>
  <c r="H53" i="44"/>
  <c r="H53" i="53" s="1"/>
  <c r="I53" i="44"/>
  <c r="I53" i="53" s="1"/>
  <c r="J53" i="44"/>
  <c r="J53" i="53" s="1"/>
  <c r="K53" i="44"/>
  <c r="K53" i="53" s="1"/>
  <c r="L53" i="44"/>
  <c r="L53" i="53" s="1"/>
  <c r="F54" i="53"/>
  <c r="G54" i="53"/>
  <c r="H54" i="53"/>
  <c r="I54" i="53"/>
  <c r="J54" i="53"/>
  <c r="K54" i="53"/>
  <c r="L54" i="53"/>
  <c r="F55" i="53"/>
  <c r="G55" i="53"/>
  <c r="H55" i="53"/>
  <c r="I55" i="44"/>
  <c r="I55" i="53" s="1"/>
  <c r="J55" i="53"/>
  <c r="K55" i="44"/>
  <c r="K55" i="53" s="1"/>
  <c r="L55" i="53"/>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53"/>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53"/>
  <c r="L71" i="53"/>
  <c r="K71" i="53"/>
  <c r="J71" i="53"/>
  <c r="I71" i="53"/>
  <c r="H71" i="53"/>
  <c r="G71" i="53"/>
  <c r="P70" i="44"/>
  <c r="P70" i="53" s="1"/>
  <c r="O70" i="44"/>
  <c r="O70" i="53" s="1"/>
  <c r="N70" i="44"/>
  <c r="N70" i="53" s="1"/>
  <c r="M70" i="53"/>
  <c r="L70" i="53"/>
  <c r="P69" i="44"/>
  <c r="P69" i="53" s="1"/>
  <c r="O69" i="44"/>
  <c r="O69" i="53" s="1"/>
  <c r="N69" i="44"/>
  <c r="N69" i="53" s="1"/>
  <c r="M69" i="53"/>
  <c r="L69" i="53"/>
  <c r="P68" i="44"/>
  <c r="P68" i="53" s="1"/>
  <c r="O68" i="44"/>
  <c r="O68" i="53" s="1"/>
  <c r="N68" i="44"/>
  <c r="N68" i="53" s="1"/>
  <c r="M68" i="53"/>
  <c r="L68" i="53"/>
  <c r="K68" i="53"/>
  <c r="J68" i="53"/>
  <c r="I68" i="53"/>
  <c r="H68" i="53"/>
  <c r="G68" i="53"/>
  <c r="P67" i="44"/>
  <c r="P67" i="53" s="1"/>
  <c r="O67" i="44"/>
  <c r="O67" i="53" s="1"/>
  <c r="N67" i="44"/>
  <c r="N67" i="53" s="1"/>
  <c r="M67" i="53"/>
  <c r="P66" i="44"/>
  <c r="P66" i="53" s="1"/>
  <c r="O66" i="44"/>
  <c r="O66" i="53" s="1"/>
  <c r="N66" i="44"/>
  <c r="N66" i="53" s="1"/>
  <c r="M66" i="53"/>
  <c r="P65" i="44"/>
  <c r="P65" i="53" s="1"/>
  <c r="O65" i="44"/>
  <c r="O65" i="53" s="1"/>
  <c r="N65" i="44"/>
  <c r="N65" i="53" s="1"/>
  <c r="M65" i="53"/>
  <c r="L65" i="53"/>
  <c r="K65" i="53"/>
  <c r="J65" i="53"/>
  <c r="I65" i="53"/>
  <c r="H65" i="53"/>
  <c r="G65" i="53"/>
  <c r="P64" i="44"/>
  <c r="P64" i="53" s="1"/>
  <c r="O64" i="44"/>
  <c r="O64" i="53" s="1"/>
  <c r="N64" i="44"/>
  <c r="N64" i="53" s="1"/>
  <c r="M64" i="53"/>
  <c r="P63" i="44"/>
  <c r="P63" i="53" s="1"/>
  <c r="O63" i="44"/>
  <c r="O63" i="53" s="1"/>
  <c r="N63" i="44"/>
  <c r="N63" i="53" s="1"/>
  <c r="M63" i="53"/>
  <c r="L67" i="53"/>
  <c r="K67" i="53"/>
  <c r="J67" i="53"/>
  <c r="I67" i="53"/>
  <c r="H67" i="53"/>
  <c r="G67" i="53"/>
  <c r="L66" i="53"/>
  <c r="K66" i="53"/>
  <c r="J66" i="53"/>
  <c r="I66" i="53"/>
  <c r="H66" i="53"/>
  <c r="G66" i="53"/>
  <c r="L64" i="53"/>
  <c r="K64" i="53"/>
  <c r="J64" i="53"/>
  <c r="I64" i="53"/>
  <c r="H64" i="53"/>
  <c r="G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53"/>
  <c r="L84" i="53"/>
  <c r="K84" i="53"/>
  <c r="J84" i="53"/>
  <c r="I84" i="53"/>
  <c r="H84" i="53"/>
  <c r="G84" i="53"/>
  <c r="F84" i="53"/>
  <c r="E84" i="53"/>
  <c r="E85" i="53"/>
  <c r="N83" i="44"/>
  <c r="N83" i="53" s="1"/>
  <c r="M83" i="44"/>
  <c r="M83" i="53" s="1"/>
  <c r="P82" i="44"/>
  <c r="P82" i="53" s="1"/>
  <c r="O82" i="44"/>
  <c r="O82" i="53" s="1"/>
  <c r="N82" i="44"/>
  <c r="N82" i="53" s="1"/>
  <c r="M82" i="53"/>
  <c r="P81" i="44"/>
  <c r="P81" i="53" s="1"/>
  <c r="O81" i="44"/>
  <c r="O81" i="53" s="1"/>
  <c r="N81" i="44"/>
  <c r="N81" i="53" s="1"/>
  <c r="M81" i="53"/>
  <c r="P80" i="44"/>
  <c r="P80" i="53" s="1"/>
  <c r="O80" i="44"/>
  <c r="O80" i="53" s="1"/>
  <c r="N80" i="44"/>
  <c r="N80" i="53" s="1"/>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44"/>
  <c r="F83" i="53" s="1"/>
  <c r="G83" i="44"/>
  <c r="G83" i="53" s="1"/>
  <c r="H83" i="44"/>
  <c r="H83" i="53" s="1"/>
  <c r="I83" i="53"/>
  <c r="J83" i="44"/>
  <c r="J83" i="53" s="1"/>
  <c r="K83" i="44"/>
  <c r="K83" i="53" s="1"/>
  <c r="L83" i="44"/>
  <c r="L83" i="53" s="1"/>
  <c r="P79" i="44"/>
  <c r="P79" i="53" s="1"/>
  <c r="O79" i="44"/>
  <c r="O79" i="53" s="1"/>
  <c r="N79" i="44"/>
  <c r="N79" i="53" s="1"/>
  <c r="M79" i="53"/>
  <c r="P78" i="44"/>
  <c r="P78" i="53" s="1"/>
  <c r="O78" i="44"/>
  <c r="O78" i="53" s="1"/>
  <c r="N78" i="44"/>
  <c r="N78" i="53" s="1"/>
  <c r="M78" i="53"/>
  <c r="P77" i="44"/>
  <c r="P77" i="53" s="1"/>
  <c r="O77" i="44"/>
  <c r="O77" i="53" s="1"/>
  <c r="N77" i="44"/>
  <c r="N77" i="53" s="1"/>
  <c r="M77" i="53"/>
  <c r="M85" i="53"/>
  <c r="N85" i="44"/>
  <c r="N85" i="53" s="1"/>
  <c r="O85" i="44"/>
  <c r="O85" i="53" s="1"/>
  <c r="P85" i="44"/>
  <c r="P85" i="53" s="1"/>
  <c r="M86" i="53"/>
  <c r="N86" i="44"/>
  <c r="N86" i="53" s="1"/>
  <c r="O86" i="44"/>
  <c r="O86" i="53" s="1"/>
  <c r="P86" i="44"/>
  <c r="P86" i="53" s="1"/>
  <c r="M87" i="53"/>
  <c r="N87" i="44"/>
  <c r="N87" i="53" s="1"/>
  <c r="O87" i="44"/>
  <c r="O87" i="53" s="1"/>
  <c r="P87" i="44"/>
  <c r="P87" i="53" s="1"/>
  <c r="M88" i="53"/>
  <c r="N88" i="44"/>
  <c r="N88" i="53" s="1"/>
  <c r="O88" i="44"/>
  <c r="O88" i="53" s="1"/>
  <c r="P88" i="44"/>
  <c r="P88" i="53" s="1"/>
  <c r="M89" i="53"/>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53"/>
  <c r="N92" i="44"/>
  <c r="N92" i="53" s="1"/>
  <c r="O92" i="44"/>
  <c r="O92" i="53" s="1"/>
  <c r="P92" i="44"/>
  <c r="P92" i="53" s="1"/>
  <c r="M93" i="44"/>
  <c r="M93" i="53" s="1"/>
  <c r="N93" i="44"/>
  <c r="N93" i="53" s="1"/>
  <c r="O93" i="44"/>
  <c r="O93" i="53" s="1"/>
  <c r="P93" i="44"/>
  <c r="P93" i="53" s="1"/>
  <c r="L79" i="53"/>
  <c r="K79" i="53"/>
  <c r="J79" i="53"/>
  <c r="I79" i="53"/>
  <c r="H79" i="53"/>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53"/>
  <c r="F88" i="53"/>
  <c r="G88" i="44"/>
  <c r="G88" i="53" s="1"/>
  <c r="H88" i="53"/>
  <c r="I88" i="53"/>
  <c r="J88" i="44"/>
  <c r="J88" i="53" s="1"/>
  <c r="K88" i="44"/>
  <c r="K88" i="53" s="1"/>
  <c r="L88" i="53"/>
  <c r="E89" i="53"/>
  <c r="F89" i="53"/>
  <c r="G89" i="53"/>
  <c r="H89" i="53"/>
  <c r="I89" i="53"/>
  <c r="J89" i="53"/>
  <c r="K89" i="53"/>
  <c r="L89" i="53"/>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53"/>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53"/>
  <c r="P101" i="44"/>
  <c r="P101" i="53" s="1"/>
  <c r="O101" i="44"/>
  <c r="O101" i="53" s="1"/>
  <c r="N101" i="44"/>
  <c r="N101" i="53" s="1"/>
  <c r="M101" i="53"/>
  <c r="P100" i="44"/>
  <c r="P100" i="53" s="1"/>
  <c r="O100" i="44"/>
  <c r="O100" i="53" s="1"/>
  <c r="N100" i="44"/>
  <c r="N100" i="53" s="1"/>
  <c r="M100" i="53"/>
  <c r="P99" i="44"/>
  <c r="P99" i="53" s="1"/>
  <c r="O99" i="44"/>
  <c r="O99" i="53" s="1"/>
  <c r="N99" i="44"/>
  <c r="N99" i="53" s="1"/>
  <c r="M99" i="53"/>
  <c r="P98" i="44"/>
  <c r="P98" i="53" s="1"/>
  <c r="O98" i="44"/>
  <c r="O98" i="53" s="1"/>
  <c r="N98" i="44"/>
  <c r="N98" i="53" s="1"/>
  <c r="M98" i="53"/>
  <c r="P97" i="44"/>
  <c r="P97" i="53" s="1"/>
  <c r="O97" i="44"/>
  <c r="O97" i="53" s="1"/>
  <c r="N97" i="44"/>
  <c r="N97" i="53" s="1"/>
  <c r="M97" i="53"/>
  <c r="L102" i="53"/>
  <c r="K102" i="53"/>
  <c r="J102" i="53"/>
  <c r="I102" i="53"/>
  <c r="H102" i="53"/>
  <c r="G102" i="53"/>
  <c r="F102" i="53"/>
  <c r="E102" i="53"/>
  <c r="P104" i="44"/>
  <c r="P104" i="53" s="1"/>
  <c r="O104" i="44"/>
  <c r="O104" i="53" s="1"/>
  <c r="N104" i="44"/>
  <c r="N104" i="53" s="1"/>
  <c r="M104" i="53"/>
  <c r="P103" i="44"/>
  <c r="P103" i="53" s="1"/>
  <c r="O103" i="44"/>
  <c r="O103" i="53" s="1"/>
  <c r="N103" i="44"/>
  <c r="N103" i="53" s="1"/>
  <c r="M103" i="53"/>
  <c r="E103" i="53"/>
  <c r="F103" i="53"/>
  <c r="G103" i="53"/>
  <c r="H103" i="53"/>
  <c r="I103" i="53"/>
  <c r="J103" i="53"/>
  <c r="K103" i="53"/>
  <c r="L103" i="53"/>
  <c r="E104" i="53"/>
  <c r="F104" i="53"/>
  <c r="G104" i="53"/>
  <c r="H104" i="53"/>
  <c r="I104" i="53"/>
  <c r="J104" i="53"/>
  <c r="K104" i="53"/>
  <c r="L104" i="53"/>
  <c r="P105" i="44"/>
  <c r="P105" i="53" s="1"/>
  <c r="O105" i="44"/>
  <c r="O105" i="53" s="1"/>
  <c r="N105" i="44"/>
  <c r="N105" i="53" s="1"/>
  <c r="M105" i="53"/>
  <c r="L105" i="53"/>
  <c r="K105" i="53"/>
  <c r="J105" i="53"/>
  <c r="I105" i="53"/>
  <c r="H105" i="53"/>
  <c r="G105" i="53"/>
  <c r="F105" i="53"/>
  <c r="E105" i="53"/>
  <c r="P106" i="44"/>
  <c r="P106" i="53" s="1"/>
  <c r="O106" i="44"/>
  <c r="O106" i="53" s="1"/>
  <c r="N106" i="44"/>
  <c r="N106" i="53" s="1"/>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53"/>
  <c r="K101" i="53"/>
  <c r="J101" i="53"/>
  <c r="I101" i="53"/>
  <c r="H101" i="53"/>
  <c r="G101" i="44"/>
  <c r="G101" i="53" s="1"/>
  <c r="F101" i="44"/>
  <c r="F101" i="53" s="1"/>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53"/>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53"/>
  <c r="P111" i="44"/>
  <c r="P111" i="53" s="1"/>
  <c r="O111" i="44"/>
  <c r="O111" i="53" s="1"/>
  <c r="N111" i="44"/>
  <c r="N111" i="53" s="1"/>
  <c r="M111" i="53"/>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53"/>
  <c r="K111" i="53"/>
  <c r="J111" i="53"/>
  <c r="I111" i="53"/>
  <c r="H111" i="53"/>
  <c r="G111" i="53"/>
  <c r="F111" i="53"/>
  <c r="E111" i="53"/>
  <c r="P123" i="44"/>
  <c r="P123" i="53" s="1"/>
  <c r="O123" i="44"/>
  <c r="O123" i="53" s="1"/>
  <c r="N123" i="44"/>
  <c r="N123" i="53" s="1"/>
  <c r="M123" i="53"/>
  <c r="L123" i="53"/>
  <c r="K123" i="53"/>
  <c r="J123" i="53"/>
  <c r="I123" i="53"/>
  <c r="H123" i="53"/>
  <c r="G123" i="53"/>
  <c r="F123" i="53"/>
  <c r="E123" i="53"/>
  <c r="P39" i="44"/>
  <c r="P39" i="53" s="1"/>
  <c r="O39" i="44"/>
  <c r="O39" i="53" s="1"/>
  <c r="N39" i="44"/>
  <c r="N39" i="53" s="1"/>
  <c r="M39" i="53"/>
  <c r="L39" i="53"/>
  <c r="K39" i="53"/>
  <c r="J39" i="53"/>
  <c r="I39" i="53"/>
  <c r="H39" i="53"/>
  <c r="G39" i="53"/>
  <c r="F39" i="53"/>
  <c r="P35" i="44"/>
  <c r="P35" i="53" s="1"/>
  <c r="O35" i="44"/>
  <c r="O35" i="53" s="1"/>
  <c r="N35" i="44"/>
  <c r="N35" i="53" s="1"/>
  <c r="M35" i="53"/>
  <c r="L35" i="44"/>
  <c r="L35" i="53" s="1"/>
  <c r="K35" i="44"/>
  <c r="K35" i="53" s="1"/>
  <c r="J35" i="53"/>
  <c r="I35" i="53"/>
  <c r="H35" i="44"/>
  <c r="H35" i="53" s="1"/>
  <c r="G35" i="44"/>
  <c r="G35" i="53" s="1"/>
  <c r="F35" i="44"/>
  <c r="F35" i="53" s="1"/>
  <c r="E35" i="44"/>
  <c r="E35" i="53" s="1"/>
  <c r="P34" i="44"/>
  <c r="P34" i="53" s="1"/>
  <c r="O34" i="44"/>
  <c r="O34" i="53" s="1"/>
  <c r="N34" i="44"/>
  <c r="N34" i="53" s="1"/>
  <c r="M34" i="53"/>
  <c r="L34" i="53"/>
  <c r="K34" i="53"/>
  <c r="J34" i="53"/>
  <c r="I34" i="53"/>
  <c r="H34" i="53"/>
  <c r="G34" i="53"/>
  <c r="F34" i="53"/>
  <c r="E34" i="53"/>
  <c r="P33" i="44"/>
  <c r="P33" i="53" s="1"/>
  <c r="O33" i="44"/>
  <c r="O33" i="53" s="1"/>
  <c r="N33" i="44"/>
  <c r="N33" i="53" s="1"/>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53"/>
  <c r="K27" i="44"/>
  <c r="K27" i="53" s="1"/>
  <c r="J27" i="44"/>
  <c r="J27" i="53" s="1"/>
  <c r="I27" i="44"/>
  <c r="I27" i="53" s="1"/>
  <c r="H27" i="53"/>
  <c r="G27" i="53"/>
  <c r="F27" i="44"/>
  <c r="F27" i="53" s="1"/>
  <c r="E27" i="53"/>
  <c r="P26" i="44"/>
  <c r="P26" i="53" s="1"/>
  <c r="O26" i="44"/>
  <c r="O26" i="53" s="1"/>
  <c r="N26" i="44"/>
  <c r="N26" i="53" s="1"/>
  <c r="M26" i="53"/>
  <c r="L26" i="53"/>
  <c r="K26" i="53"/>
  <c r="J26" i="53"/>
  <c r="I26" i="53"/>
  <c r="H26" i="53"/>
  <c r="G26" i="53"/>
  <c r="F26" i="53"/>
  <c r="E26" i="53"/>
  <c r="P22" i="44"/>
  <c r="P22" i="53" s="1"/>
  <c r="O22" i="44"/>
  <c r="O22" i="53" s="1"/>
  <c r="N22" i="44"/>
  <c r="N22" i="53" s="1"/>
  <c r="M22" i="53"/>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53"/>
  <c r="L20" i="53"/>
  <c r="K20" i="53"/>
  <c r="J20" i="53"/>
  <c r="I20" i="53"/>
  <c r="H20" i="53"/>
  <c r="G20" i="53"/>
  <c r="F20" i="53"/>
  <c r="E20" i="53"/>
  <c r="P19" i="44"/>
  <c r="P19" i="53" s="1"/>
  <c r="O19" i="44"/>
  <c r="O19" i="53" s="1"/>
  <c r="N19" i="44"/>
  <c r="N19" i="53" s="1"/>
  <c r="M19" i="53"/>
  <c r="L19" i="53"/>
  <c r="K19" i="53"/>
  <c r="J19" i="53"/>
  <c r="I19" i="53"/>
  <c r="H19" i="53"/>
  <c r="G19" i="53"/>
  <c r="F19" i="53"/>
  <c r="E19" i="53"/>
  <c r="P18" i="44"/>
  <c r="P18" i="53" s="1"/>
  <c r="O18" i="44"/>
  <c r="O18" i="53" s="1"/>
  <c r="N18" i="44"/>
  <c r="N18" i="53" s="1"/>
  <c r="M18" i="53"/>
  <c r="L18" i="53"/>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44"/>
  <c r="O13" i="53" s="1"/>
  <c r="N13" i="44"/>
  <c r="N13" i="53" s="1"/>
  <c r="M13" i="53"/>
  <c r="L13" i="53"/>
  <c r="K13" i="53"/>
  <c r="J13" i="53"/>
  <c r="I13" i="53"/>
  <c r="H13" i="53"/>
  <c r="G13" i="53"/>
  <c r="F13" i="53"/>
  <c r="E13" i="53"/>
  <c r="P12" i="44"/>
  <c r="P12" i="53" s="1"/>
  <c r="O12" i="44"/>
  <c r="O12" i="53" s="1"/>
  <c r="N12" i="44"/>
  <c r="N12" i="53" s="1"/>
  <c r="M12" i="53"/>
  <c r="L12" i="53"/>
  <c r="K12" i="53"/>
  <c r="J12" i="44"/>
  <c r="J12" i="53" s="1"/>
  <c r="I12" i="53"/>
  <c r="H12" i="53"/>
  <c r="G12" i="44"/>
  <c r="G12" i="53" s="1"/>
  <c r="F12" i="53"/>
  <c r="E12" i="53"/>
  <c r="P11" i="44"/>
  <c r="P11" i="53" s="1"/>
  <c r="O11" i="44"/>
  <c r="O11" i="53" s="1"/>
  <c r="N11" i="44"/>
  <c r="N11" i="53" s="1"/>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J45" i="49"/>
  <c r="I45" i="49"/>
  <c r="J42" i="49"/>
  <c r="H42" i="49"/>
  <c r="I38" i="49"/>
  <c r="F38"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<sst xmlns="http://schemas.openxmlformats.org/spreadsheetml/2006/main" count="5134" uniqueCount="1917">
  <si>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</si>
  <si>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</si>
  <si>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</si>
  <si>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</si>
  <si>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</si>
  <si>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</si>
  <si>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</si>
  <si>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</si>
  <si>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</si>
  <si>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</si>
  <si>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</si>
  <si>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</si>
  <si>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</si>
  <si>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</si>
  <si>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</si>
  <si>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</si>
  <si>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</si>
  <si>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</si>
  <si>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</si>
  <si>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</si>
  <si>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</si>
  <si>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</si>
  <si>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</si>
  <si>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</si>
  <si>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</si>
  <si>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</si>
  <si>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</si>
  <si>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</si>
  <si>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</si>
  <si>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</si>
  <si>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</si>
  <si>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</si>
  <si>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</si>
  <si>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</si>
  <si>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</si>
  <si>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</si>
  <si>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</si>
  <si>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</si>
  <si>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</si>
  <si>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</si>
  <si>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</si>
  <si>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</si>
  <si>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</si>
  <si>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</si>
  <si>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</si>
  <si>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</si>
  <si>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</si>
  <si>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</si>
  <si>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</si>
  <si>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</si>
  <si>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</si>
  <si>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</si>
  <si>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</si>
  <si>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</si>
  <si>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</si>
  <si>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</si>
  <si>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</si>
  <si>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</si>
  <si>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</si>
  <si>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</si>
  <si>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</si>
  <si>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</si>
  <si>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</si>
  <si>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</si>
  <si>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</si>
  <si>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</si>
  <si>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</si>
  <si>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</si>
  <si>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</si>
  <si>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</si>
  <si>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</si>
  <si>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</si>
  <si>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</si>
  <si>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</si>
  <si>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</si>
  <si>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</si>
  <si>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</si>
  <si>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</si>
  <si>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</si>
  <si>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</si>
  <si>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</si>
  <si>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</si>
  <si>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</si>
  <si>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</si>
  <si>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</si>
  <si>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</si>
  <si>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</si>
  <si>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</si>
  <si>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</si>
  <si>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</si>
  <si>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</si>
  <si>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</si>
  <si>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</si>
  <si>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</si>
  <si>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</si>
  <si>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</si>
  <si>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</si>
  <si>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</si>
  <si>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</si>
  <si>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</si>
  <si>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</si>
  <si>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</si>
  <si>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</si>
  <si>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</si>
  <si>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</si>
  <si>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</si>
  <si>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</si>
  <si>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</si>
  <si>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</si>
  <si>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</si>
  <si>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</si>
  <si>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</si>
  <si>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</si>
  <si>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</si>
  <si>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</si>
  <si>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</si>
  <si>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</si>
  <si>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</si>
  <si>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</si>
  <si>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</si>
  <si>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</si>
  <si>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</si>
  <si>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</si>
  <si>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</si>
  <si>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</si>
  <si>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</si>
  <si>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</si>
  <si>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</si>
  <si>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</si>
  <si>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</si>
  <si>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</si>
  <si>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</si>
  <si>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</si>
  <si>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</si>
  <si>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</si>
  <si>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</si>
  <si>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</si>
  <si>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</si>
  <si>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</si>
  <si>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</si>
  <si>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</si>
  <si>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</si>
  <si>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</si>
  <si>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</si>
  <si>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</si>
  <si>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</si>
  <si>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</si>
  <si>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</si>
  <si>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</si>
  <si>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</si>
  <si>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</si>
  <si>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</si>
  <si>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</si>
  <si>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</si>
  <si>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</si>
  <si>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</si>
  <si>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</si>
  <si>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</si>
  <si>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</si>
  <si>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</si>
  <si>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</si>
  <si>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</si>
  <si>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</si>
  <si>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</si>
  <si>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</si>
  <si>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</si>
  <si>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</si>
  <si>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</si>
  <si>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</si>
  <si>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</si>
  <si>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</si>
  <si>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</si>
  <si>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</si>
  <si>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</si>
  <si>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</si>
  <si>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</si>
  <si>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</si>
  <si>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</si>
  <si>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</si>
  <si>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</si>
  <si>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</si>
  <si>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</si>
  <si>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</si>
  <si>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</si>
  <si>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</si>
  <si>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</si>
  <si>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</si>
  <si>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</si>
  <si>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</si>
  <si>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</si>
  <si>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</si>
  <si>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</si>
  <si>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</si>
  <si>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</si>
  <si>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</si>
  <si>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</si>
  <si>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</si>
  <si>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</si>
  <si>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</si>
  <si>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</si>
  <si>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</si>
  <si>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</si>
  <si>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</si>
  <si>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</si>
  <si>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</si>
  <si>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</si>
  <si>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</si>
  <si>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</si>
  <si>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</si>
  <si>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</si>
  <si>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</si>
  <si>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</si>
  <si>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</si>
  <si>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</si>
  <si>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</si>
  <si>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</si>
  <si>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</si>
  <si>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</si>
  <si>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</si>
  <si>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</si>
  <si>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</si>
  <si>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</si>
  <si>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</si>
  <si>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</si>
  <si>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</si>
  <si>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</si>
  <si>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</si>
  <si>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</si>
  <si>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</si>
  <si>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</si>
  <si>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</si>
  <si>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</si>
  <si>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</si>
  <si>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</si>
  <si>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</si>
  <si>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</si>
  <si>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</si>
  <si>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</si>
  <si>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</si>
  <si>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</si>
  <si>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</si>
  <si>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</si>
  <si>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</si>
  <si>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</si>
  <si>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</si>
  <si>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</si>
  <si>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</si>
  <si>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</si>
  <si>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</si>
  <si>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</si>
  <si>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</si>
  <si>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</si>
  <si>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</si>
  <si>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</si>
  <si>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</si>
  <si>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</si>
  <si>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</si>
  <si>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</si>
  <si>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</si>
  <si>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</si>
  <si>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</si>
  <si>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</si>
  <si>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</si>
  <si>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</si>
  <si>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</si>
  <si>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</si>
  <si>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</si>
  <si>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</si>
  <si>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</si>
  <si>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</si>
  <si>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</si>
  <si>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</si>
  <si>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</si>
  <si>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</si>
  <si>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</si>
  <si>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</si>
  <si>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</si>
  <si>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</si>
  <si>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</si>
  <si>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</si>
  <si>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</si>
  <si>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</si>
  <si>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</si>
  <si>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</si>
  <si>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</si>
  <si>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</si>
  <si>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</si>
  <si>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</si>
  <si>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</si>
  <si>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</si>
  <si>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</si>
  <si>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</si>
  <si>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</si>
  <si>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</si>
  <si>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</si>
  <si>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</si>
  <si>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</si>
  <si>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</si>
  <si>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</si>
  <si>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</si>
  <si>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</si>
  <si>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</si>
  <si>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</si>
  <si>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</si>
  <si>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</si>
  <si>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</si>
  <si>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</si>
  <si>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</si>
  <si>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</si>
  <si>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</si>
  <si>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</si>
  <si>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</si>
  <si>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</si>
  <si>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</si>
  <si>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</si>
  <si>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</si>
  <si>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</si>
  <si>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</si>
  <si>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</si>
  <si>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</si>
  <si>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</si>
  <si>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</si>
  <si>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</si>
  <si>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</si>
  <si>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</si>
  <si>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</si>
  <si>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</si>
  <si>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</si>
  <si>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</si>
  <si>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</si>
  <si>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</si>
  <si>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</si>
  <si>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</si>
  <si>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</si>
  <si>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</si>
  <si>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</si>
  <si>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</si>
  <si>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</si>
  <si>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</si>
  <si>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</si>
  <si>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</si>
  <si>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</si>
  <si>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</si>
  <si>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</si>
  <si>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</si>
  <si>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</si>
  <si>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</si>
  <si>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</si>
  <si>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</si>
  <si>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</si>
  <si>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</si>
  <si>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</si>
  <si>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</si>
  <si>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</si>
  <si>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</si>
  <si>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</si>
  <si>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</si>
  <si>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</si>
  <si>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</si>
  <si>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</si>
  <si>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</si>
  <si>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</si>
  <si>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</si>
  <si>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</si>
  <si>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</si>
  <si>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</si>
  <si>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</si>
  <si>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</si>
  <si>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</si>
  <si>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</si>
  <si>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</si>
  <si>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</si>
  <si>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</si>
  <si>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</si>
  <si>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</si>
  <si>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</si>
  <si>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</si>
  <si>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</si>
  <si>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</si>
  <si>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</si>
  <si>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</si>
  <si>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</si>
  <si>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</si>
  <si>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</si>
  <si>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</si>
  <si>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</si>
  <si>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</si>
  <si>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</si>
  <si>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</si>
  <si>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</si>
  <si>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</si>
  <si>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</si>
  <si>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</si>
  <si>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</si>
  <si>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</si>
  <si>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</si>
  <si>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</si>
  <si>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</si>
  <si>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</si>
  <si>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</si>
  <si>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</si>
  <si>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</si>
  <si>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</si>
  <si>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</si>
  <si>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</si>
  <si>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</si>
  <si>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</si>
  <si>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</si>
  <si>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</si>
  <si>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</si>
  <si>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</si>
  <si>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</si>
  <si>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</si>
  <si>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</si>
  <si>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</si>
  <si>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</si>
  <si>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</si>
  <si>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</si>
  <si>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</si>
  <si>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</si>
  <si>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</si>
  <si>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</si>
  <si>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</si>
  <si>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</si>
  <si>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</si>
  <si>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</si>
  <si>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</si>
  <si>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</si>
  <si>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</si>
  <si>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</si>
  <si>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</si>
  <si>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</si>
  <si>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</si>
  <si>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</si>
  <si>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</si>
  <si>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</si>
  <si>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</si>
  <si>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</si>
  <si>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</si>
  <si>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</si>
  <si>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</si>
  <si>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</si>
  <si>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</si>
  <si>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</si>
  <si>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</si>
  <si>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</si>
  <si>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</si>
  <si>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</si>
  <si>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</si>
  <si>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</si>
  <si>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</si>
  <si>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</si>
  <si>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</si>
  <si>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</si>
  <si>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</si>
  <si>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</si>
  <si>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</si>
  <si>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</si>
  <si>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</si>
  <si>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</si>
  <si>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</si>
  <si>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</si>
  <si>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</si>
  <si>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</si>
  <si>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</si>
  <si>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</si>
  <si>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</si>
  <si>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</si>
  <si>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</si>
  <si>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</si>
  <si>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</si>
  <si>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</si>
  <si>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</si>
  <si>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</si>
  <si>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</si>
  <si>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</si>
  <si>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</si>
  <si>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</si>
  <si>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</si>
  <si>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</si>
  <si>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</si>
  <si>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</si>
  <si>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</si>
  <si>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</si>
  <si>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</si>
  <si>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</si>
  <si>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</si>
  <si>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</si>
  <si>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</si>
  <si>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</si>
  <si>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</si>
  <si>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</si>
  <si>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</si>
  <si>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</si>
  <si>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</si>
  <si>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</si>
  <si>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</si>
  <si>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</si>
  <si>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</si>
  <si>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</si>
  <si>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</si>
  <si>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</si>
  <si>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</si>
  <si>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</si>
  <si>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</si>
  <si>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</si>
  <si>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</si>
  <si>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</si>
  <si>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</si>
  <si>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</si>
  <si>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</si>
  <si>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</si>
  <si>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</si>
  <si>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</si>
  <si>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</si>
  <si>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</si>
  <si>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</si>
  <si>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</si>
  <si>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</si>
  <si>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</si>
  <si>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</si>
  <si>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</si>
  <si>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</si>
  <si>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</si>
  <si>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</si>
  <si>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</si>
  <si>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</si>
  <si>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</si>
  <si>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</si>
  <si>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</si>
  <si>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</si>
  <si>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</si>
  <si>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</si>
  <si>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</si>
  <si>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</si>
  <si>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</si>
  <si>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</si>
  <si>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</si>
  <si>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</si>
  <si>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</si>
  <si>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</si>
  <si>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</si>
  <si>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</si>
  <si>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</si>
  <si>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</si>
  <si>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</si>
  <si>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</si>
  <si>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</si>
  <si>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</si>
  <si>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</si>
  <si>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</si>
  <si>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</si>
  <si>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</si>
  <si>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</si>
  <si>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</si>
  <si>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</si>
  <si>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</si>
  <si>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</si>
  <si>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</si>
  <si>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</si>
  <si>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</si>
  <si>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</si>
  <si>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</si>
  <si>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</si>
  <si>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</si>
  <si>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</si>
  <si>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</si>
  <si>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</si>
  <si>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</si>
  <si>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</si>
  <si>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</si>
  <si>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</si>
  <si>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</si>
  <si>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</si>
  <si>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</si>
  <si>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</si>
  <si>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</si>
  <si>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</si>
  <si>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</si>
  <si>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</si>
  <si>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</si>
  <si>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</si>
  <si>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</si>
  <si>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</si>
  <si>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</si>
  <si>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</si>
  <si>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</si>
  <si>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</si>
  <si>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</si>
  <si>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</si>
  <si>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</si>
  <si>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</si>
  <si>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</si>
  <si>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</si>
  <si>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</si>
  <si>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</si>
  <si>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</si>
  <si>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</si>
  <si>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</si>
  <si>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</si>
  <si>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</si>
  <si>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</si>
  <si>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</si>
  <si>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</si>
  <si>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</si>
  <si>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</si>
  <si>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</si>
  <si>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</si>
  <si>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</si>
  <si>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</si>
  <si>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</si>
  <si>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</si>
  <si>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</si>
  <si>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</si>
  <si>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</si>
  <si>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</si>
  <si>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</si>
  <si>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</si>
  <si>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</si>
  <si>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</si>
  <si>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</si>
  <si>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</si>
  <si>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</si>
  <si>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</si>
  <si>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</si>
  <si>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</si>
  <si>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</si>
  <si>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</si>
  <si>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</si>
  <si>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</si>
  <si>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</si>
  <si>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</si>
  <si>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</si>
  <si>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</si>
  <si>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</si>
  <si>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</si>
  <si>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</si>
  <si>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</si>
  <si>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</si>
  <si>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</si>
  <si>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</si>
  <si>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</si>
  <si>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</si>
  <si>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</si>
  <si>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</si>
  <si>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</si>
  <si>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</si>
  <si>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</si>
  <si>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</si>
  <si>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</si>
  <si>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</si>
  <si>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</si>
  <si>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</si>
  <si>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</si>
  <si>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</si>
  <si>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</si>
  <si>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</si>
  <si>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</si>
  <si>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</si>
  <si>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</si>
  <si>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</si>
  <si>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</si>
  <si>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</si>
  <si>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</si>
  <si>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</si>
  <si>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</si>
  <si>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</si>
  <si>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</si>
  <si>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</si>
  <si>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</si>
  <si>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</si>
  <si>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</si>
  <si>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</si>
  <si>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</si>
  <si>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</si>
  <si>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</si>
  <si>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</si>
  <si>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</si>
  <si>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</si>
  <si>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</si>
  <si>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</si>
  <si>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</si>
  <si>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</si>
  <si>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</si>
  <si>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</si>
  <si>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</si>
  <si>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</si>
  <si>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</si>
  <si>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</si>
  <si>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</si>
  <si>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</si>
  <si>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</si>
  <si>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</si>
  <si>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</si>
  <si>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</si>
  <si>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</si>
  <si>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</si>
  <si>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</si>
  <si>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</si>
  <si>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</si>
  <si>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</si>
  <si>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</si>
  <si>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</si>
  <si>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</si>
  <si>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</si>
  <si>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</si>
  <si>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</si>
  <si>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</si>
  <si>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</si>
  <si>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</si>
  <si>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</si>
  <si>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</si>
  <si>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</si>
  <si>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</si>
  <si>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</si>
  <si>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</si>
  <si>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</si>
  <si>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</si>
  <si>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</si>
  <si>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</si>
  <si>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</si>
  <si>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</si>
  <si>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</si>
  <si>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</si>
  <si>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</si>
  <si>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</si>
  <si>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</si>
  <si>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</si>
  <si>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</si>
  <si>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</si>
  <si>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</si>
  <si>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</si>
  <si>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</si>
  <si>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</si>
  <si>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</si>
  <si>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</si>
  <si>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</si>
  <si>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</si>
  <si>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</si>
  <si>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</si>
  <si>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</si>
  <si>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</si>
  <si>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</si>
  <si>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</si>
  <si>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</si>
  <si>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</si>
  <si>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</si>
  <si>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</si>
  <si>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</si>
  <si>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</si>
  <si>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</si>
  <si>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</si>
  <si>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</si>
  <si>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</si>
  <si>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</si>
  <si>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</si>
  <si>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</si>
  <si>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</si>
  <si>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</si>
  <si>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</si>
  <si>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</si>
  <si>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</si>
  <si>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</si>
  <si>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</si>
  <si>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</si>
  <si>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</si>
  <si>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</si>
  <si>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</si>
  <si>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</si>
  <si>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</si>
  <si>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</si>
  <si>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</si>
  <si>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</si>
  <si>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</si>
  <si>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</si>
  <si>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</si>
  <si>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</si>
  <si>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</si>
  <si>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</si>
  <si>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</si>
  <si>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</si>
  <si>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</si>
  <si>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</si>
  <si>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</si>
  <si>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</si>
  <si>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</si>
  <si>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</si>
  <si>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</si>
  <si>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</si>
  <si>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</si>
  <si>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</si>
  <si>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</si>
  <si>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</si>
  <si>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</si>
  <si>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</si>
  <si>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</si>
  <si>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</si>
  <si>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</si>
  <si>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</si>
  <si>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</si>
  <si>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</si>
  <si>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</si>
  <si>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</si>
  <si>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</si>
  <si>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</si>
  <si>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</si>
  <si>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</si>
  <si>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</si>
  <si>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</si>
  <si>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</si>
  <si>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</si>
  <si>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</si>
  <si>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</si>
  <si>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</si>
  <si>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</si>
  <si>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</si>
  <si>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</si>
  <si>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</si>
  <si>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</si>
  <si>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</si>
  <si>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</si>
  <si>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</si>
  <si>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</si>
  <si>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</si>
  <si>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</si>
  <si>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</si>
  <si>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</si>
  <si>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</si>
  <si>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</si>
  <si>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</si>
  <si>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</si>
  <si>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</si>
  <si>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</si>
  <si>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</si>
  <si>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</si>
  <si>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</si>
  <si>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</si>
  <si>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</si>
  <si>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</si>
  <si>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</si>
  <si>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</si>
  <si>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</si>
  <si>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</si>
  <si>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</si>
  <si>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</si>
  <si>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</si>
  <si>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</si>
  <si>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</si>
  <si>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</si>
  <si>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</si>
  <si>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</si>
  <si>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</si>
  <si>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</si>
  <si>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</si>
  <si>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</si>
  <si>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</si>
  <si>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</si>
  <si>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</si>
  <si>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</si>
  <si>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</si>
  <si>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</si>
  <si>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</si>
  <si>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</si>
  <si>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</si>
  <si>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</si>
  <si>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</si>
  <si>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</si>
  <si>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</si>
  <si>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</si>
  <si>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</si>
  <si>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</si>
  <si>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</si>
  <si>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</si>
  <si>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</si>
  <si>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</si>
  <si>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</si>
  <si>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</si>
  <si>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</si>
  <si>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</si>
  <si>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</si>
  <si>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</si>
  <si>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</si>
  <si>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</si>
  <si>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</si>
  <si>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</si>
  <si>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</si>
  <si>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</si>
  <si>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</si>
  <si>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</si>
  <si>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</si>
  <si>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</si>
  <si>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</si>
  <si>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</si>
  <si>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</si>
  <si>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</si>
  <si>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</si>
  <si>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</si>
  <si>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</si>
  <si>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</si>
  <si>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</si>
  <si>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</si>
  <si>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</si>
  <si>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</si>
  <si>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</si>
  <si>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</si>
  <si>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</si>
  <si>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</si>
  <si>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</si>
  <si>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</si>
  <si>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</si>
  <si>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</si>
  <si>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</si>
  <si>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</si>
  <si>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</si>
  <si>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</si>
  <si>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</si>
  <si>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</si>
  <si>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</si>
  <si>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</si>
  <si>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</si>
  <si>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</si>
  <si>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</si>
  <si>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</si>
  <si>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</si>
  <si>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</si>
  <si>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</si>
  <si>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</si>
  <si>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</si>
  <si>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</si>
  <si>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</si>
  <si>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</si>
  <si>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</si>
  <si>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</si>
  <si>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</si>
  <si>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</si>
  <si>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</si>
  <si>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</si>
  <si>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</si>
  <si>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</si>
  <si>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</si>
  <si>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</si>
  <si>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</si>
  <si>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</si>
  <si>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</si>
  <si>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</si>
  <si>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</si>
  <si>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</si>
  <si>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</si>
  <si>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</si>
  <si>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</si>
  <si>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</si>
  <si>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</si>
  <si>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</si>
  <si>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</si>
  <si>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</si>
  <si>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</si>
  <si>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</si>
  <si>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</si>
  <si>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</si>
  <si>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</si>
  <si>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</si>
  <si>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</si>
  <si>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</si>
  <si>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</si>
  <si>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</si>
  <si>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</si>
  <si>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</si>
  <si>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</si>
  <si>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</si>
  <si>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</si>
  <si>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</si>
  <si>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</si>
  <si>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</si>
  <si>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</si>
  <si>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</si>
  <si>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</si>
  <si>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</si>
  <si>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</si>
  <si>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</si>
  <si>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</si>
  <si>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</si>
  <si>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</si>
  <si>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</si>
  <si>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</si>
  <si>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</si>
  <si>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</si>
  <si>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</si>
  <si>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</si>
  <si>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</si>
  <si>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</si>
  <si>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</si>
  <si>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</si>
  <si>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</si>
  <si>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</si>
  <si>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</si>
  <si>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</si>
  <si>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</si>
  <si>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</si>
  <si>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</si>
  <si>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</si>
  <si>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</si>
  <si>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</si>
  <si>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</si>
  <si>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</si>
  <si>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</si>
  <si>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</si>
  <si>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</si>
  <si>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</si>
  <si>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</si>
  <si>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</si>
  <si>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</si>
  <si>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</si>
  <si>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</si>
  <si>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</si>
  <si>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</si>
  <si>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</si>
  <si>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</si>
  <si>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</si>
  <si>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</si>
  <si>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</si>
  <si>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</si>
  <si>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</si>
  <si>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</si>
  <si>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</si>
  <si>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</si>
  <si>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</si>
  <si>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</si>
  <si>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</si>
  <si>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</si>
  <si>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</si>
  <si>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</si>
  <si>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</si>
  <si>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</si>
  <si>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</si>
  <si>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</si>
  <si>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</si>
  <si>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</si>
  <si>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</si>
  <si>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</si>
  <si>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</si>
  <si>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</si>
  <si>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</si>
  <si>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</si>
  <si>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</si>
  <si>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</si>
  <si>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</si>
  <si>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</si>
  <si>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</si>
  <si>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</si>
  <si>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</si>
  <si>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</si>
  <si>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</si>
  <si>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</si>
  <si>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</si>
  <si>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</si>
  <si>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</si>
  <si>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</si>
  <si>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</si>
  <si>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</si>
  <si>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</si>
  <si>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</si>
  <si>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</si>
  <si>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</si>
  <si>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</si>
  <si>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</si>
  <si>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</si>
  <si>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</si>
  <si>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</si>
  <si>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</si>
  <si>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</si>
  <si>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</si>
  <si>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</si>
  <si>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</si>
  <si>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</si>
  <si>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</si>
  <si>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</si>
  <si>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</si>
  <si>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</si>
  <si>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</si>
  <si>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</si>
  <si>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</si>
  <si>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</si>
  <si>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</si>
  <si>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</si>
  <si>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</si>
  <si>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</si>
  <si>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</si>
  <si>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</si>
  <si>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</si>
  <si>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</si>
  <si>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</si>
  <si>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</si>
  <si>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</si>
  <si>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</si>
  <si>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</si>
  <si>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</si>
  <si>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</si>
  <si>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</si>
  <si>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</si>
  <si>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</si>
  <si>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</si>
  <si>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</si>
  <si>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</si>
  <si>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</si>
  <si>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</si>
  <si>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</si>
  <si>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</si>
  <si>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</si>
  <si>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</si>
  <si>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</si>
  <si>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</si>
  <si>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</si>
  <si>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</si>
  <si>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</si>
  <si>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</si>
  <si>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</si>
  <si>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</si>
  <si>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</si>
  <si>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</si>
  <si>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</si>
  <si>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</si>
  <si>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</si>
  <si>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</si>
  <si>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</si>
  <si>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</si>
  <si>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</si>
  <si>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</si>
  <si>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</si>
  <si>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</si>
  <si>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</si>
  <si>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</si>
  <si>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</si>
  <si>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</si>
  <si>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</si>
  <si>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</si>
  <si>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</si>
  <si>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</si>
  <si>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</si>
  <si>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</si>
  <si>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</si>
  <si>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</si>
  <si>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</si>
  <si>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</si>
  <si>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</si>
  <si>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</si>
  <si>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</si>
  <si>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</si>
  <si>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</si>
  <si>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</si>
  <si>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</si>
  <si>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</si>
  <si>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</si>
  <si>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</si>
  <si>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</si>
  <si>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</si>
  <si>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</si>
  <si>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</si>
  <si>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</si>
  <si>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</si>
  <si>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</si>
  <si>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</si>
  <si>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</si>
  <si>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</si>
  <si>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</si>
  <si>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</si>
  <si>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</si>
  <si>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</si>
  <si>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</si>
  <si>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</si>
  <si>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</si>
  <si>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</si>
  <si>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</si>
  <si>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</si>
  <si>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</si>
  <si>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</si>
  <si>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</si>
  <si>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</si>
  <si>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</si>
  <si>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</si>
  <si>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</si>
  <si>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</si>
  <si>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</si>
  <si>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</si>
  <si>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</si>
  <si>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</si>
  <si>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</si>
  <si>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</si>
  <si>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</si>
  <si>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</si>
  <si>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</si>
  <si>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</si>
  <si>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</si>
  <si>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</si>
  <si>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</si>
  <si>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</si>
  <si>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</si>
  <si>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</si>
  <si>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</si>
  <si>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</si>
  <si>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</si>
  <si>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</si>
  <si>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</si>
  <si>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</si>
  <si>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</si>
  <si>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</si>
  <si>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</si>
  <si>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</si>
  <si>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</si>
  <si>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</si>
  <si>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</si>
  <si>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</si>
  <si>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</si>
  <si>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</si>
  <si>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</si>
  <si>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</si>
  <si>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</si>
  <si>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</si>
  <si>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</si>
  <si>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</si>
  <si>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</si>
  <si>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</si>
  <si>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</si>
  <si>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</si>
  <si>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</si>
  <si>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</si>
  <si>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</si>
  <si>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</si>
  <si>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</si>
  <si>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</si>
  <si>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</si>
  <si>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</si>
  <si>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</si>
  <si>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</si>
  <si>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</si>
  <si>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</si>
  <si>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</si>
  <si>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</si>
  <si>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</si>
  <si>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</si>
  <si>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</si>
  <si>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</si>
  <si>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</si>
  <si>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</si>
  <si>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</si>
  <si>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</si>
  <si>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</si>
  <si>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</si>
  <si>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</si>
  <si>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</si>
  <si>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</si>
  <si>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</si>
  <si>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</si>
  <si>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</si>
  <si>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</si>
  <si>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</si>
  <si>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</si>
  <si>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</si>
  <si>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</si>
  <si>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</si>
  <si>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</si>
  <si>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</si>
  <si>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</si>
  <si>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</si>
  <si>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</si>
  <si>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</si>
  <si>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</si>
  <si>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</si>
  <si>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</si>
  <si>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</si>
  <si>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</si>
  <si>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</si>
  <si>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</si>
  <si>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</si>
  <si>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</si>
  <si>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</si>
  <si>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</si>
  <si>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</si>
  <si>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</si>
  <si>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</si>
  <si>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</si>
  <si>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</si>
  <si>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</si>
  <si>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</si>
  <si>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</si>
  <si>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</si>
  <si>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</si>
  <si>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</si>
  <si>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</si>
  <si>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</si>
  <si>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</si>
  <si>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</si>
  <si>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</si>
  <si>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</si>
  <si>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</si>
  <si>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</si>
  <si>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</si>
  <si>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</si>
  <si>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</si>
  <si>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</si>
  <si>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</si>
  <si>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</si>
  <si>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</si>
  <si>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</si>
  <si>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</si>
  <si>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</si>
  <si>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</si>
  <si>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</si>
  <si>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</si>
  <si>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</si>
  <si>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</si>
  <si>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</si>
  <si>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</si>
  <si>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</si>
  <si>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</si>
  <si>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</si>
  <si>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</si>
  <si>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</si>
  <si>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</si>
  <si>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</si>
  <si>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</si>
  <si>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</si>
  <si>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</si>
  <si>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</si>
  <si>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</si>
  <si>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</si>
  <si>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</si>
  <si>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</si>
  <si>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</si>
  <si>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</si>
  <si>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</si>
  <si>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</si>
  <si>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</si>
  <si>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</si>
  <si>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</si>
  <si>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</si>
  <si>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</si>
  <si>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</si>
  <si>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</si>
  <si>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</si>
  <si>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</si>
  <si>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</si>
  <si>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</si>
  <si>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</si>
  <si>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</si>
  <si>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</si>
  <si>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</si>
  <si>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</si>
  <si>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</si>
  <si>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</si>
  <si>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</si>
  <si>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</si>
  <si>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</si>
  <si>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</si>
  <si>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</si>
  <si>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</si>
  <si>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</si>
  <si>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</si>
  <si>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</si>
  <si>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</si>
  <si>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</si>
  <si>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</si>
  <si>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</si>
  <si>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</si>
  <si>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</si>
  <si>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</si>
  <si>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</si>
  <si>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</si>
  <si>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</si>
  <si>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</si>
  <si>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</si>
  <si>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</si>
  <si>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</si>
  <si>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</si>
  <si>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</si>
  <si>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</si>
  <si>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</si>
  <si>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</si>
  <si>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</si>
  <si>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</si>
  <si>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</si>
  <si>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</si>
  <si>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</si>
  <si>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</si>
  <si>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</si>
  <si>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</si>
  <si>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</si>
  <si>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</si>
  <si>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</si>
  <si>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</si>
  <si>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</si>
  <si>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</si>
  <si>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</si>
  <si>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</si>
  <si>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</si>
  <si>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</si>
  <si>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</si>
  <si>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</si>
  <si>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</si>
  <si>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</si>
  <si>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</si>
  <si>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</si>
  <si>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</si>
  <si>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</si>
  <si>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</si>
  <si>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</si>
  <si>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</si>
  <si>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</si>
  <si>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</si>
  <si>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</si>
  <si>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</si>
  <si>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</si>
  <si>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</si>
  <si>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</si>
  <si>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</si>
  <si>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</si>
  <si>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</si>
  <si>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</si>
  <si>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</si>
  <si>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</si>
  <si>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</si>
  <si>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</si>
  <si>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</si>
  <si>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</si>
  <si>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</si>
  <si>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</si>
  <si>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</si>
  <si>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</si>
  <si>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</si>
  <si>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</si>
  <si>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</si>
  <si>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</si>
  <si>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</si>
  <si>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</si>
  <si>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</si>
  <si>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</si>
  <si>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</si>
  <si>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</si>
  <si>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</si>
  <si>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</si>
  <si>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</si>
  <si>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</si>
  <si>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</si>
  <si>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</si>
  <si>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</si>
  <si>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</si>
  <si>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</si>
  <si>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</si>
  <si>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</si>
  <si>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</si>
  <si>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</si>
  <si>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</si>
  <si>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</si>
  <si>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</si>
  <si>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</si>
  <si>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</si>
  <si>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</si>
  <si>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</si>
  <si>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</si>
  <si>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</si>
  <si>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</si>
  <si>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</si>
  <si>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</si>
  <si>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</si>
  <si>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</si>
  <si>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</si>
  <si>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</si>
  <si>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</si>
  <si>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</si>
  <si>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</si>
  <si>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</si>
  <si>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</si>
  <si>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</si>
  <si>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</si>
  <si>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</si>
  <si>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</si>
  <si>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</si>
  <si>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</si>
  <si>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</si>
  <si>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</si>
  <si>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</si>
  <si>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</si>
  <si>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</si>
  <si>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</si>
  <si>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</si>
  <si>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</si>
  <si>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</si>
  <si>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</si>
  <si>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</si>
  <si>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</si>
  <si>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</si>
  <si>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</si>
  <si>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</si>
  <si>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</si>
  <si>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</si>
  <si>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</si>
  <si>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</si>
  <si>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</si>
  <si>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</si>
  <si>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</si>
  <si>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</si>
  <si>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</si>
  <si>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</si>
  <si>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</si>
  <si>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</si>
  <si>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</si>
  <si>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</si>
  <si>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</si>
  <si>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</si>
  <si>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</si>
  <si>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</si>
  <si>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</si>
  <si>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</si>
  <si>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</si>
  <si>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</si>
  <si>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</si>
  <si>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</si>
  <si>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</si>
  <si>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</si>
  <si>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</si>
  <si>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</si>
  <si>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</si>
  <si>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</si>
  <si>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</si>
  <si>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</si>
  <si>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</si>
  <si>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</si>
  <si>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</si>
  <si>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</si>
  <si>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</si>
  <si>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</si>
  <si>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</si>
  <si>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</si>
  <si>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</si>
  <si>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</si>
  <si>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</si>
  <si>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</si>
  <si>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</si>
  <si>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</si>
  <si>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</si>
  <si>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</si>
  <si>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</si>
  <si>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</si>
  <si>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</si>
  <si>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</si>
  <si>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</si>
  <si>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</si>
  <si>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</si>
  <si>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</si>
  <si>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</si>
  <si>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</si>
  <si>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</si>
  <si>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</si>
  <si>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</si>
  <si>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</si>
  <si>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</si>
  <si>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</si>
  <si>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</si>
  <si>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</si>
  <si>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</si>
  <si>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</si>
  <si>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</si>
  <si>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</si>
  <si>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</si>
  <si>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</si>
  <si>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</si>
  <si>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</si>
  <si>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</si>
  <si>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</si>
  <si>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</si>
  <si>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</si>
  <si>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</si>
  <si>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</si>
  <si>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</si>
  <si>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</si>
  <si>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</si>
  <si>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</si>
  <si>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</si>
  <si>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</si>
  <si>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</si>
  <si>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</si>
  <si>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</si>
  <si>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</si>
  <si>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</si>
  <si>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</si>
  <si>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</si>
  <si>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</si>
  <si>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</si>
  <si>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</si>
  <si>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</si>
  <si>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</si>
  <si>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</si>
  <si>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</si>
  <si>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</si>
  <si>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</si>
  <si>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</si>
  <si>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</si>
  <si>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</si>
  <si>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</si>
  <si>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</si>
  <si>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</si>
  <si>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</si>
  <si>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</si>
  <si>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</si>
  <si>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</si>
  <si>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</si>
  <si>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</si>
  <si>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</si>
  <si>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</si>
  <si>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</si>
  <si>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</si>
  <si>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</si>
  <si>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</si>
  <si>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</si>
  <si>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</si>
  <si>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</si>
  <si>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</si>
  <si>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</si>
  <si>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</si>
  <si>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</si>
  <si>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</si>
  <si>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</si>
  <si>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</si>
  <si>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</si>
  <si>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</si>
  <si>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</si>
  <si>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</si>
  <si>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</si>
  <si>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</si>
  <si>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</si>
  <si>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</si>
  <si>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</si>
  <si>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</si>
  <si>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</si>
  <si>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</si>
  <si>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</si>
  <si>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</si>
  <si>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</si>
  <si>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</si>
  <si>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</si>
  <si>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</si>
  <si>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</si>
  <si>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</si>
  <si>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</si>
  <si>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</si>
  <si>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</si>
  <si>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</si>
  <si>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</si>
  <si>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</si>
  <si>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</si>
  <si>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</si>
  <si>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</si>
  <si>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</si>
  <si>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</si>
  <si>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</si>
  <si>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</si>
  <si>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</si>
  <si>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</si>
  <si>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</si>
  <si>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</si>
  <si>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</si>
  <si>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</si>
  <si>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</si>
  <si>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</si>
  <si>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</si>
  <si>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</si>
  <si>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</si>
  <si>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</si>
  <si>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</si>
  <si>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</si>
  <si>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</si>
  <si>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</si>
  <si>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</si>
  <si>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</si>
  <si>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</si>
  <si>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</si>
  <si>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</si>
  <si>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</si>
  <si>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</si>
  <si>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</si>
  <si>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</si>
  <si>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</si>
  <si>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</si>
  <si>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</si>
  <si>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</si>
  <si>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</si>
  <si>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</si>
  <si>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</si>
  <si>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</si>
  <si>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</si>
  <si>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</si>
  <si>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</si>
  <si>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</si>
  <si>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</si>
  <si>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</si>
  <si>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</si>
  <si>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</si>
  <si>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</si>
  <si>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</si>
  <si>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</si>
  <si>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</si>
  <si>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</si>
  <si>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</si>
  <si>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</si>
  <si>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</si>
  <si>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</si>
  <si>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</si>
  <si>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</si>
  <si>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</si>
  <si>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</si>
  <si>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</si>
  <si>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</si>
  <si>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</si>
  <si>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</si>
  <si>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</si>
  <si>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</si>
  <si>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</si>
  <si>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</si>
  <si>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</si>
  <si>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</si>
  <si>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</si>
  <si>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</si>
  <si>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</si>
  <si>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</si>
  <si>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</si>
  <si>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</si>
  <si>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</si>
  <si>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</si>
  <si>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</si>
  <si>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</si>
  <si>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</si>
  <si>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</si>
  <si>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</si>
  <si>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</si>
  <si>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</si>
  <si>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</si>
  <si>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</si>
  <si>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</si>
  <si>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</si>
  <si>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</si>
  <si>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</si>
  <si>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</si>
  <si>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</si>
  <si>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</si>
  <si>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</si>
  <si>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</si>
  <si>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</si>
  <si>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</si>
  <si>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</si>
  <si>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</si>
  <si>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</si>
  <si>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</si>
  <si>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</si>
  <si>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</si>
  <si>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</si>
  <si>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</si>
  <si>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</si>
  <si>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</si>
  <si>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</si>
  <si>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</si>
  <si>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</si>
  <si>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</si>
  <si>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</si>
  <si>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</si>
  <si>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</si>
  <si>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</si>
  <si>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</si>
  <si>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</si>
  <si>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</si>
  <si>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</si>
  <si>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</si>
  <si>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</si>
  <si>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</si>
  <si>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</si>
  <si>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</si>
  <si>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</si>
  <si>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</si>
  <si>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</si>
  <si>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</si>
  <si>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</si>
  <si>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</si>
  <si>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</si>
  <si>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</si>
  <si>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</si>
  <si>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</si>
  <si>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</si>
  <si>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</si>
  <si>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</si>
  <si>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</si>
  <si>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</si>
  <si>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</si>
  <si>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</si>
  <si>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</si>
  <si>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</si>
  <si>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</si>
  <si>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</si>
  <si>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</si>
  <si>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</si>
  <si>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</si>
  <si>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</si>
  <si>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</si>
  <si>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</si>
  <si>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</si>
  <si>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</si>
  <si>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</si>
  <si>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</si>
  <si>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</si>
  <si>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</si>
  <si>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</si>
  <si>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</si>
  <si>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</si>
  <si>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</si>
  <si>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</si>
  <si>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</si>
  <si>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</si>
  <si>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</si>
  <si>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</si>
  <si>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</si>
  <si>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</si>
  <si>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</si>
  <si>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</si>
  <si>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</si>
  <si>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</si>
  <si>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</si>
  <si>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</si>
  <si>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</si>
  <si>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</si>
  <si>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</si>
  <si>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</si>
  <si>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</si>
  <si>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</si>
  <si>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</si>
  <si>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</si>
  <si>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</si>
  <si>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</si>
  <si>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</si>
  <si>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</si>
  <si>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</si>
  <si>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</si>
  <si>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</si>
  <si>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</si>
  <si>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</si>
  <si>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</si>
  <si>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</si>
  <si>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</si>
  <si>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</si>
  <si>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</si>
  <si>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</si>
  <si>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</si>
  <si>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</si>
  <si>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</si>
  <si>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</si>
  <si>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</si>
  <si>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</si>
  <si>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</si>
  <si>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</si>
  <si>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</si>
  <si>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</si>
  <si>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</si>
  <si>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</si>
  <si>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</si>
  <si>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</si>
  <si>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</si>
  <si>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</si>
  <si>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</si>
  <si>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</si>
  <si>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</si>
  <si>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</si>
  <si>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</si>
  <si>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</si>
  <si>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</si>
  <si>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</si>
  <si>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</si>
  <si>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</si>
  <si>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</si>
  <si>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</si>
  <si>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</si>
  <si>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</si>
  <si>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</si>
  <si>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</si>
  <si>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</si>
  <si>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</si>
  <si>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</si>
  <si>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</si>
  <si>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</si>
  <si>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</si>
  <si>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</si>
  <si>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</si>
  <si>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</si>
  <si>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</si>
  <si>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</si>
  <si>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</si>
  <si>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</si>
  <si>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</si>
  <si>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</si>
  <si>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</si>
  <si>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</si>
  <si>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</si>
  <si>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</si>
  <si>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</si>
  <si>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</si>
  <si>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</si>
  <si>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</si>
  <si>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</si>
  <si>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</si>
  <si>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</si>
  <si>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</si>
  <si>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</si>
  <si>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</si>
  <si>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</si>
  <si>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</si>
  <si>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</si>
  <si>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</si>
  <si>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</si>
  <si>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</si>
  <si>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</si>
  <si>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</si>
  <si>
    <t xml:space="preserve">We experienced staff changes and shortages, requiring hiring and training. We are working on hiring and training new staff to recover from these shortages.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</si>
</sst>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12" borderId="204" xfId="55" applyFont="1" applyFill="1" applyBorder="1"/>
    <xf numFmtId="0" fontId="59" fillId="12" borderId="200" xfId="55" applyFont="1" applyFill="1" applyBorder="1"/>
    <xf numFmtId="0" fontId="59" fillId="12" borderId="220" xfId="55" applyFont="1" applyFill="1" applyBorder="1"/>
    <xf numFmtId="0" fontId="60" fillId="30"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5" borderId="202" xfId="55" applyFont="1" applyFill="1" applyBorder="1" applyAlignment="1">
      <alignment horizontal="left"/>
    </xf>
    <xf numFmtId="0" fontId="59" fillId="34" borderId="202" xfId="55" applyFont="1" applyFill="1" applyBorder="1" applyAlignment="1">
      <alignment horizontal="left"/>
    </xf>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2" fillId="26" borderId="170" xfId="55" applyFill="1" applyBorder="1" applyAlignment="1">
      <alignment horizontal="center"/>
    </xf>
    <xf numFmtId="0" fontId="2" fillId="26" borderId="171" xfId="55" applyFill="1" applyBorder="1" applyAlignment="1">
      <alignment horizontal="center"/>
    </xf>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8" t="s">
        <v>406</v>
      </c>
      <c r="B1" s="478"/>
      <c r="C1" s="478"/>
      <c r="D1" s="478"/>
      <c r="E1" s="478"/>
    </row>
    <row r="2" spans="1:18" ht="24" customHeight="1" x14ac:dyDescent="0.2">
      <c r="A2" s="478" t="str">
        <f>"County Fiscal Year "&amp;ReportInfo!N2&amp;"-"&amp;(ReportInfo!N2+1)</f>
        <v>County Fiscal Year 2023-2024</v>
      </c>
      <c r="B2" s="478"/>
      <c r="C2" s="478"/>
    </row>
    <row r="3" spans="1:18" ht="24" customHeight="1" x14ac:dyDescent="0.2">
      <c r="N3"/>
      <c r="O3"/>
    </row>
    <row r="4" spans="1:18" ht="24" customHeight="1" x14ac:dyDescent="0.2">
      <c r="A4" s="6"/>
      <c r="C4" s="21" t="s">
        <v>2</v>
      </c>
      <c r="D4" s="480" t="s">
        <v>10</v>
      </c>
      <c r="E4" s="480"/>
      <c r="F4" s="6"/>
      <c r="G4" s="21" t="s">
        <v>226</v>
      </c>
      <c r="H4" s="479" t="s">
        <v>4</v>
      </c>
      <c r="I4" s="479"/>
      <c r="K4" s="21" t="s">
        <v>3</v>
      </c>
      <c r="L4" s="170">
        <v>1</v>
      </c>
      <c r="N4"/>
      <c r="O4"/>
      <c r="Q4" s="463" t="s">
        <v>1906</v>
      </c>
      <c r="R4" s="463"/>
    </row>
    <row r="5" spans="1:18" ht="24" customHeight="1" x14ac:dyDescent="0.3">
      <c r="A5" s="6"/>
      <c r="C5" s="21" t="s">
        <v>73</v>
      </c>
      <c r="D5" s="481" t="s">
        <v>1911</v>
      </c>
      <c r="E5" s="481"/>
      <c r="F5" s="6"/>
      <c r="N5" s="7"/>
      <c r="Q5" s="463"/>
      <c r="R5" s="463"/>
    </row>
    <row r="6" spans="1:18" ht="24" customHeight="1" x14ac:dyDescent="0.3">
      <c r="A6" s="6"/>
      <c r="C6" s="21" t="s">
        <v>84</v>
      </c>
      <c r="D6" s="480" t="s">
        <v>1912</v>
      </c>
      <c r="E6" s="480"/>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2" t="s">
        <v>376</v>
      </c>
      <c r="F9" s="483"/>
      <c r="G9" s="483"/>
      <c r="H9" s="483"/>
      <c r="I9" s="483"/>
      <c r="J9" s="483"/>
      <c r="K9" s="483"/>
      <c r="L9" s="483"/>
      <c r="M9" s="483"/>
      <c r="N9" s="483"/>
      <c r="O9" s="483"/>
      <c r="P9" s="484"/>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6" t="s">
        <v>401</v>
      </c>
      <c r="D11" s="477"/>
      <c r="E11" s="436">
        <v>542</v>
      </c>
      <c r="F11" s="437">
        <v>488</v>
      </c>
      <c r="G11" s="437">
        <v>559</v>
      </c>
      <c r="H11" s="437">
        <v>570</v>
      </c>
      <c r="I11" s="437">
        <v>552</v>
      </c>
      <c r="J11" s="437">
        <v>540</v>
      </c>
      <c r="K11" s="437">
        <v>549</v>
      </c>
      <c r="L11" s="437">
        <v>577</v>
      </c>
      <c r="M11" s="437">
        <v>554</v>
      </c>
      <c r="N11" s="437">
        <f>IF('Subcases Monthly'!$D$4="","",VLOOKUP('Subcases Monthly'!$D$4,DataLookUp!$A$4:$AVY$70,11,FALSE))</f>
        <v>0</v>
      </c>
      <c r="O11" s="437">
        <f>IF('Subcases Monthly'!$D$4="","",VLOOKUP('Subcases Monthly'!$D$4,DataLookUp!$A$4:$AVY$70,12,FALSE))</f>
        <v>0</v>
      </c>
      <c r="P11" s="438">
        <f>IF('Subcases Monthly'!$D$4="","",VLOOKUP('Subcases Monthly'!$D$4,DataLookUp!$A$4:$AVY$70,13,FALSE))</f>
        <v>0</v>
      </c>
      <c r="Q11" s="224">
        <f t="shared" ref="Q11:Q14" si="1">SUM(E11:P11)</f>
        <v>4931</v>
      </c>
      <c r="R11" s="468"/>
    </row>
    <row r="12" spans="1:18" ht="20.100000000000001" customHeight="1" x14ac:dyDescent="0.2">
      <c r="B12" s="203">
        <v>2</v>
      </c>
      <c r="C12" s="474" t="s">
        <v>404</v>
      </c>
      <c r="D12" s="475"/>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v>1</v>
      </c>
      <c r="M12" s="131">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5</v>
      </c>
      <c r="R12" s="468"/>
    </row>
    <row r="13" spans="1:18" ht="20.100000000000001" customHeight="1" x14ac:dyDescent="0.2">
      <c r="B13" s="203">
        <v>2</v>
      </c>
      <c r="C13" s="474" t="s">
        <v>389</v>
      </c>
      <c r="D13" s="475"/>
      <c r="E13" s="127">
        <v>18</v>
      </c>
      <c r="F13" s="128">
        <v>38</v>
      </c>
      <c r="G13" s="128">
        <v>26</v>
      </c>
      <c r="H13" s="128">
        <v>25</v>
      </c>
      <c r="I13" s="128">
        <v>21</v>
      </c>
      <c r="J13" s="128">
        <v>13</v>
      </c>
      <c r="K13" s="128">
        <v>29</v>
      </c>
      <c r="L13" s="128">
        <v>25</v>
      </c>
      <c r="M13" s="128">
        <v>24</v>
      </c>
      <c r="N13" s="128">
        <f>IF('Subcases Monthly'!$D$4="","",VLOOKUP('Subcases Monthly'!$D$4,DataLookUp!$A$4:$AVY$70,37,FALSE))</f>
        <v>0</v>
      </c>
      <c r="O13" s="128">
        <f>IF('Subcases Monthly'!$D$4="","",VLOOKUP('Subcases Monthly'!$D$4,DataLookUp!$A$4:$AVY$70,38,FALSE))</f>
        <v>0</v>
      </c>
      <c r="P13" s="168">
        <f>IF('Subcases Monthly'!$D$4="","",VLOOKUP('Subcases Monthly'!$D$4,DataLookUp!$A$4:$AVY$70,39,FALSE))</f>
        <v>0</v>
      </c>
      <c r="Q13" s="224">
        <f t="shared" si="1"/>
        <v>219</v>
      </c>
      <c r="R13" s="468"/>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69"/>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603</v>
      </c>
      <c r="M15" s="218">
        <f t="shared" si="2"/>
        <v>578</v>
      </c>
      <c r="N15" s="218">
        <f t="shared" si="2"/>
        <v>0</v>
      </c>
      <c r="O15" s="218">
        <f t="shared" si="2"/>
        <v>0</v>
      </c>
      <c r="P15" s="219">
        <f t="shared" si="2"/>
        <v>0</v>
      </c>
      <c r="Q15" s="253">
        <f>SUM(E15:P15)</f>
        <v>5155</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6" t="s">
        <v>159</v>
      </c>
      <c r="D18" s="477"/>
      <c r="E18" s="130">
        <v>447</v>
      </c>
      <c r="F18" s="131">
        <v>435</v>
      </c>
      <c r="G18" s="131">
        <v>462</v>
      </c>
      <c r="H18" s="131">
        <v>459</v>
      </c>
      <c r="I18" s="131">
        <v>419</v>
      </c>
      <c r="J18" s="131">
        <v>415</v>
      </c>
      <c r="K18" s="131">
        <v>468</v>
      </c>
      <c r="L18" s="131">
        <v>461</v>
      </c>
      <c r="M18" s="131">
        <v>446</v>
      </c>
      <c r="N18" s="131">
        <f>IF('Subcases Monthly'!$D$4="","",VLOOKUP('Subcases Monthly'!$D$4,DataLookUp!$A$4:$AVY$70,76,FALSE))</f>
        <v>0</v>
      </c>
      <c r="O18" s="131">
        <f>IF('Subcases Monthly'!$D$4="","",VLOOKUP('Subcases Monthly'!$D$4,DataLookUp!$A$4:$AVY$70,77,FALSE))</f>
        <v>0</v>
      </c>
      <c r="P18" s="169">
        <f>IF('Subcases Monthly'!$D$4="","",VLOOKUP('Subcases Monthly'!$D$4,DataLookUp!$A$4:$AVY$70,78,FALSE))</f>
        <v>0</v>
      </c>
      <c r="Q18" s="224">
        <f t="shared" ref="Q18:Q23" si="4">SUM(E18:P18)</f>
        <v>4012</v>
      </c>
      <c r="R18" s="467" t="e">
        <f>IF('Subcases Monthly'!$D$4="","",VLOOKUP('Subcases Monthly'!$D$4,DataLookUp!$A$4:$AVY$70,1381,FALSE))</f>
        <v>#REF!</v>
      </c>
    </row>
    <row r="19" spans="1:18" ht="20.100000000000001" customHeight="1" x14ac:dyDescent="0.2">
      <c r="B19" s="196"/>
      <c r="C19" s="474" t="s">
        <v>160</v>
      </c>
      <c r="D19" s="475"/>
      <c r="E19" s="127">
        <v>16</v>
      </c>
      <c r="F19" s="128">
        <v>5</v>
      </c>
      <c r="G19" s="128">
        <v>9</v>
      </c>
      <c r="H19" s="128">
        <v>18</v>
      </c>
      <c r="I19" s="128">
        <v>8</v>
      </c>
      <c r="J19" s="128">
        <v>10</v>
      </c>
      <c r="K19" s="128">
        <v>6</v>
      </c>
      <c r="L19" s="128">
        <v>7</v>
      </c>
      <c r="M19" s="128">
        <v>6</v>
      </c>
      <c r="N19" s="128">
        <f>IF('Subcases Monthly'!$D$4="","",VLOOKUP('Subcases Monthly'!$D$4,DataLookUp!$A$4:$AVY$70,89,FALSE))</f>
        <v>0</v>
      </c>
      <c r="O19" s="128">
        <f>IF('Subcases Monthly'!$D$4="","",VLOOKUP('Subcases Monthly'!$D$4,DataLookUp!$A$4:$AVY$70,90,FALSE))</f>
        <v>0</v>
      </c>
      <c r="P19" s="168">
        <f>IF('Subcases Monthly'!$D$4="","",VLOOKUP('Subcases Monthly'!$D$4,DataLookUp!$A$4:$AVY$70,91,FALSE))</f>
        <v>0</v>
      </c>
      <c r="Q19" s="224">
        <f t="shared" si="4"/>
        <v>85</v>
      </c>
      <c r="R19" s="468"/>
    </row>
    <row r="20" spans="1:18" ht="20.100000000000001" customHeight="1" x14ac:dyDescent="0.2">
      <c r="B20" s="196"/>
      <c r="C20" s="474" t="s">
        <v>161</v>
      </c>
      <c r="D20" s="475"/>
      <c r="E20" s="130">
        <v>173</v>
      </c>
      <c r="F20" s="131">
        <v>151</v>
      </c>
      <c r="G20" s="131">
        <v>196</v>
      </c>
      <c r="H20" s="131">
        <v>156</v>
      </c>
      <c r="I20" s="131">
        <v>155</v>
      </c>
      <c r="J20" s="131">
        <v>164</v>
      </c>
      <c r="K20" s="131">
        <v>195</v>
      </c>
      <c r="L20" s="131">
        <v>156</v>
      </c>
      <c r="M20" s="131">
        <v>194</v>
      </c>
      <c r="N20" s="131">
        <f>IF('Subcases Monthly'!$D$4="","",VLOOKUP('Subcases Monthly'!$D$4,DataLookUp!$A$4:$AVY$70,102,FALSE))</f>
        <v>0</v>
      </c>
      <c r="O20" s="131">
        <f>IF('Subcases Monthly'!$D$4="","",VLOOKUP('Subcases Monthly'!$D$4,DataLookUp!$A$4:$AVY$70,103,FALSE))</f>
        <v>0</v>
      </c>
      <c r="P20" s="169">
        <f>IF('Subcases Monthly'!$D$4="","",VLOOKUP('Subcases Monthly'!$D$4,DataLookUp!$A$4:$AVY$70,104,FALSE))</f>
        <v>0</v>
      </c>
      <c r="Q20" s="224">
        <f t="shared" si="4"/>
        <v>1540</v>
      </c>
      <c r="R20" s="468"/>
    </row>
    <row r="21" spans="1:18" ht="20.100000000000001" customHeight="1" x14ac:dyDescent="0.2">
      <c r="B21" s="203">
        <v>2</v>
      </c>
      <c r="C21" s="474" t="s">
        <v>389</v>
      </c>
      <c r="D21" s="475"/>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68"/>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v>5</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5</v>
      </c>
      <c r="R22" s="469"/>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582</v>
      </c>
      <c r="J23" s="218">
        <f t="shared" si="5"/>
        <v>589</v>
      </c>
      <c r="K23" s="218">
        <f t="shared" si="5"/>
        <v>669</v>
      </c>
      <c r="L23" s="218">
        <f t="shared" si="5"/>
        <v>624</v>
      </c>
      <c r="M23" s="218">
        <f t="shared" si="5"/>
        <v>651</v>
      </c>
      <c r="N23" s="218">
        <f t="shared" si="5"/>
        <v>0</v>
      </c>
      <c r="O23" s="218">
        <f t="shared" si="5"/>
        <v>0</v>
      </c>
      <c r="P23" s="219">
        <f t="shared" si="5"/>
        <v>0</v>
      </c>
      <c r="Q23" s="253">
        <f t="shared" si="4"/>
        <v>5642</v>
      </c>
      <c r="R23" s="245"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6" t="s">
        <v>163</v>
      </c>
      <c r="D26" s="477"/>
      <c r="E26" s="130">
        <v>100</v>
      </c>
      <c r="F26" s="131">
        <v>84</v>
      </c>
      <c r="G26" s="131">
        <v>69</v>
      </c>
      <c r="H26" s="131">
        <v>103</v>
      </c>
      <c r="I26" s="131">
        <v>93</v>
      </c>
      <c r="J26" s="131">
        <v>97</v>
      </c>
      <c r="K26" s="131">
        <v>74</v>
      </c>
      <c r="L26" s="131">
        <v>96</v>
      </c>
      <c r="M26" s="131">
        <v>75</v>
      </c>
      <c r="N26" s="131">
        <f>IF('Subcases Monthly'!$D$4="","",VLOOKUP('Subcases Monthly'!$D$4,DataLookUp!$A$4:$AVY$70,154,FALSE))</f>
        <v>0</v>
      </c>
      <c r="O26" s="131">
        <f>IF('Subcases Monthly'!$D$4="","",VLOOKUP('Subcases Monthly'!$D$4,DataLookUp!$A$4:$AVY$70,155,FALSE))</f>
        <v>0</v>
      </c>
      <c r="P26" s="169">
        <f>IF('Subcases Monthly'!$D$4="","",VLOOKUP('Subcases Monthly'!$D$4,DataLookUp!$A$4:$AVY$70,156,FALSE))</f>
        <v>0</v>
      </c>
      <c r="Q26" s="224">
        <f t="shared" ref="Q26:Q30" si="16">SUM(E26:P26)</f>
        <v>791</v>
      </c>
      <c r="R26" s="464" t="e">
        <f>IF('Subcases Monthly'!$D$4="","",VLOOKUP('Subcases Monthly'!$D$4,DataLookUp!$A$4:$AVY$70,1382,FALSE))</f>
        <v>#REF!</v>
      </c>
    </row>
    <row r="27" spans="1:18" ht="20.100000000000001" customHeight="1" x14ac:dyDescent="0.2">
      <c r="B27" s="203">
        <v>2</v>
      </c>
      <c r="C27" s="474" t="s">
        <v>390</v>
      </c>
      <c r="D27" s="475"/>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v>9</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18</v>
      </c>
      <c r="R27" s="465"/>
    </row>
    <row r="28" spans="1:18" ht="20.100000000000001" customHeight="1" x14ac:dyDescent="0.2">
      <c r="B28" s="196"/>
      <c r="C28" s="474" t="s">
        <v>164</v>
      </c>
      <c r="D28" s="475"/>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10</v>
      </c>
      <c r="R28" s="465"/>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66"/>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105</v>
      </c>
      <c r="M30" s="218">
        <f t="shared" si="17"/>
        <v>75</v>
      </c>
      <c r="N30" s="218">
        <f t="shared" si="17"/>
        <v>0</v>
      </c>
      <c r="O30" s="218">
        <f t="shared" si="17"/>
        <v>0</v>
      </c>
      <c r="P30" s="219">
        <f t="shared" si="17"/>
        <v>0</v>
      </c>
      <c r="Q30" s="253">
        <f t="shared" si="16"/>
        <v>819</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6" t="s">
        <v>167</v>
      </c>
      <c r="D33" s="477"/>
      <c r="E33" s="124">
        <v>194</v>
      </c>
      <c r="F33" s="125">
        <v>219</v>
      </c>
      <c r="G33" s="125">
        <v>208</v>
      </c>
      <c r="H33" s="125">
        <v>201</v>
      </c>
      <c r="I33" s="125">
        <v>206</v>
      </c>
      <c r="J33" s="125">
        <v>220</v>
      </c>
      <c r="K33" s="125">
        <v>189</v>
      </c>
      <c r="L33" s="125">
        <v>199</v>
      </c>
      <c r="M33" s="125">
        <v>209</v>
      </c>
      <c r="N33" s="125">
        <f>IF('Subcases Monthly'!$D$4="","",VLOOKUP('Subcases Monthly'!$D$4,DataLookUp!$A$4:$AVY$70,219,FALSE))</f>
        <v>0</v>
      </c>
      <c r="O33" s="125">
        <f>IF('Subcases Monthly'!$D$4="","",VLOOKUP('Subcases Monthly'!$D$4,DataLookUp!$A$4:$AVY$70,220,FALSE))</f>
        <v>0</v>
      </c>
      <c r="P33" s="126">
        <f>IF('Subcases Monthly'!$D$4="","",VLOOKUP('Subcases Monthly'!$D$4,DataLookUp!$A$4:$AVY$70,221,FALSE))</f>
        <v>0</v>
      </c>
      <c r="Q33" s="133">
        <f t="shared" ref="Q33:Q36" si="19">SUM(E33:P33)</f>
        <v>1845</v>
      </c>
      <c r="R33" s="464" t="e">
        <f>IF('Subcases Monthly'!$D$4="","",VLOOKUP('Subcases Monthly'!$D$4,DataLookUp!$A$4:$AVY$70,1383,FALSE))</f>
        <v>#REF!</v>
      </c>
    </row>
    <row r="34" spans="1:18" ht="20.100000000000001" customHeight="1" x14ac:dyDescent="0.2">
      <c r="B34" s="196"/>
      <c r="C34" s="474" t="s">
        <v>168</v>
      </c>
      <c r="D34" s="475"/>
      <c r="E34" s="127">
        <v>550</v>
      </c>
      <c r="F34" s="128">
        <v>515</v>
      </c>
      <c r="G34" s="128">
        <v>458</v>
      </c>
      <c r="H34" s="128">
        <v>576</v>
      </c>
      <c r="I34" s="128">
        <v>528</v>
      </c>
      <c r="J34" s="128">
        <v>596</v>
      </c>
      <c r="K34" s="128">
        <v>632</v>
      </c>
      <c r="L34" s="128">
        <v>656</v>
      </c>
      <c r="M34" s="128">
        <v>639</v>
      </c>
      <c r="N34" s="128">
        <f>IF('Subcases Monthly'!$D$4="","",VLOOKUP('Subcases Monthly'!$D$4,DataLookUp!$A$4:$AVY$70,232,FALSE))</f>
        <v>0</v>
      </c>
      <c r="O34" s="128">
        <f>IF('Subcases Monthly'!$D$4="","",VLOOKUP('Subcases Monthly'!$D$4,DataLookUp!$A$4:$AVY$70,233,FALSE))</f>
        <v>0</v>
      </c>
      <c r="P34" s="129">
        <f>IF('Subcases Monthly'!$D$4="","",VLOOKUP('Subcases Monthly'!$D$4,DataLookUp!$A$4:$AVY$70,234,FALSE))</f>
        <v>0</v>
      </c>
      <c r="Q34" s="134">
        <f t="shared" si="19"/>
        <v>5150</v>
      </c>
      <c r="R34" s="465"/>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v>4</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7</v>
      </c>
      <c r="R35" s="466"/>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855</v>
      </c>
      <c r="M36" s="218">
        <f t="shared" si="20"/>
        <v>852</v>
      </c>
      <c r="N36" s="218">
        <f t="shared" si="20"/>
        <v>0</v>
      </c>
      <c r="O36" s="218">
        <f t="shared" si="20"/>
        <v>0</v>
      </c>
      <c r="P36" s="219">
        <f t="shared" si="20"/>
        <v>0</v>
      </c>
      <c r="Q36" s="136">
        <f t="shared" si="19"/>
        <v>7002</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6" t="s">
        <v>170</v>
      </c>
      <c r="D39" s="477"/>
      <c r="E39" s="124">
        <v>4</v>
      </c>
      <c r="F39" s="125">
        <v>1</v>
      </c>
      <c r="G39" s="125">
        <v>3</v>
      </c>
      <c r="H39" s="125">
        <v>4</v>
      </c>
      <c r="I39" s="125">
        <v>3</v>
      </c>
      <c r="J39" s="125">
        <v>2</v>
      </c>
      <c r="K39" s="125">
        <v>1</v>
      </c>
      <c r="L39" s="125">
        <v>3</v>
      </c>
      <c r="M39" s="125">
        <v>5</v>
      </c>
      <c r="N39" s="125">
        <f>IF('Subcases Monthly'!$D$4="","",VLOOKUP('Subcases Monthly'!$D$4,DataLookUp!$A$4:$AVY$70,271,FALSE))</f>
        <v>0</v>
      </c>
      <c r="O39" s="125">
        <f>IF('Subcases Monthly'!$D$4="","",VLOOKUP('Subcases Monthly'!$D$4,DataLookUp!$A$4:$AVY$70,272,FALSE))</f>
        <v>0</v>
      </c>
      <c r="P39" s="125">
        <f>IF('Subcases Monthly'!$D$4="","",VLOOKUP('Subcases Monthly'!$D$4,DataLookUp!$A$4:$AVY$70,273,FALSE))</f>
        <v>0</v>
      </c>
      <c r="Q39" s="133">
        <f t="shared" ref="Q39:Q60" si="22">SUM(E39:P39)</f>
        <v>26</v>
      </c>
      <c r="R39" s="464" t="e">
        <f>IF('Subcases Monthly'!$D$4="","",VLOOKUP('Subcases Monthly'!$D$4,DataLookUp!$A$4:$AVY$70,1384,FALSE))</f>
        <v>#REF!</v>
      </c>
    </row>
    <row r="40" spans="1:18" ht="20.100000000000001" customHeight="1" x14ac:dyDescent="0.2">
      <c r="B40" s="196"/>
      <c r="C40" s="474" t="s">
        <v>171</v>
      </c>
      <c r="D40" s="475"/>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v>0</v>
      </c>
      <c r="M40" s="128">
        <v>1</v>
      </c>
      <c r="N40" s="128">
        <f>IF('Subcases Monthly'!$D$4="","",VLOOKUP('Subcases Monthly'!$D$4,DataLookUp!$A$4:$AVY$70,284,FALSE))</f>
        <v>0</v>
      </c>
      <c r="O40" s="128">
        <f>IF('Subcases Monthly'!$D$4="","",VLOOKUP('Subcases Monthly'!$D$4,DataLookUp!$A$4:$AVY$70,285,FALSE))</f>
        <v>0</v>
      </c>
      <c r="P40" s="128">
        <f>IF('Subcases Monthly'!$D$4="","",VLOOKUP('Subcases Monthly'!$D$4,DataLookUp!$A$4:$AVY$70,286,FALSE))</f>
        <v>0</v>
      </c>
      <c r="Q40" s="134">
        <f t="shared" si="22"/>
        <v>5</v>
      </c>
      <c r="R40" s="465"/>
    </row>
    <row r="41" spans="1:18" ht="20.100000000000001" customHeight="1" x14ac:dyDescent="0.2">
      <c r="B41" s="196"/>
      <c r="C41" s="474" t="s">
        <v>172</v>
      </c>
      <c r="D41" s="475"/>
      <c r="E41" s="130">
        <v>48</v>
      </c>
      <c r="F41" s="131">
        <v>30</v>
      </c>
      <c r="G41" s="131">
        <v>41</v>
      </c>
      <c r="H41" s="131">
        <v>57</v>
      </c>
      <c r="I41" s="131">
        <v>54</v>
      </c>
      <c r="J41" s="131">
        <v>56</v>
      </c>
      <c r="K41" s="131">
        <v>48</v>
      </c>
      <c r="L41" s="131">
        <v>68</v>
      </c>
      <c r="M41" s="131">
        <v>59</v>
      </c>
      <c r="N41" s="131">
        <f>IF('Subcases Monthly'!$D$4="","",VLOOKUP('Subcases Monthly'!$D$4,DataLookUp!$A$4:$AVY$70,297,FALSE))</f>
        <v>0</v>
      </c>
      <c r="O41" s="131">
        <f>IF('Subcases Monthly'!$D$4="","",VLOOKUP('Subcases Monthly'!$D$4,DataLookUp!$A$4:$AVY$70,298,FALSE))</f>
        <v>0</v>
      </c>
      <c r="P41" s="131">
        <f>IF('Subcases Monthly'!$D$4="","",VLOOKUP('Subcases Monthly'!$D$4,DataLookUp!$A$4:$AVY$70,299,FALSE))</f>
        <v>0</v>
      </c>
      <c r="Q41" s="134">
        <f t="shared" si="22"/>
        <v>461</v>
      </c>
      <c r="R41" s="465"/>
    </row>
    <row r="42" spans="1:18" ht="20.100000000000001" customHeight="1" x14ac:dyDescent="0.2">
      <c r="B42" s="196"/>
      <c r="C42" s="474" t="s">
        <v>173</v>
      </c>
      <c r="D42" s="475"/>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v>1</v>
      </c>
      <c r="M42" s="128">
        <v>3</v>
      </c>
      <c r="N42" s="128">
        <f>IF('Subcases Monthly'!$D$4="","",VLOOKUP('Subcases Monthly'!$D$4,DataLookUp!$A$4:$AVY$70,310,FALSE))</f>
        <v>0</v>
      </c>
      <c r="O42" s="128">
        <f>IF('Subcases Monthly'!$D$4="","",VLOOKUP('Subcases Monthly'!$D$4,DataLookUp!$A$4:$AVY$70,311,FALSE))</f>
        <v>0</v>
      </c>
      <c r="P42" s="128">
        <f>IF('Subcases Monthly'!$D$4="","",VLOOKUP('Subcases Monthly'!$D$4,DataLookUp!$A$4:$AVY$70,312,FALSE))</f>
        <v>0</v>
      </c>
      <c r="Q42" s="134">
        <f t="shared" si="22"/>
        <v>9</v>
      </c>
      <c r="R42" s="465"/>
    </row>
    <row r="43" spans="1:18" ht="20.100000000000001" customHeight="1" x14ac:dyDescent="0.2">
      <c r="B43" s="196"/>
      <c r="C43" s="474" t="s">
        <v>174</v>
      </c>
      <c r="D43" s="475"/>
      <c r="E43" s="130">
        <v>72</v>
      </c>
      <c r="F43" s="131">
        <v>54</v>
      </c>
      <c r="G43" s="131">
        <v>37</v>
      </c>
      <c r="H43" s="131">
        <v>58</v>
      </c>
      <c r="I43" s="131">
        <v>63</v>
      </c>
      <c r="J43" s="131">
        <v>57</v>
      </c>
      <c r="K43" s="131">
        <v>70</v>
      </c>
      <c r="L43" s="131">
        <v>75</v>
      </c>
      <c r="M43" s="131">
        <v>64</v>
      </c>
      <c r="N43" s="131">
        <f>IF('Subcases Monthly'!$D$4="","",VLOOKUP('Subcases Monthly'!$D$4,DataLookUp!$A$4:$AVY$70,323,FALSE))</f>
        <v>0</v>
      </c>
      <c r="O43" s="131">
        <f>IF('Subcases Monthly'!$D$4="","",VLOOKUP('Subcases Monthly'!$D$4,DataLookUp!$A$4:$AVY$70,324,FALSE))</f>
        <v>0</v>
      </c>
      <c r="P43" s="131">
        <f>IF('Subcases Monthly'!$D$4="","",VLOOKUP('Subcases Monthly'!$D$4,DataLookUp!$A$4:$AVY$70,325,FALSE))</f>
        <v>0</v>
      </c>
      <c r="Q43" s="134">
        <f t="shared" si="22"/>
        <v>550</v>
      </c>
      <c r="R43" s="465"/>
    </row>
    <row r="44" spans="1:18" ht="20.100000000000001" customHeight="1" x14ac:dyDescent="0.2">
      <c r="B44" s="196"/>
      <c r="C44" s="474" t="s">
        <v>175</v>
      </c>
      <c r="D44" s="475"/>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v>9</v>
      </c>
      <c r="M44" s="128">
        <v>4</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61</v>
      </c>
      <c r="R44" s="465"/>
    </row>
    <row r="45" spans="1:18" ht="20.100000000000001" customHeight="1" x14ac:dyDescent="0.2">
      <c r="B45" s="196"/>
      <c r="C45" s="474" t="s">
        <v>176</v>
      </c>
      <c r="D45" s="475"/>
      <c r="E45" s="130">
        <v>18</v>
      </c>
      <c r="F45" s="131">
        <v>24</v>
      </c>
      <c r="G45" s="131">
        <v>15</v>
      </c>
      <c r="H45" s="131">
        <v>30</v>
      </c>
      <c r="I45" s="131">
        <v>26</v>
      </c>
      <c r="J45" s="131">
        <v>38</v>
      </c>
      <c r="K45" s="131">
        <v>30</v>
      </c>
      <c r="L45" s="131">
        <v>47</v>
      </c>
      <c r="M45" s="131">
        <v>50</v>
      </c>
      <c r="N45" s="131">
        <f>IF('Subcases Monthly'!$D$4="","",VLOOKUP('Subcases Monthly'!$D$4,DataLookUp!$A$4:$AVY$70,349,FALSE))</f>
        <v>0</v>
      </c>
      <c r="O45" s="131">
        <f>IF('Subcases Monthly'!$D$4="","",VLOOKUP('Subcases Monthly'!$D$4,DataLookUp!$A$4:$AVY$70,350,FALSE))</f>
        <v>0</v>
      </c>
      <c r="P45" s="131">
        <f>IF('Subcases Monthly'!$D$4="","",VLOOKUP('Subcases Monthly'!$D$4,DataLookUp!$A$4:$AVY$70,351,FALSE))</f>
        <v>0</v>
      </c>
      <c r="Q45" s="134">
        <f t="shared" si="22"/>
        <v>278</v>
      </c>
      <c r="R45" s="465"/>
    </row>
    <row r="46" spans="1:18" ht="20.100000000000001" customHeight="1" x14ac:dyDescent="0.2">
      <c r="B46" s="196"/>
      <c r="C46" s="474" t="s">
        <v>177</v>
      </c>
      <c r="D46" s="475"/>
      <c r="E46" s="127">
        <v>0</v>
      </c>
      <c r="F46" s="128">
        <v>1</v>
      </c>
      <c r="G46" s="128">
        <v>2</v>
      </c>
      <c r="H46" s="128">
        <v>1</v>
      </c>
      <c r="I46" s="128">
        <v>2</v>
      </c>
      <c r="J46" s="128">
        <f>IF('Subcases Monthly'!$D$4="","",VLOOKUP('Subcases Monthly'!$D$4,DataLookUp!$A$4:$AVY$70,358,FALSE))</f>
        <v>0</v>
      </c>
      <c r="K46" s="128">
        <v>4</v>
      </c>
      <c r="L46" s="128">
        <v>2</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28">
        <f>IF('Subcases Monthly'!$D$4="","",VLOOKUP('Subcases Monthly'!$D$4,DataLookUp!$A$4:$AVY$70,364,FALSE))</f>
        <v>0</v>
      </c>
      <c r="Q46" s="134">
        <f t="shared" si="22"/>
        <v>12</v>
      </c>
      <c r="R46" s="465"/>
    </row>
    <row r="47" spans="1:18" ht="20.100000000000001" customHeight="1" x14ac:dyDescent="0.2">
      <c r="B47" s="196"/>
      <c r="C47" s="474" t="s">
        <v>178</v>
      </c>
      <c r="D47" s="475"/>
      <c r="E47" s="130">
        <v>35</v>
      </c>
      <c r="F47" s="131">
        <v>27</v>
      </c>
      <c r="G47" s="131">
        <v>38</v>
      </c>
      <c r="H47" s="131">
        <v>40</v>
      </c>
      <c r="I47" s="131">
        <v>46</v>
      </c>
      <c r="J47" s="131">
        <v>41</v>
      </c>
      <c r="K47" s="131">
        <v>38</v>
      </c>
      <c r="L47" s="131">
        <v>40</v>
      </c>
      <c r="M47" s="131">
        <v>32</v>
      </c>
      <c r="N47" s="131">
        <f>IF('Subcases Monthly'!$D$4="","",VLOOKUP('Subcases Monthly'!$D$4,DataLookUp!$A$4:$AVY$70,375,FALSE))</f>
        <v>0</v>
      </c>
      <c r="O47" s="131">
        <f>IF('Subcases Monthly'!$D$4="","",VLOOKUP('Subcases Monthly'!$D$4,DataLookUp!$A$4:$AVY$70,376,FALSE))</f>
        <v>0</v>
      </c>
      <c r="P47" s="131">
        <f>IF('Subcases Monthly'!$D$4="","",VLOOKUP('Subcases Monthly'!$D$4,DataLookUp!$A$4:$AVY$70,377,FALSE))</f>
        <v>0</v>
      </c>
      <c r="Q47" s="134">
        <f t="shared" si="22"/>
        <v>337</v>
      </c>
      <c r="R47" s="465"/>
    </row>
    <row r="48" spans="1:18" ht="20.100000000000001" customHeight="1" x14ac:dyDescent="0.2">
      <c r="B48" s="196"/>
      <c r="C48" s="474" t="s">
        <v>179</v>
      </c>
      <c r="D48" s="475"/>
      <c r="E48" s="127">
        <v>20</v>
      </c>
      <c r="F48" s="128">
        <v>16</v>
      </c>
      <c r="G48" s="128">
        <v>18</v>
      </c>
      <c r="H48" s="128">
        <v>23</v>
      </c>
      <c r="I48" s="128">
        <v>27</v>
      </c>
      <c r="J48" s="128">
        <v>20</v>
      </c>
      <c r="K48" s="128">
        <v>27</v>
      </c>
      <c r="L48" s="128">
        <v>25</v>
      </c>
      <c r="M48" s="128">
        <v>29</v>
      </c>
      <c r="N48" s="128">
        <f>IF('Subcases Monthly'!$D$4="","",VLOOKUP('Subcases Monthly'!$D$4,DataLookUp!$A$4:$AVY$70,388,FALSE))</f>
        <v>0</v>
      </c>
      <c r="O48" s="128">
        <f>IF('Subcases Monthly'!$D$4="","",VLOOKUP('Subcases Monthly'!$D$4,DataLookUp!$A$4:$AVY$70,389,FALSE))</f>
        <v>0</v>
      </c>
      <c r="P48" s="128">
        <f>IF('Subcases Monthly'!$D$4="","",VLOOKUP('Subcases Monthly'!$D$4,DataLookUp!$A$4:$AVY$70,390,FALSE))</f>
        <v>0</v>
      </c>
      <c r="Q48" s="134">
        <f t="shared" si="22"/>
        <v>205</v>
      </c>
      <c r="R48" s="465"/>
    </row>
    <row r="49" spans="1:18" ht="20.100000000000001" customHeight="1" x14ac:dyDescent="0.2">
      <c r="B49" s="196"/>
      <c r="C49" s="474" t="s">
        <v>180</v>
      </c>
      <c r="D49" s="475"/>
      <c r="E49" s="130">
        <v>20</v>
      </c>
      <c r="F49" s="131">
        <v>23</v>
      </c>
      <c r="G49" s="131">
        <v>19</v>
      </c>
      <c r="H49" s="131">
        <v>33</v>
      </c>
      <c r="I49" s="131">
        <v>27</v>
      </c>
      <c r="J49" s="131">
        <v>21</v>
      </c>
      <c r="K49" s="131">
        <v>16</v>
      </c>
      <c r="L49" s="131">
        <v>30</v>
      </c>
      <c r="M49" s="131">
        <v>26</v>
      </c>
      <c r="N49" s="131">
        <f>IF('Subcases Monthly'!$D$4="","",VLOOKUP('Subcases Monthly'!$D$4,DataLookUp!$A$4:$AVY$70,401,FALSE))</f>
        <v>0</v>
      </c>
      <c r="O49" s="131">
        <f>IF('Subcases Monthly'!$D$4="","",VLOOKUP('Subcases Monthly'!$D$4,DataLookUp!$A$4:$AVY$70,402,FALSE))</f>
        <v>0</v>
      </c>
      <c r="P49" s="131">
        <f>IF('Subcases Monthly'!$D$4="","",VLOOKUP('Subcases Monthly'!$D$4,DataLookUp!$A$4:$AVY$70,403,FALSE))</f>
        <v>0</v>
      </c>
      <c r="Q49" s="137">
        <f t="shared" si="22"/>
        <v>215</v>
      </c>
      <c r="R49" s="465"/>
    </row>
    <row r="50" spans="1:18" ht="20.100000000000001" customHeight="1" x14ac:dyDescent="0.2">
      <c r="B50" s="196"/>
      <c r="C50" s="474" t="s">
        <v>181</v>
      </c>
      <c r="D50" s="475"/>
      <c r="E50" s="127">
        <v>43</v>
      </c>
      <c r="F50" s="128">
        <v>31</v>
      </c>
      <c r="G50" s="128">
        <v>22</v>
      </c>
      <c r="H50" s="128">
        <v>37</v>
      </c>
      <c r="I50" s="128">
        <v>44</v>
      </c>
      <c r="J50" s="128">
        <v>33</v>
      </c>
      <c r="K50" s="128">
        <v>55</v>
      </c>
      <c r="L50" s="128">
        <v>37</v>
      </c>
      <c r="M50" s="128">
        <v>27</v>
      </c>
      <c r="N50" s="128">
        <f>IF('Subcases Monthly'!$D$4="","",VLOOKUP('Subcases Monthly'!$D$4,DataLookUp!$A$4:$AVY$70,414,FALSE))</f>
        <v>0</v>
      </c>
      <c r="O50" s="128">
        <f>IF('Subcases Monthly'!$D$4="","",VLOOKUP('Subcases Monthly'!$D$4,DataLookUp!$A$4:$AVY$70,415,FALSE))</f>
        <v>0</v>
      </c>
      <c r="P50" s="128">
        <f>IF('Subcases Monthly'!$D$4="","",VLOOKUP('Subcases Monthly'!$D$4,DataLookUp!$A$4:$AVY$70,416,FALSE))</f>
        <v>0</v>
      </c>
      <c r="Q50" s="137">
        <f t="shared" si="22"/>
        <v>329</v>
      </c>
      <c r="R50" s="465"/>
    </row>
    <row r="51" spans="1:18" ht="20.100000000000001" customHeight="1" x14ac:dyDescent="0.2">
      <c r="B51" s="203">
        <v>2</v>
      </c>
      <c r="C51" s="474" t="s">
        <v>391</v>
      </c>
      <c r="D51" s="475"/>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65"/>
    </row>
    <row r="52" spans="1:18" ht="20.100000000000001" customHeight="1" x14ac:dyDescent="0.2">
      <c r="B52" s="203">
        <v>2</v>
      </c>
      <c r="C52" s="474" t="s">
        <v>404</v>
      </c>
      <c r="D52" s="475"/>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v>0</v>
      </c>
      <c r="M52" s="128">
        <v>1</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2</v>
      </c>
      <c r="R52" s="465"/>
    </row>
    <row r="53" spans="1:18" ht="20.100000000000001" customHeight="1" x14ac:dyDescent="0.2">
      <c r="B53" s="196"/>
      <c r="C53" s="474" t="s">
        <v>182</v>
      </c>
      <c r="D53" s="475"/>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65"/>
    </row>
    <row r="54" spans="1:18" ht="20.100000000000001" customHeight="1" x14ac:dyDescent="0.2">
      <c r="B54" s="196"/>
      <c r="C54" s="474" t="s">
        <v>183</v>
      </c>
      <c r="D54" s="475"/>
      <c r="E54" s="127">
        <v>7</v>
      </c>
      <c r="F54" s="128">
        <v>12</v>
      </c>
      <c r="G54" s="128">
        <v>6</v>
      </c>
      <c r="H54" s="128">
        <v>10</v>
      </c>
      <c r="I54" s="128">
        <v>6</v>
      </c>
      <c r="J54" s="128">
        <v>12</v>
      </c>
      <c r="K54" s="128">
        <v>8</v>
      </c>
      <c r="L54" s="128">
        <v>12</v>
      </c>
      <c r="M54" s="128">
        <v>8</v>
      </c>
      <c r="N54" s="128">
        <f>IF('Subcases Monthly'!$D$4="","",VLOOKUP('Subcases Monthly'!$D$4,DataLookUp!$A$4:$AVY$70,466,FALSE))</f>
        <v>0</v>
      </c>
      <c r="O54" s="128">
        <f>IF('Subcases Monthly'!$D$4="","",VLOOKUP('Subcases Monthly'!$D$4,DataLookUp!$A$4:$AVY$70,467,FALSE))</f>
        <v>0</v>
      </c>
      <c r="P54" s="128">
        <f>IF('Subcases Monthly'!$D$4="","",VLOOKUP('Subcases Monthly'!$D$4,DataLookUp!$A$4:$AVY$70,468,FALSE))</f>
        <v>0</v>
      </c>
      <c r="Q54" s="137">
        <f t="shared" si="22"/>
        <v>81</v>
      </c>
      <c r="R54" s="465"/>
    </row>
    <row r="55" spans="1:18" ht="20.100000000000001" customHeight="1" x14ac:dyDescent="0.2">
      <c r="B55" s="196"/>
      <c r="C55" s="474" t="s">
        <v>184</v>
      </c>
      <c r="D55" s="475"/>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v>3</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31">
        <f>IF('Subcases Monthly'!$D$4="","",VLOOKUP('Subcases Monthly'!$D$4,DataLookUp!$A$4:$AVY$70,481,FALSE))</f>
        <v>0</v>
      </c>
      <c r="Q55" s="137">
        <f t="shared" si="22"/>
        <v>15</v>
      </c>
      <c r="R55" s="465"/>
    </row>
    <row r="56" spans="1:18" ht="20.100000000000001" customHeight="1" x14ac:dyDescent="0.2">
      <c r="B56" s="196"/>
      <c r="C56" s="474" t="s">
        <v>185</v>
      </c>
      <c r="D56" s="475"/>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65"/>
    </row>
    <row r="57" spans="1:18" ht="20.100000000000001" customHeight="1" x14ac:dyDescent="0.2">
      <c r="B57" s="196"/>
      <c r="C57" s="474" t="s">
        <v>186</v>
      </c>
      <c r="D57" s="475"/>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65"/>
    </row>
    <row r="58" spans="1:18" ht="20.100000000000001" customHeight="1" x14ac:dyDescent="0.2">
      <c r="B58" s="196"/>
      <c r="C58" s="474" t="s">
        <v>187</v>
      </c>
      <c r="D58" s="475"/>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v>3</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28">
        <f>IF('Subcases Monthly'!$D$4="","",VLOOKUP('Subcases Monthly'!$D$4,DataLookUp!$A$4:$AVY$70,520,FALSE))</f>
        <v>0</v>
      </c>
      <c r="Q58" s="138">
        <f t="shared" si="22"/>
        <v>11</v>
      </c>
      <c r="R58" s="465"/>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66"/>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355</v>
      </c>
      <c r="M60" s="218">
        <f t="shared" si="23"/>
        <v>309</v>
      </c>
      <c r="N60" s="218">
        <f t="shared" si="23"/>
        <v>0</v>
      </c>
      <c r="O60" s="218">
        <f t="shared" si="23"/>
        <v>0</v>
      </c>
      <c r="P60" s="219">
        <f t="shared" si="23"/>
        <v>0</v>
      </c>
      <c r="Q60" s="136">
        <f t="shared" si="22"/>
        <v>2597</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6" t="s">
        <v>188</v>
      </c>
      <c r="D63" s="477"/>
      <c r="E63" s="141">
        <v>329</v>
      </c>
      <c r="F63" s="142">
        <v>335</v>
      </c>
      <c r="G63" s="179">
        <v>298</v>
      </c>
      <c r="H63" s="142">
        <v>377</v>
      </c>
      <c r="I63" s="142">
        <v>400</v>
      </c>
      <c r="J63" s="142">
        <v>400</v>
      </c>
      <c r="K63" s="142">
        <v>536</v>
      </c>
      <c r="L63" s="142">
        <v>515</v>
      </c>
      <c r="M63" s="142">
        <v>439</v>
      </c>
      <c r="N63" s="142">
        <f>IF('Subcases Monthly'!$D$4="","",VLOOKUP('Subcases Monthly'!$D$4,DataLookUp!$A$4:$AVY$70,557,FALSE))</f>
        <v>0</v>
      </c>
      <c r="O63" s="142">
        <f>IF('Subcases Monthly'!$D$4="","",VLOOKUP('Subcases Monthly'!$D$4,DataLookUp!$A$4:$AVY$70,558,FALSE))</f>
        <v>0</v>
      </c>
      <c r="P63" s="143">
        <f>IF('Subcases Monthly'!$D$4="","",VLOOKUP('Subcases Monthly'!$D$4,DataLookUp!$A$4:$AVY$70,559,FALSE))</f>
        <v>0</v>
      </c>
      <c r="Q63" s="133">
        <f>SUM(E63:P63)</f>
        <v>3629</v>
      </c>
      <c r="R63" s="464" t="e">
        <f>IF('Subcases Monthly'!$D$4="","",VLOOKUP('Subcases Monthly'!$D$4,DataLookUp!$A$4:$AVY$70,1385,FALSE))</f>
        <v>#REF!</v>
      </c>
    </row>
    <row r="64" spans="1:18" ht="20.100000000000001" customHeight="1" x14ac:dyDescent="0.2">
      <c r="B64" s="196"/>
      <c r="C64" s="474" t="s">
        <v>387</v>
      </c>
      <c r="D64" s="475"/>
      <c r="E64" s="144">
        <v>86</v>
      </c>
      <c r="F64" s="145">
        <v>105</v>
      </c>
      <c r="G64" s="145">
        <v>77</v>
      </c>
      <c r="H64" s="145">
        <v>100</v>
      </c>
      <c r="I64" s="145">
        <v>106</v>
      </c>
      <c r="J64" s="145">
        <v>134</v>
      </c>
      <c r="K64" s="145">
        <v>134</v>
      </c>
      <c r="L64" s="145">
        <v>165</v>
      </c>
      <c r="M64" s="145">
        <v>140</v>
      </c>
      <c r="N64" s="145">
        <f>IF('Subcases Monthly'!$D$4="","",VLOOKUP('Subcases Monthly'!$D$4,DataLookUp!$A$4:$AVY$70,570,FALSE))</f>
        <v>0</v>
      </c>
      <c r="O64" s="145">
        <f>IF('Subcases Monthly'!$D$4="","",VLOOKUP('Subcases Monthly'!$D$4,DataLookUp!$A$4:$AVY$70,571,FALSE))</f>
        <v>0</v>
      </c>
      <c r="P64" s="146">
        <f>IF('Subcases Monthly'!$D$4="","",VLOOKUP('Subcases Monthly'!$D$4,DataLookUp!$A$4:$AVY$70,572,FALSE))</f>
        <v>0</v>
      </c>
      <c r="Q64" s="134">
        <f>SUM(E64:P64)</f>
        <v>1047</v>
      </c>
      <c r="R64" s="465"/>
    </row>
    <row r="65" spans="1:18" ht="20.100000000000001" customHeight="1" x14ac:dyDescent="0.2">
      <c r="B65" s="196"/>
      <c r="C65" s="474" t="s">
        <v>386</v>
      </c>
      <c r="D65" s="475"/>
      <c r="E65" s="148">
        <v>88</v>
      </c>
      <c r="F65" s="148">
        <v>122</v>
      </c>
      <c r="G65" s="148">
        <v>95</v>
      </c>
      <c r="H65" s="148">
        <v>101</v>
      </c>
      <c r="I65" s="148">
        <v>96</v>
      </c>
      <c r="J65" s="148">
        <v>195</v>
      </c>
      <c r="K65" s="148">
        <v>109</v>
      </c>
      <c r="L65" s="148">
        <v>172</v>
      </c>
      <c r="M65" s="148">
        <v>186</v>
      </c>
      <c r="N65" s="148">
        <f>IF('Subcases Monthly'!$D$4="","",VLOOKUP('Subcases Monthly'!$D$4,DataLookUp!$A$4:$AVY$70,583,FALSE))</f>
        <v>0</v>
      </c>
      <c r="O65" s="148">
        <f>IF('Subcases Monthly'!$D$4="","",VLOOKUP('Subcases Monthly'!$D$4,DataLookUp!$A$4:$AVY$70,584,FALSE))</f>
        <v>0</v>
      </c>
      <c r="P65" s="149">
        <f>IF('Subcases Monthly'!$D$4="","",VLOOKUP('Subcases Monthly'!$D$4,DataLookUp!$A$4:$AVY$70,585,FALSE))</f>
        <v>0</v>
      </c>
      <c r="Q65" s="134">
        <f>SUM(E65:P65)</f>
        <v>1164</v>
      </c>
      <c r="R65" s="465"/>
    </row>
    <row r="66" spans="1:18" ht="20.100000000000001" customHeight="1" x14ac:dyDescent="0.2">
      <c r="B66" s="196"/>
      <c r="C66" s="474" t="s">
        <v>377</v>
      </c>
      <c r="D66" s="475"/>
      <c r="E66" s="144">
        <v>55</v>
      </c>
      <c r="F66" s="145">
        <v>40</v>
      </c>
      <c r="G66" s="145">
        <v>49</v>
      </c>
      <c r="H66" s="145">
        <v>45</v>
      </c>
      <c r="I66" s="145">
        <v>50</v>
      </c>
      <c r="J66" s="145">
        <v>91</v>
      </c>
      <c r="K66" s="145">
        <v>81</v>
      </c>
      <c r="L66" s="145">
        <v>82</v>
      </c>
      <c r="M66" s="145">
        <v>65</v>
      </c>
      <c r="N66" s="145">
        <f>IF('Subcases Monthly'!$D$4="","",VLOOKUP('Subcases Monthly'!$D$4,DataLookUp!$A$4:$AVY$70,596,FALSE))</f>
        <v>0</v>
      </c>
      <c r="O66" s="145">
        <f>IF('Subcases Monthly'!$D$4="","",VLOOKUP('Subcases Monthly'!$D$4,DataLookUp!$A$4:$AVY$70,597,FALSE))</f>
        <v>0</v>
      </c>
      <c r="P66" s="146">
        <f>IF('Subcases Monthly'!$D$4="","",VLOOKUP('Subcases Monthly'!$D$4,DataLookUp!$A$4:$AVY$70,598,FALSE))</f>
        <v>0</v>
      </c>
      <c r="Q66" s="134">
        <f>SUM(E66:P66)</f>
        <v>558</v>
      </c>
      <c r="R66" s="465"/>
    </row>
    <row r="67" spans="1:18" ht="20.100000000000001" customHeight="1" x14ac:dyDescent="0.2">
      <c r="B67" s="203">
        <v>4</v>
      </c>
      <c r="C67" s="474" t="s">
        <v>405</v>
      </c>
      <c r="D67" s="475"/>
      <c r="E67" s="147">
        <v>34</v>
      </c>
      <c r="F67" s="148">
        <v>21</v>
      </c>
      <c r="G67" s="148">
        <v>28</v>
      </c>
      <c r="H67" s="148">
        <v>36</v>
      </c>
      <c r="I67" s="148">
        <v>31</v>
      </c>
      <c r="J67" s="148">
        <v>31</v>
      </c>
      <c r="K67" s="148">
        <v>26</v>
      </c>
      <c r="L67" s="148">
        <v>30</v>
      </c>
      <c r="M67" s="148">
        <v>33</v>
      </c>
      <c r="N67" s="148">
        <f>IF('Subcases Monthly'!$D$4="","",VLOOKUP('Subcases Monthly'!$D$4,DataLookUp!$A$4:$AVY$70,609,FALSE))</f>
        <v>0</v>
      </c>
      <c r="O67" s="148">
        <f>IF('Subcases Monthly'!$D$4="","",VLOOKUP('Subcases Monthly'!$D$4,DataLookUp!$A$4:$AVY$70,610,FALSE))</f>
        <v>0</v>
      </c>
      <c r="P67" s="149">
        <f>IF('Subcases Monthly'!$D$4="","",VLOOKUP('Subcases Monthly'!$D$4,DataLookUp!$A$4:$AVY$70,611,FALSE))</f>
        <v>0</v>
      </c>
      <c r="Q67" s="134">
        <f>SUM(E67:P67)</f>
        <v>270</v>
      </c>
      <c r="R67" s="465"/>
    </row>
    <row r="68" spans="1:18" ht="20.100000000000001" customHeight="1" x14ac:dyDescent="0.2">
      <c r="B68" s="196"/>
      <c r="C68" s="474" t="s">
        <v>189</v>
      </c>
      <c r="D68" s="475"/>
      <c r="E68" s="144">
        <v>9</v>
      </c>
      <c r="F68" s="145">
        <v>10</v>
      </c>
      <c r="G68" s="145">
        <v>5</v>
      </c>
      <c r="H68" s="145">
        <v>5</v>
      </c>
      <c r="I68" s="145">
        <v>12</v>
      </c>
      <c r="J68" s="145">
        <v>5</v>
      </c>
      <c r="K68" s="145">
        <v>8</v>
      </c>
      <c r="L68" s="145">
        <v>7</v>
      </c>
      <c r="M68" s="145">
        <v>14</v>
      </c>
      <c r="N68" s="145">
        <f>IF('Subcases Monthly'!$D$4="","",VLOOKUP('Subcases Monthly'!$D$4,DataLookUp!$A$4:$AVY$70,622,FALSE))</f>
        <v>0</v>
      </c>
      <c r="O68" s="145">
        <f>IF('Subcases Monthly'!$D$4="","",VLOOKUP('Subcases Monthly'!$D$4,DataLookUp!$A$4:$AVY$70,623,FALSE))</f>
        <v>0</v>
      </c>
      <c r="P68" s="146">
        <f>IF('Subcases Monthly'!$D$4="","",VLOOKUP('Subcases Monthly'!$D$4,DataLookUp!$A$4:$AVY$70,624,FALSE))</f>
        <v>0</v>
      </c>
      <c r="Q68" s="134">
        <f t="shared" ref="Q68:Q73" si="25">SUM(E68:P68)</f>
        <v>75</v>
      </c>
      <c r="R68" s="465"/>
    </row>
    <row r="69" spans="1:18" ht="20.100000000000001" customHeight="1" x14ac:dyDescent="0.2">
      <c r="B69" s="196"/>
      <c r="C69" s="474" t="s">
        <v>190</v>
      </c>
      <c r="D69" s="475"/>
      <c r="E69" s="147">
        <v>268</v>
      </c>
      <c r="F69" s="148">
        <v>258</v>
      </c>
      <c r="G69" s="148">
        <v>254</v>
      </c>
      <c r="H69" s="148">
        <v>288</v>
      </c>
      <c r="I69" s="148">
        <v>235</v>
      </c>
      <c r="J69" s="148">
        <v>231</v>
      </c>
      <c r="K69" s="148">
        <v>226</v>
      </c>
      <c r="L69" s="148">
        <v>243</v>
      </c>
      <c r="M69" s="148">
        <v>251</v>
      </c>
      <c r="N69" s="148">
        <f>IF('Subcases Monthly'!$D$4="","",VLOOKUP('Subcases Monthly'!$D$4,DataLookUp!$A$4:$AVY$70,635,FALSE))</f>
        <v>0</v>
      </c>
      <c r="O69" s="148">
        <f>IF('Subcases Monthly'!$D$4="","",VLOOKUP('Subcases Monthly'!$D$4,DataLookUp!$A$4:$AVY$70,636,FALSE))</f>
        <v>0</v>
      </c>
      <c r="P69" s="148">
        <f>IF('Subcases Monthly'!$D$4="","",VLOOKUP('Subcases Monthly'!$D$4,DataLookUp!$A$4:$AVY$70,637,FALSE))</f>
        <v>0</v>
      </c>
      <c r="Q69" s="134">
        <f t="shared" si="25"/>
        <v>2254</v>
      </c>
      <c r="R69" s="465"/>
    </row>
    <row r="70" spans="1:18" ht="20.100000000000001" customHeight="1" x14ac:dyDescent="0.2">
      <c r="B70" s="196"/>
      <c r="C70" s="474" t="s">
        <v>191</v>
      </c>
      <c r="D70" s="475"/>
      <c r="E70" s="144">
        <v>1</v>
      </c>
      <c r="F70" s="145">
        <v>5</v>
      </c>
      <c r="G70" s="145">
        <v>1</v>
      </c>
      <c r="H70" s="145">
        <v>5</v>
      </c>
      <c r="I70" s="145">
        <v>7</v>
      </c>
      <c r="J70" s="145">
        <v>5</v>
      </c>
      <c r="K70" s="145">
        <v>6</v>
      </c>
      <c r="L70" s="145">
        <v>7</v>
      </c>
      <c r="M70" s="145">
        <v>0</v>
      </c>
      <c r="N70" s="145">
        <f>IF('Subcases Monthly'!$D$4="","",VLOOKUP('Subcases Monthly'!$D$4,DataLookUp!$A$4:$AVY$70,648,FALSE))</f>
        <v>0</v>
      </c>
      <c r="O70" s="145">
        <f>IF('Subcases Monthly'!$D$4="","",VLOOKUP('Subcases Monthly'!$D$4,DataLookUp!$A$4:$AVY$70,649,FALSE))</f>
        <v>0</v>
      </c>
      <c r="P70" s="146">
        <f>IF('Subcases Monthly'!$D$4="","",VLOOKUP('Subcases Monthly'!$D$4,DataLookUp!$A$4:$AVY$70,650,FALSE))</f>
        <v>0</v>
      </c>
      <c r="Q70" s="134">
        <f t="shared" si="25"/>
        <v>37</v>
      </c>
      <c r="R70" s="465"/>
    </row>
    <row r="71" spans="1:18" ht="20.100000000000001" customHeight="1" x14ac:dyDescent="0.2">
      <c r="B71" s="196"/>
      <c r="C71" s="474" t="s">
        <v>187</v>
      </c>
      <c r="D71" s="475"/>
      <c r="E71" s="147">
        <v>4</v>
      </c>
      <c r="F71" s="148">
        <v>3</v>
      </c>
      <c r="G71" s="148">
        <v>2</v>
      </c>
      <c r="H71" s="148">
        <v>1</v>
      </c>
      <c r="I71" s="148">
        <v>4</v>
      </c>
      <c r="J71" s="148">
        <v>1</v>
      </c>
      <c r="K71" s="148">
        <v>6</v>
      </c>
      <c r="L71" s="148">
        <v>5</v>
      </c>
      <c r="M71" s="148">
        <v>4</v>
      </c>
      <c r="N71" s="148">
        <f>IF('Subcases Monthly'!$D$4="","",VLOOKUP('Subcases Monthly'!$D$4,DataLookUp!$A$4:$AVY$70,661,FALSE))</f>
        <v>0</v>
      </c>
      <c r="O71" s="148">
        <f>IF('Subcases Monthly'!$D$4="","",VLOOKUP('Subcases Monthly'!$D$4,DataLookUp!$A$4:$AVY$70,662,FALSE))</f>
        <v>0</v>
      </c>
      <c r="P71" s="149">
        <f>IF('Subcases Monthly'!$D$4="","",VLOOKUP('Subcases Monthly'!$D$4,DataLookUp!$A$4:$AVY$70,663,FALSE))</f>
        <v>0</v>
      </c>
      <c r="Q71" s="254">
        <f t="shared" si="25"/>
        <v>30</v>
      </c>
      <c r="R71" s="465"/>
    </row>
    <row r="72" spans="1:18" ht="20.100000000000001" customHeight="1" x14ac:dyDescent="0.2">
      <c r="B72" s="196"/>
      <c r="C72" s="474" t="s">
        <v>192</v>
      </c>
      <c r="D72" s="475"/>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65"/>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66"/>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1226</v>
      </c>
      <c r="M74" s="218">
        <f t="shared" si="26"/>
        <v>1132</v>
      </c>
      <c r="N74" s="218">
        <f t="shared" si="26"/>
        <v>0</v>
      </c>
      <c r="O74" s="218">
        <f t="shared" si="26"/>
        <v>0</v>
      </c>
      <c r="P74" s="219">
        <f t="shared" si="26"/>
        <v>0</v>
      </c>
      <c r="Q74" s="136">
        <f t="shared" ref="Q74" si="27">SUM(E74:P74)</f>
        <v>9064</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6" t="s">
        <v>193</v>
      </c>
      <c r="D77" s="477"/>
      <c r="E77" s="124">
        <v>212</v>
      </c>
      <c r="F77" s="125">
        <v>168</v>
      </c>
      <c r="G77" s="125">
        <v>175</v>
      </c>
      <c r="H77" s="125">
        <v>205</v>
      </c>
      <c r="I77" s="125">
        <v>227</v>
      </c>
      <c r="J77" s="125">
        <v>226</v>
      </c>
      <c r="K77" s="125">
        <v>253</v>
      </c>
      <c r="L77" s="125">
        <v>216</v>
      </c>
      <c r="M77" s="125">
        <v>195</v>
      </c>
      <c r="N77" s="125">
        <f>IF('Subcases Monthly'!$D$4="","",VLOOKUP('Subcases Monthly'!$D$4,DataLookUp!$A$4:$AVY$70,713,FALSE))</f>
        <v>0</v>
      </c>
      <c r="O77" s="125">
        <f>IF('Subcases Monthly'!$D$4="","",VLOOKUP('Subcases Monthly'!$D$4,DataLookUp!$A$4:$AVY$70,714,FALSE))</f>
        <v>0</v>
      </c>
      <c r="P77" s="126">
        <f>IF('Subcases Monthly'!$D$4="","",VLOOKUP('Subcases Monthly'!$D$4,DataLookUp!$A$4:$AVY$70,715,FALSE))</f>
        <v>0</v>
      </c>
      <c r="Q77" s="133">
        <f t="shared" ref="Q77:Q94" si="29">SUM(E77:P77)</f>
        <v>1877</v>
      </c>
      <c r="R77" s="464" t="e">
        <f>IF('Subcases Monthly'!$D$4="","",VLOOKUP('Subcases Monthly'!$D$4,DataLookUp!$A$4:$AVY$70,1386,FALSE))</f>
        <v>#REF!</v>
      </c>
    </row>
    <row r="78" spans="1:18" ht="20.100000000000001" customHeight="1" x14ac:dyDescent="0.2">
      <c r="B78" s="196"/>
      <c r="C78" s="474" t="s">
        <v>194</v>
      </c>
      <c r="D78" s="475"/>
      <c r="E78" s="127">
        <v>29</v>
      </c>
      <c r="F78" s="128">
        <v>13</v>
      </c>
      <c r="G78" s="128">
        <v>9</v>
      </c>
      <c r="H78" s="128">
        <v>27</v>
      </c>
      <c r="I78" s="128">
        <v>17</v>
      </c>
      <c r="J78" s="128">
        <v>28</v>
      </c>
      <c r="K78" s="128">
        <v>32</v>
      </c>
      <c r="L78" s="128">
        <v>34</v>
      </c>
      <c r="M78" s="128">
        <v>19</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29"/>
        <v>208</v>
      </c>
      <c r="R78" s="465"/>
    </row>
    <row r="79" spans="1:18" ht="20.100000000000001" customHeight="1" x14ac:dyDescent="0.2">
      <c r="B79" s="196"/>
      <c r="C79" s="474" t="s">
        <v>195</v>
      </c>
      <c r="D79" s="475"/>
      <c r="E79" s="130">
        <v>1</v>
      </c>
      <c r="F79" s="131">
        <v>2</v>
      </c>
      <c r="G79" s="131">
        <v>2</v>
      </c>
      <c r="H79" s="131">
        <v>1</v>
      </c>
      <c r="I79" s="131">
        <v>5</v>
      </c>
      <c r="J79" s="131">
        <v>4</v>
      </c>
      <c r="K79" s="131">
        <v>1</v>
      </c>
      <c r="L79" s="131">
        <v>4</v>
      </c>
      <c r="M79" s="131">
        <v>3</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23</v>
      </c>
      <c r="R79" s="465"/>
    </row>
    <row r="80" spans="1:18" ht="20.100000000000001" customHeight="1" x14ac:dyDescent="0.2">
      <c r="B80" s="196"/>
      <c r="C80" s="474" t="s">
        <v>196</v>
      </c>
      <c r="D80" s="475"/>
      <c r="E80" s="127">
        <v>74</v>
      </c>
      <c r="F80" s="128">
        <v>47</v>
      </c>
      <c r="G80" s="128">
        <v>58</v>
      </c>
      <c r="H80" s="128">
        <v>62</v>
      </c>
      <c r="I80" s="128">
        <v>64</v>
      </c>
      <c r="J80" s="128">
        <v>73</v>
      </c>
      <c r="K80" s="128">
        <v>68</v>
      </c>
      <c r="L80" s="128">
        <v>46</v>
      </c>
      <c r="M80" s="128">
        <v>54</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29"/>
        <v>546</v>
      </c>
      <c r="R80" s="465"/>
    </row>
    <row r="81" spans="1:18" ht="20.100000000000001" customHeight="1" x14ac:dyDescent="0.2">
      <c r="B81" s="196"/>
      <c r="C81" s="474" t="s">
        <v>197</v>
      </c>
      <c r="D81" s="475"/>
      <c r="E81" s="130">
        <v>21</v>
      </c>
      <c r="F81" s="131">
        <v>11</v>
      </c>
      <c r="G81" s="131">
        <v>15</v>
      </c>
      <c r="H81" s="131">
        <v>21</v>
      </c>
      <c r="I81" s="131">
        <v>25</v>
      </c>
      <c r="J81" s="131">
        <v>16</v>
      </c>
      <c r="K81" s="131">
        <v>23</v>
      </c>
      <c r="L81" s="131">
        <v>17</v>
      </c>
      <c r="M81" s="131">
        <v>24</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29"/>
        <v>173</v>
      </c>
      <c r="R81" s="465"/>
    </row>
    <row r="82" spans="1:18" ht="20.100000000000001" customHeight="1" x14ac:dyDescent="0.2">
      <c r="B82" s="196"/>
      <c r="C82" s="474" t="s">
        <v>198</v>
      </c>
      <c r="D82" s="475"/>
      <c r="E82" s="127">
        <v>15</v>
      </c>
      <c r="F82" s="128">
        <v>6</v>
      </c>
      <c r="G82" s="128">
        <v>3</v>
      </c>
      <c r="H82" s="128">
        <v>11</v>
      </c>
      <c r="I82" s="128">
        <v>7</v>
      </c>
      <c r="J82" s="128">
        <v>18</v>
      </c>
      <c r="K82" s="128">
        <v>16</v>
      </c>
      <c r="L82" s="128">
        <v>10</v>
      </c>
      <c r="M82" s="128">
        <v>7</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29"/>
        <v>93</v>
      </c>
      <c r="R82" s="465"/>
    </row>
    <row r="83" spans="1:18" ht="20.100000000000001" customHeight="1" x14ac:dyDescent="0.2">
      <c r="B83" s="203">
        <v>2</v>
      </c>
      <c r="C83" s="474" t="s">
        <v>391</v>
      </c>
      <c r="D83" s="475"/>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65"/>
    </row>
    <row r="84" spans="1:18" ht="20.100000000000001" customHeight="1" x14ac:dyDescent="0.2">
      <c r="B84" s="196"/>
      <c r="C84" s="474" t="s">
        <v>300</v>
      </c>
      <c r="D84" s="475"/>
      <c r="E84" s="127">
        <v>4</v>
      </c>
      <c r="F84" s="128">
        <v>1</v>
      </c>
      <c r="G84" s="128">
        <v>3</v>
      </c>
      <c r="H84" s="128">
        <v>3</v>
      </c>
      <c r="I84" s="128">
        <v>2</v>
      </c>
      <c r="J84" s="128">
        <v>7</v>
      </c>
      <c r="K84" s="128">
        <v>4</v>
      </c>
      <c r="L84" s="128">
        <v>4</v>
      </c>
      <c r="M84" s="128">
        <v>4</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29"/>
        <v>32</v>
      </c>
      <c r="R84" s="465"/>
    </row>
    <row r="85" spans="1:18" ht="20.100000000000001" customHeight="1" x14ac:dyDescent="0.2">
      <c r="B85" s="196"/>
      <c r="C85" s="474" t="s">
        <v>199</v>
      </c>
      <c r="D85" s="475"/>
      <c r="E85" s="130">
        <v>104</v>
      </c>
      <c r="F85" s="131">
        <v>97</v>
      </c>
      <c r="G85" s="131">
        <v>120</v>
      </c>
      <c r="H85" s="131">
        <v>118</v>
      </c>
      <c r="I85" s="131">
        <v>160</v>
      </c>
      <c r="J85" s="131">
        <v>143</v>
      </c>
      <c r="K85" s="131">
        <v>143</v>
      </c>
      <c r="L85" s="131">
        <v>141</v>
      </c>
      <c r="M85" s="131">
        <v>124</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29"/>
        <v>1150</v>
      </c>
      <c r="R85" s="465"/>
    </row>
    <row r="86" spans="1:18" ht="20.100000000000001" customHeight="1" x14ac:dyDescent="0.2">
      <c r="B86" s="196"/>
      <c r="C86" s="474" t="s">
        <v>200</v>
      </c>
      <c r="D86" s="475"/>
      <c r="E86" s="127">
        <v>149</v>
      </c>
      <c r="F86" s="128">
        <v>85</v>
      </c>
      <c r="G86" s="128">
        <v>98</v>
      </c>
      <c r="H86" s="128">
        <v>84</v>
      </c>
      <c r="I86" s="128">
        <v>110</v>
      </c>
      <c r="J86" s="128">
        <v>102</v>
      </c>
      <c r="K86" s="128">
        <v>115</v>
      </c>
      <c r="L86" s="128">
        <v>123</v>
      </c>
      <c r="M86" s="128">
        <v>93</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29"/>
        <v>959</v>
      </c>
      <c r="R86" s="465"/>
    </row>
    <row r="87" spans="1:18" ht="20.100000000000001" customHeight="1" x14ac:dyDescent="0.2">
      <c r="B87" s="196"/>
      <c r="C87" s="474" t="s">
        <v>201</v>
      </c>
      <c r="D87" s="475"/>
      <c r="E87" s="130">
        <v>41</v>
      </c>
      <c r="F87" s="131">
        <v>37</v>
      </c>
      <c r="G87" s="131">
        <v>37</v>
      </c>
      <c r="H87" s="131">
        <v>36</v>
      </c>
      <c r="I87" s="131">
        <v>43</v>
      </c>
      <c r="J87" s="131">
        <v>37</v>
      </c>
      <c r="K87" s="131">
        <v>36</v>
      </c>
      <c r="L87" s="131">
        <v>27</v>
      </c>
      <c r="M87" s="131">
        <v>33</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29"/>
        <v>327</v>
      </c>
      <c r="R87" s="465"/>
    </row>
    <row r="88" spans="1:18" ht="20.100000000000001" customHeight="1" x14ac:dyDescent="0.2">
      <c r="B88" s="196"/>
      <c r="C88" s="474" t="s">
        <v>202</v>
      </c>
      <c r="D88" s="475"/>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v>1</v>
      </c>
      <c r="M88" s="128">
        <v>1</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6</v>
      </c>
      <c r="R88" s="465"/>
    </row>
    <row r="89" spans="1:18" ht="20.100000000000001" customHeight="1" x14ac:dyDescent="0.2">
      <c r="B89" s="196"/>
      <c r="C89" s="474" t="s">
        <v>203</v>
      </c>
      <c r="D89" s="475"/>
      <c r="E89" s="130">
        <v>23</v>
      </c>
      <c r="F89" s="131">
        <v>2</v>
      </c>
      <c r="G89" s="131">
        <v>14</v>
      </c>
      <c r="H89" s="131">
        <v>12</v>
      </c>
      <c r="I89" s="131">
        <v>13</v>
      </c>
      <c r="J89" s="131">
        <v>9</v>
      </c>
      <c r="K89" s="131">
        <v>13</v>
      </c>
      <c r="L89" s="131">
        <v>7</v>
      </c>
      <c r="M89" s="131">
        <v>12</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29"/>
        <v>105</v>
      </c>
      <c r="R89" s="465"/>
    </row>
    <row r="90" spans="1:18" ht="20.100000000000001" customHeight="1" x14ac:dyDescent="0.2">
      <c r="B90" s="196"/>
      <c r="C90" s="474" t="s">
        <v>204</v>
      </c>
      <c r="D90" s="475"/>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65"/>
    </row>
    <row r="91" spans="1:18" ht="20.100000000000001" customHeight="1" x14ac:dyDescent="0.2">
      <c r="B91" s="196"/>
      <c r="C91" s="474" t="s">
        <v>205</v>
      </c>
      <c r="D91" s="475"/>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51">
        <f t="shared" si="29"/>
        <v>0</v>
      </c>
      <c r="R91" s="465"/>
    </row>
    <row r="92" spans="1:18" ht="20.100000000000001" customHeight="1" x14ac:dyDescent="0.2">
      <c r="B92" s="196"/>
      <c r="C92" s="474" t="s">
        <v>388</v>
      </c>
      <c r="D92" s="475"/>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v>1</v>
      </c>
      <c r="M92" s="128">
        <v>1</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29"/>
        <v>7</v>
      </c>
      <c r="R92" s="465"/>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66"/>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631</v>
      </c>
      <c r="M94" s="218">
        <f t="shared" si="30"/>
        <v>570</v>
      </c>
      <c r="N94" s="218">
        <f t="shared" si="30"/>
        <v>0</v>
      </c>
      <c r="O94" s="218">
        <f t="shared" si="30"/>
        <v>0</v>
      </c>
      <c r="P94" s="219">
        <f t="shared" si="30"/>
        <v>0</v>
      </c>
      <c r="Q94" s="140">
        <f t="shared" si="29"/>
        <v>5507</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6" t="s">
        <v>206</v>
      </c>
      <c r="D97" s="477"/>
      <c r="E97" s="124">
        <v>19</v>
      </c>
      <c r="F97" s="125">
        <v>13</v>
      </c>
      <c r="G97" s="125">
        <v>16</v>
      </c>
      <c r="H97" s="125">
        <v>18</v>
      </c>
      <c r="I97" s="125">
        <v>18</v>
      </c>
      <c r="J97" s="125">
        <v>22</v>
      </c>
      <c r="K97" s="125">
        <v>22</v>
      </c>
      <c r="L97" s="125">
        <v>18</v>
      </c>
      <c r="M97" s="125">
        <v>12</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32">SUM(E97:P97)</f>
        <v>158</v>
      </c>
      <c r="R97" s="464" t="e">
        <f>IF('Subcases Monthly'!$D$4="","",VLOOKUP('Subcases Monthly'!$D$4,DataLookUp!$A$4:$AVY$70,1387,FALSE))</f>
        <v>#REF!</v>
      </c>
    </row>
    <row r="98" spans="1:18" ht="20.100000000000001" customHeight="1" x14ac:dyDescent="0.2">
      <c r="A98" s="8"/>
      <c r="B98" s="196"/>
      <c r="C98" s="474" t="s">
        <v>207</v>
      </c>
      <c r="D98" s="475"/>
      <c r="E98" s="127">
        <v>173</v>
      </c>
      <c r="F98" s="128">
        <v>138</v>
      </c>
      <c r="G98" s="128">
        <v>101</v>
      </c>
      <c r="H98" s="128">
        <v>135</v>
      </c>
      <c r="I98" s="128">
        <v>133</v>
      </c>
      <c r="J98" s="128">
        <v>137</v>
      </c>
      <c r="K98" s="128">
        <v>165</v>
      </c>
      <c r="L98" s="128">
        <v>133</v>
      </c>
      <c r="M98" s="128">
        <v>133</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32"/>
        <v>1248</v>
      </c>
      <c r="R98" s="465"/>
    </row>
    <row r="99" spans="1:18" ht="20.100000000000001" customHeight="1" x14ac:dyDescent="0.2">
      <c r="A99" s="8"/>
      <c r="B99" s="196"/>
      <c r="C99" s="474" t="s">
        <v>208</v>
      </c>
      <c r="D99" s="475"/>
      <c r="E99" s="130">
        <v>191</v>
      </c>
      <c r="F99" s="131">
        <v>126</v>
      </c>
      <c r="G99" s="131">
        <v>153</v>
      </c>
      <c r="H99" s="131">
        <v>191</v>
      </c>
      <c r="I99" s="131">
        <v>169</v>
      </c>
      <c r="J99" s="131">
        <v>150</v>
      </c>
      <c r="K99" s="131">
        <v>189</v>
      </c>
      <c r="L99" s="131">
        <v>173</v>
      </c>
      <c r="M99" s="131">
        <v>185</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32"/>
        <v>1527</v>
      </c>
      <c r="R99" s="465"/>
    </row>
    <row r="100" spans="1:18" ht="20.100000000000001" customHeight="1" x14ac:dyDescent="0.2">
      <c r="A100" s="8"/>
      <c r="B100" s="196"/>
      <c r="C100" s="474" t="s">
        <v>209</v>
      </c>
      <c r="D100" s="475"/>
      <c r="E100" s="127">
        <v>9</v>
      </c>
      <c r="F100" s="128">
        <v>10</v>
      </c>
      <c r="G100" s="128">
        <v>10</v>
      </c>
      <c r="H100" s="128">
        <v>11</v>
      </c>
      <c r="I100" s="128">
        <v>10</v>
      </c>
      <c r="J100" s="128">
        <v>16</v>
      </c>
      <c r="K100" s="128">
        <v>11</v>
      </c>
      <c r="L100" s="128">
        <v>11</v>
      </c>
      <c r="M100" s="128">
        <v>10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32"/>
        <v>98</v>
      </c>
      <c r="R100" s="465"/>
    </row>
    <row r="101" spans="1:18" ht="20.100000000000001" customHeight="1" x14ac:dyDescent="0.2">
      <c r="A101" s="8"/>
      <c r="B101" s="196"/>
      <c r="C101" s="474" t="s">
        <v>210</v>
      </c>
      <c r="D101" s="475"/>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v>1</v>
      </c>
      <c r="M101" s="131">
        <v>1</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9</v>
      </c>
      <c r="R101" s="465"/>
    </row>
    <row r="102" spans="1:18" ht="20.100000000000001" customHeight="1" x14ac:dyDescent="0.2">
      <c r="A102" s="8"/>
      <c r="B102" s="196"/>
      <c r="C102" s="474" t="s">
        <v>211</v>
      </c>
      <c r="D102" s="475"/>
      <c r="E102" s="127">
        <v>23</v>
      </c>
      <c r="F102" s="128">
        <v>11</v>
      </c>
      <c r="G102" s="128">
        <v>8</v>
      </c>
      <c r="H102" s="128">
        <v>9</v>
      </c>
      <c r="I102" s="128">
        <v>23</v>
      </c>
      <c r="J102" s="128">
        <v>16</v>
      </c>
      <c r="K102" s="128">
        <v>19</v>
      </c>
      <c r="L102" s="128">
        <v>13</v>
      </c>
      <c r="M102" s="128">
        <v>15</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32"/>
        <v>137</v>
      </c>
      <c r="R102" s="465"/>
    </row>
    <row r="103" spans="1:18" ht="20.100000000000001" customHeight="1" x14ac:dyDescent="0.2">
      <c r="A103" s="8"/>
      <c r="B103" s="196"/>
      <c r="C103" s="474" t="s">
        <v>212</v>
      </c>
      <c r="D103" s="475"/>
      <c r="E103" s="130">
        <v>21</v>
      </c>
      <c r="F103" s="131">
        <v>19</v>
      </c>
      <c r="G103" s="131">
        <v>13</v>
      </c>
      <c r="H103" s="131">
        <v>20</v>
      </c>
      <c r="I103" s="131">
        <v>13</v>
      </c>
      <c r="J103" s="131">
        <v>22</v>
      </c>
      <c r="K103" s="131">
        <v>26</v>
      </c>
      <c r="L103" s="131">
        <v>23</v>
      </c>
      <c r="M103" s="131">
        <v>17</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32"/>
        <v>174</v>
      </c>
      <c r="R103" s="465"/>
    </row>
    <row r="104" spans="1:18" ht="20.100000000000001" customHeight="1" x14ac:dyDescent="0.2">
      <c r="A104" s="8"/>
      <c r="B104" s="196"/>
      <c r="C104" s="474" t="s">
        <v>213</v>
      </c>
      <c r="D104" s="475"/>
      <c r="E104" s="127">
        <v>19</v>
      </c>
      <c r="F104" s="128">
        <v>16</v>
      </c>
      <c r="G104" s="128">
        <v>20</v>
      </c>
      <c r="H104" s="128">
        <v>22</v>
      </c>
      <c r="I104" s="128">
        <v>27</v>
      </c>
      <c r="J104" s="128">
        <v>24</v>
      </c>
      <c r="K104" s="128">
        <v>22</v>
      </c>
      <c r="L104" s="128">
        <v>21</v>
      </c>
      <c r="M104" s="128">
        <v>33</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32"/>
        <v>204</v>
      </c>
      <c r="R104" s="465"/>
    </row>
    <row r="105" spans="1:18" ht="20.100000000000001" customHeight="1" x14ac:dyDescent="0.2">
      <c r="A105" s="8"/>
      <c r="B105" s="196"/>
      <c r="C105" s="474" t="s">
        <v>214</v>
      </c>
      <c r="D105" s="475"/>
      <c r="E105" s="130">
        <v>29</v>
      </c>
      <c r="F105" s="131">
        <v>22</v>
      </c>
      <c r="G105" s="131">
        <v>22</v>
      </c>
      <c r="H105" s="131">
        <v>38</v>
      </c>
      <c r="I105" s="131">
        <v>30</v>
      </c>
      <c r="J105" s="131">
        <v>37</v>
      </c>
      <c r="K105" s="131">
        <v>26</v>
      </c>
      <c r="L105" s="131">
        <v>30</v>
      </c>
      <c r="M105" s="131">
        <v>25</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32"/>
        <v>259</v>
      </c>
      <c r="R105" s="465"/>
    </row>
    <row r="106" spans="1:18" ht="20.100000000000001" customHeight="1" x14ac:dyDescent="0.2">
      <c r="A106" s="8"/>
      <c r="B106" s="196"/>
      <c r="C106" s="474" t="s">
        <v>215</v>
      </c>
      <c r="D106" s="475"/>
      <c r="E106" s="127">
        <v>43</v>
      </c>
      <c r="F106" s="128">
        <v>40</v>
      </c>
      <c r="G106" s="128">
        <v>52</v>
      </c>
      <c r="H106" s="128">
        <v>44</v>
      </c>
      <c r="I106" s="128">
        <v>29</v>
      </c>
      <c r="J106" s="128">
        <v>43</v>
      </c>
      <c r="K106" s="128">
        <v>51</v>
      </c>
      <c r="L106" s="128">
        <v>40</v>
      </c>
      <c r="M106" s="128">
        <v>49</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32"/>
        <v>391</v>
      </c>
      <c r="R106" s="465"/>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66"/>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463</v>
      </c>
      <c r="M108" s="251">
        <f t="shared" si="33"/>
        <v>480</v>
      </c>
      <c r="N108" s="251">
        <f t="shared" si="33"/>
        <v>0</v>
      </c>
      <c r="O108" s="251">
        <f t="shared" si="33"/>
        <v>0</v>
      </c>
      <c r="P108" s="252">
        <f t="shared" si="33"/>
        <v>0</v>
      </c>
      <c r="Q108" s="152">
        <f t="shared" si="32"/>
        <v>4205</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6" t="s">
        <v>216</v>
      </c>
      <c r="D111" s="477"/>
      <c r="E111" s="124">
        <v>15</v>
      </c>
      <c r="F111" s="125">
        <v>12</v>
      </c>
      <c r="G111" s="125">
        <v>14</v>
      </c>
      <c r="H111" s="125">
        <v>15</v>
      </c>
      <c r="I111" s="125">
        <v>19</v>
      </c>
      <c r="J111" s="125">
        <v>21</v>
      </c>
      <c r="K111" s="125">
        <v>22</v>
      </c>
      <c r="L111" s="125">
        <v>12</v>
      </c>
      <c r="M111" s="125">
        <v>17</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35">SUM(E111:P111)</f>
        <v>147</v>
      </c>
      <c r="R111" s="464" t="e">
        <f>IF('Subcases Monthly'!$D$4="","",VLOOKUP('Subcases Monthly'!$D$4,DataLookUp!$A$4:$AVY$70,1388,FALSE))</f>
        <v>#REF!</v>
      </c>
    </row>
    <row r="112" spans="1:18" ht="20.100000000000001" customHeight="1" x14ac:dyDescent="0.2">
      <c r="B112" s="196"/>
      <c r="C112" s="474" t="s">
        <v>217</v>
      </c>
      <c r="D112" s="475"/>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v>1</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1</v>
      </c>
      <c r="R112" s="465"/>
    </row>
    <row r="113" spans="2:18" ht="20.100000000000001" customHeight="1" x14ac:dyDescent="0.2">
      <c r="B113" s="196"/>
      <c r="C113" s="474" t="s">
        <v>218</v>
      </c>
      <c r="D113" s="475"/>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35"/>
        <v>3</v>
      </c>
      <c r="R113" s="465"/>
    </row>
    <row r="114" spans="2:18" ht="20.100000000000001" customHeight="1" x14ac:dyDescent="0.2">
      <c r="B114" s="196"/>
      <c r="C114" s="474" t="s">
        <v>219</v>
      </c>
      <c r="D114" s="475"/>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35"/>
        <v>4</v>
      </c>
      <c r="R114" s="465"/>
    </row>
    <row r="115" spans="2:18" ht="20.100000000000001" customHeight="1" x14ac:dyDescent="0.2">
      <c r="B115" s="196"/>
      <c r="C115" s="474" t="s">
        <v>220</v>
      </c>
      <c r="D115" s="475"/>
      <c r="E115" s="130">
        <v>0</v>
      </c>
      <c r="F115" s="131">
        <v>2</v>
      </c>
      <c r="G115" s="131">
        <v>3</v>
      </c>
      <c r="H115" s="131">
        <v>3</v>
      </c>
      <c r="I115" s="131">
        <v>19</v>
      </c>
      <c r="J115" s="131">
        <v>8</v>
      </c>
      <c r="K115" s="131">
        <v>6</v>
      </c>
      <c r="L115" s="131">
        <f>IF('Subcases Monthly'!$D$4="","",VLOOKUP('Subcases Monthly'!$D$4,DataLookUp!$A$4:$AVY$70,1153,FALSE))</f>
        <v>0</v>
      </c>
      <c r="M115" s="131">
        <v>9</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50</v>
      </c>
      <c r="R115" s="465"/>
    </row>
    <row r="116" spans="2:18" ht="20.100000000000001" customHeight="1" x14ac:dyDescent="0.2">
      <c r="B116" s="196"/>
      <c r="C116" s="474" t="s">
        <v>164</v>
      </c>
      <c r="D116" s="475"/>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65"/>
    </row>
    <row r="117" spans="2:18" ht="20.100000000000001" customHeight="1" x14ac:dyDescent="0.2">
      <c r="B117" s="196"/>
      <c r="C117" s="474" t="s">
        <v>225</v>
      </c>
      <c r="D117" s="475"/>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65"/>
    </row>
    <row r="118" spans="2:18" ht="20.100000000000001" customHeight="1" x14ac:dyDescent="0.2">
      <c r="B118" s="196"/>
      <c r="C118" s="474" t="s">
        <v>221</v>
      </c>
      <c r="D118" s="475"/>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65"/>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66"/>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12</v>
      </c>
      <c r="M120" s="251">
        <f t="shared" si="36"/>
        <v>27</v>
      </c>
      <c r="N120" s="251">
        <f t="shared" si="36"/>
        <v>0</v>
      </c>
      <c r="O120" s="251">
        <f t="shared" si="36"/>
        <v>0</v>
      </c>
      <c r="P120" s="252">
        <f t="shared" si="36"/>
        <v>0</v>
      </c>
      <c r="Q120" s="152">
        <f t="shared" si="35"/>
        <v>205</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89" t="s">
        <v>223</v>
      </c>
      <c r="D123" s="490"/>
      <c r="E123" s="153">
        <v>3264</v>
      </c>
      <c r="F123" s="154">
        <v>2681</v>
      </c>
      <c r="G123" s="154">
        <v>3001</v>
      </c>
      <c r="H123" s="154">
        <v>4020</v>
      </c>
      <c r="I123" s="154">
        <v>3882</v>
      </c>
      <c r="J123" s="154">
        <v>3887</v>
      </c>
      <c r="K123" s="154">
        <v>3637</v>
      </c>
      <c r="L123" s="154">
        <v>4169</v>
      </c>
      <c r="M123" s="154">
        <v>3767</v>
      </c>
      <c r="N123" s="154">
        <f>IF('Subcases Monthly'!$D$4="","",VLOOKUP('Subcases Monthly'!$D$4,DataLookUp!$A$4:$AVY$70,1233,FALSE))</f>
        <v>0</v>
      </c>
      <c r="O123" s="154">
        <f>IF('Subcases Monthly'!$D$4="","",VLOOKUP('Subcases Monthly'!$D$4,DataLookUp!$A$4:$AVY$70,1234,FALSE))</f>
        <v>0</v>
      </c>
      <c r="P123" s="155">
        <f>IF('Subcases Monthly'!$D$4="","",VLOOKUP('Subcases Monthly'!$D$4,DataLookUp!$A$4:$AVY$70,1235,FALSE))</f>
        <v>0</v>
      </c>
      <c r="Q123" s="133">
        <f t="shared" ref="Q123:Q124" si="38">SUM(E123:P123)</f>
        <v>32308</v>
      </c>
      <c r="R123" s="464" t="e">
        <f>IF('Subcases Monthly'!$D$4="","",VLOOKUP('Subcases Monthly'!$D$4,DataLookUp!$A$4:$AVY$70,1389,FALSE))</f>
        <v>#REF!</v>
      </c>
    </row>
    <row r="124" spans="2:18" ht="20.100000000000001" customHeight="1" thickTop="1" thickBot="1" x14ac:dyDescent="0.25">
      <c r="B124" s="200"/>
      <c r="C124" s="487" t="s">
        <v>397</v>
      </c>
      <c r="D124" s="488"/>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4169</v>
      </c>
      <c r="M124" s="251">
        <f t="shared" si="39"/>
        <v>3767</v>
      </c>
      <c r="N124" s="251">
        <f t="shared" si="39"/>
        <v>0</v>
      </c>
      <c r="O124" s="251">
        <f t="shared" si="39"/>
        <v>0</v>
      </c>
      <c r="P124" s="252">
        <f t="shared" si="39"/>
        <v>0</v>
      </c>
      <c r="Q124" s="152">
        <f t="shared" si="38"/>
        <v>32308</v>
      </c>
      <c r="R124" s="465"/>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5"/>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5"/>
    </row>
    <row r="127" spans="2:18" s="9" customFormat="1" ht="14.25" thickBot="1" x14ac:dyDescent="0.25">
      <c r="B127" s="491" t="s">
        <v>378</v>
      </c>
      <c r="C127" s="491"/>
      <c r="Q127" s="461"/>
      <c r="R127" s="466"/>
    </row>
    <row r="128" spans="2:18" s="215" customFormat="1" ht="13.5" x14ac:dyDescent="0.2">
      <c r="B128" s="486" t="s">
        <v>407</v>
      </c>
      <c r="C128" s="486"/>
      <c r="D128" s="486"/>
      <c r="E128" s="486"/>
      <c r="F128" s="486"/>
      <c r="G128" s="486"/>
      <c r="H128" s="486"/>
      <c r="I128" s="486"/>
      <c r="J128" s="486"/>
      <c r="K128" s="486"/>
      <c r="L128" s="486"/>
      <c r="M128" s="486"/>
      <c r="N128" s="486"/>
      <c r="O128" s="486"/>
      <c r="P128" s="486"/>
      <c r="Q128" s="486"/>
    </row>
    <row r="129" spans="1:18" s="215" customFormat="1" ht="13.5" x14ac:dyDescent="0.2">
      <c r="B129" s="486"/>
      <c r="C129" s="486"/>
      <c r="D129" s="486"/>
      <c r="E129" s="486"/>
      <c r="F129" s="486"/>
      <c r="G129" s="486"/>
      <c r="H129" s="486"/>
      <c r="I129" s="486"/>
      <c r="J129" s="486"/>
      <c r="K129" s="486"/>
      <c r="L129" s="486"/>
      <c r="M129" s="486"/>
      <c r="N129" s="486"/>
      <c r="O129" s="486"/>
      <c r="P129" s="486"/>
      <c r="Q129" s="486"/>
    </row>
    <row r="130" spans="1:18" s="215" customFormat="1" ht="15" x14ac:dyDescent="0.2">
      <c r="A130" s="216"/>
      <c r="B130" s="485" t="s">
        <v>402</v>
      </c>
      <c r="C130" s="485"/>
      <c r="D130" s="485"/>
      <c r="E130" s="485"/>
      <c r="F130" s="485"/>
      <c r="G130" s="485"/>
      <c r="H130" s="485"/>
      <c r="I130" s="485"/>
      <c r="J130" s="485"/>
      <c r="K130" s="485"/>
      <c r="L130" s="485"/>
      <c r="M130" s="485"/>
      <c r="N130" s="485"/>
      <c r="O130" s="485"/>
      <c r="P130" s="485"/>
      <c r="Q130" s="485"/>
      <c r="R130" s="9"/>
    </row>
    <row r="131" spans="1:18" s="215" customFormat="1" ht="15" x14ac:dyDescent="0.2">
      <c r="A131" s="216"/>
      <c r="B131" s="485" t="s">
        <v>403</v>
      </c>
      <c r="C131" s="485"/>
      <c r="D131" s="485"/>
      <c r="E131" s="485"/>
      <c r="F131" s="485"/>
      <c r="G131" s="485"/>
      <c r="H131" s="485"/>
      <c r="I131" s="485"/>
      <c r="J131" s="485"/>
      <c r="K131" s="485"/>
      <c r="L131" s="485"/>
      <c r="M131" s="485"/>
      <c r="N131" s="485"/>
      <c r="O131" s="485"/>
      <c r="P131" s="485"/>
      <c r="Q131" s="485"/>
      <c r="R131" s="9"/>
    </row>
    <row r="132" spans="1:18" s="215" customFormat="1" ht="15" x14ac:dyDescent="0.2">
      <c r="A132" s="216"/>
      <c r="B132" s="485" t="s">
        <v>408</v>
      </c>
      <c r="C132" s="485"/>
      <c r="D132" s="485"/>
      <c r="E132" s="485"/>
      <c r="F132" s="485"/>
      <c r="G132" s="485"/>
      <c r="H132" s="485"/>
      <c r="I132" s="485"/>
      <c r="J132" s="485"/>
      <c r="K132" s="485"/>
      <c r="L132" s="485"/>
      <c r="M132" s="485"/>
      <c r="N132" s="485"/>
      <c r="O132" s="485"/>
      <c r="P132" s="485"/>
      <c r="Q132" s="485"/>
    </row>
    <row r="133" spans="1:18" s="9" customFormat="1" ht="13.5" x14ac:dyDescent="0.25">
      <c r="B133" s="462" t="s">
        <v>1909</v>
      </c>
      <c r="C133" s="462"/>
      <c r="D133" s="462"/>
      <c r="E133" s="462"/>
      <c r="F133" s="462"/>
      <c r="G133" s="462"/>
      <c r="H133" s="462"/>
      <c r="I133" s="462"/>
      <c r="J133" s="462"/>
      <c r="K133" s="462"/>
      <c r="L133" s="462"/>
      <c r="M133" s="462"/>
      <c r="N133" s="462"/>
      <c r="O133" s="462"/>
      <c r="P133" s="462"/>
      <c r="Q133" s="462"/>
    </row>
  </sheetData>
  <sheetProtection algorithmName="SHA-512" hashValue="42PP2kCcIYO95VV9VMOGidtwzX5S7PRjY/liTkYqqid25qiiT8hrCZHiwae+tmC2wfQyab8gqpYsMCbGz6Gl1A==" saltValue="ENUS/jqxtmV9c1bS75mYTA==" spinCount="100000" sheet="1" objects="1" scenarios="1" formatColumns="0" formatRows="0"/>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8" t="s">
        <v>304</v>
      </c>
      <c r="B1" s="478"/>
      <c r="C1" s="478"/>
      <c r="D1" s="478"/>
      <c r="E1" s="478"/>
      <c r="F1" s="478"/>
    </row>
    <row r="2" spans="1:17" ht="24" customHeight="1" x14ac:dyDescent="0.2">
      <c r="A2" s="478" t="str">
        <f>'Subcases Monthly'!A2</f>
        <v>County Fiscal Year 2023-2024</v>
      </c>
      <c r="B2" s="478"/>
      <c r="C2" s="478"/>
      <c r="D2" s="478"/>
    </row>
    <row r="3" spans="1:17" ht="24" customHeight="1" x14ac:dyDescent="0.2">
      <c r="N3"/>
      <c r="O3"/>
    </row>
    <row r="4" spans="1:17" ht="21" customHeight="1" x14ac:dyDescent="0.2">
      <c r="A4" s="6"/>
      <c r="C4" s="21" t="s">
        <v>2</v>
      </c>
      <c r="D4" s="502" t="str">
        <f>IF('Subcases Monthly'!D4="","",'Subcases Monthly'!D4)</f>
        <v>Brevard</v>
      </c>
      <c r="E4" s="502"/>
      <c r="F4" s="6"/>
      <c r="G4" s="21" t="s">
        <v>226</v>
      </c>
      <c r="H4" s="502" t="str">
        <f>IF('Subcases Monthly'!H4="","",'Subcases Monthly'!H4)</f>
        <v>June</v>
      </c>
      <c r="I4" s="502"/>
      <c r="K4" s="21" t="s">
        <v>3</v>
      </c>
      <c r="L4" s="91">
        <f>IF('Subcases Monthly'!L4="","",'Subcases Monthly'!L4)</f>
        <v>1</v>
      </c>
      <c r="N4"/>
      <c r="O4" s="463" t="str">
        <f>'Subcases Monthly'!Q4</f>
        <v>CCOC Form Version 1
Created: 10/1/2023</v>
      </c>
      <c r="P4" s="463"/>
      <c r="Q4" s="463"/>
    </row>
    <row r="5" spans="1:17" ht="21" customHeight="1" thickBot="1" x14ac:dyDescent="0.35">
      <c r="A5" s="6"/>
      <c r="C5" s="21" t="s">
        <v>73</v>
      </c>
      <c r="D5" s="503" t="str">
        <f>IF('Subcases Monthly'!D5="","",'Subcases Monthly'!D5)</f>
        <v xml:space="preserve">Carol Vail </v>
      </c>
      <c r="E5" s="503"/>
      <c r="F5" s="6"/>
      <c r="N5" s="7"/>
      <c r="O5" s="501"/>
      <c r="P5" s="501"/>
      <c r="Q5" s="501"/>
    </row>
    <row r="6" spans="1:17" ht="26.25" customHeight="1" thickBot="1" x14ac:dyDescent="0.25">
      <c r="A6" s="6"/>
      <c r="C6" s="21" t="s">
        <v>84</v>
      </c>
      <c r="D6" s="502" t="str">
        <f>IF('Subcases Monthly'!D6="","",'Subcases Monthly'!D6)</f>
        <v>carol.vail@brevardclerk.us</v>
      </c>
      <c r="E6" s="502"/>
      <c r="F6" s="6"/>
      <c r="K6"/>
      <c r="L6"/>
      <c r="M6"/>
      <c r="N6"/>
      <c r="O6" s="496" t="str">
        <f>"Total Number of Financial Receipts
for the CFY "&amp;RIGHT(A2,9)&amp;":"</f>
        <v>Total Number of Financial Receipts
for the CFY 2023-2024:</v>
      </c>
      <c r="P6" s="497"/>
      <c r="Q6" s="498"/>
    </row>
    <row r="7" spans="1:17" ht="27" customHeight="1" thickBot="1" x14ac:dyDescent="0.25">
      <c r="A7" s="6"/>
      <c r="J7" s="499"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499"/>
      <c r="L7" s="499"/>
      <c r="M7" s="499"/>
      <c r="N7" s="500"/>
      <c r="O7" s="504" t="e">
        <f>IF('Subcases Monthly'!$D$4="","",VLOOKUP('Subcases Monthly'!$D$4,'Timeliness Performance'!$A$4:$DQ$70,122,FALSE))</f>
        <v>#REF!</v>
      </c>
      <c r="P7" s="505"/>
      <c r="Q7" s="506"/>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4" t="s">
        <v>132</v>
      </c>
      <c r="C10" s="476"/>
      <c r="D10" s="476"/>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603</v>
      </c>
      <c r="M10" s="157">
        <f>'Subcases Monthly'!M15</f>
        <v>578</v>
      </c>
      <c r="N10" s="157">
        <f>'Subcases Monthly'!N15</f>
        <v>0</v>
      </c>
      <c r="O10" s="157">
        <f>'Subcases Monthly'!O15</f>
        <v>0</v>
      </c>
      <c r="P10" s="158">
        <f>'Subcases Monthly'!P15</f>
        <v>0</v>
      </c>
      <c r="Q10" s="159">
        <f>SUM(E10:P10)</f>
        <v>5155</v>
      </c>
    </row>
    <row r="11" spans="1:17" ht="19.5" customHeight="1" x14ac:dyDescent="0.2">
      <c r="B11" s="492" t="s">
        <v>133</v>
      </c>
      <c r="C11" s="474"/>
      <c r="D11" s="474"/>
      <c r="E11" s="160">
        <f>'Subcases Monthly'!E23</f>
        <v>636</v>
      </c>
      <c r="F11" s="161">
        <f>'Subcases Monthly'!F23</f>
        <v>591</v>
      </c>
      <c r="G11" s="161">
        <f>'Subcases Monthly'!G23</f>
        <v>667</v>
      </c>
      <c r="H11" s="161">
        <f>'Subcases Monthly'!H23</f>
        <v>633</v>
      </c>
      <c r="I11" s="161">
        <f>'Subcases Monthly'!I23</f>
        <v>582</v>
      </c>
      <c r="J11" s="161">
        <f>'Subcases Monthly'!J23</f>
        <v>589</v>
      </c>
      <c r="K11" s="161">
        <f>'Subcases Monthly'!K23</f>
        <v>669</v>
      </c>
      <c r="L11" s="161">
        <f>'Subcases Monthly'!L23</f>
        <v>624</v>
      </c>
      <c r="M11" s="161">
        <f>'Subcases Monthly'!M23</f>
        <v>651</v>
      </c>
      <c r="N11" s="161">
        <f>'Subcases Monthly'!N23</f>
        <v>0</v>
      </c>
      <c r="O11" s="161">
        <f>'Subcases Monthly'!O23</f>
        <v>0</v>
      </c>
      <c r="P11" s="162">
        <f>'Subcases Monthly'!P23</f>
        <v>0</v>
      </c>
      <c r="Q11" s="163">
        <f t="shared" ref="Q11:Q19" si="1">SUM(E11:P11)</f>
        <v>5642</v>
      </c>
    </row>
    <row r="12" spans="1:17" ht="19.5" customHeight="1" x14ac:dyDescent="0.2">
      <c r="B12" s="492" t="s">
        <v>140</v>
      </c>
      <c r="C12" s="474"/>
      <c r="D12" s="474"/>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105</v>
      </c>
      <c r="M12" s="161">
        <f>'Subcases Monthly'!M30</f>
        <v>75</v>
      </c>
      <c r="N12" s="161">
        <f>'Subcases Monthly'!N30</f>
        <v>0</v>
      </c>
      <c r="O12" s="161">
        <f>'Subcases Monthly'!O30</f>
        <v>0</v>
      </c>
      <c r="P12" s="162">
        <f>'Subcases Monthly'!P30</f>
        <v>0</v>
      </c>
      <c r="Q12" s="163">
        <f t="shared" si="1"/>
        <v>819</v>
      </c>
    </row>
    <row r="13" spans="1:17" ht="19.5" customHeight="1" x14ac:dyDescent="0.2">
      <c r="B13" s="492" t="s">
        <v>137</v>
      </c>
      <c r="C13" s="474"/>
      <c r="D13" s="474"/>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855</v>
      </c>
      <c r="M13" s="161">
        <f>'Subcases Monthly'!M36</f>
        <v>852</v>
      </c>
      <c r="N13" s="161">
        <f>'Subcases Monthly'!N36</f>
        <v>0</v>
      </c>
      <c r="O13" s="161">
        <f>'Subcases Monthly'!O36</f>
        <v>0</v>
      </c>
      <c r="P13" s="162">
        <f>'Subcases Monthly'!P36</f>
        <v>0</v>
      </c>
      <c r="Q13" s="163">
        <f t="shared" si="1"/>
        <v>7002</v>
      </c>
    </row>
    <row r="14" spans="1:17" ht="19.5" customHeight="1" x14ac:dyDescent="0.2">
      <c r="B14" s="492" t="s">
        <v>134</v>
      </c>
      <c r="C14" s="474"/>
      <c r="D14" s="474"/>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355</v>
      </c>
      <c r="M14" s="161">
        <f>'Subcases Monthly'!M60</f>
        <v>309</v>
      </c>
      <c r="N14" s="161">
        <f>'Subcases Monthly'!N60</f>
        <v>0</v>
      </c>
      <c r="O14" s="161">
        <f>'Subcases Monthly'!O60</f>
        <v>0</v>
      </c>
      <c r="P14" s="162">
        <f>'Subcases Monthly'!P60</f>
        <v>0</v>
      </c>
      <c r="Q14" s="163">
        <f t="shared" si="1"/>
        <v>2597</v>
      </c>
    </row>
    <row r="15" spans="1:17" ht="19.5" customHeight="1" x14ac:dyDescent="0.2">
      <c r="B15" s="492" t="s">
        <v>135</v>
      </c>
      <c r="C15" s="474"/>
      <c r="D15" s="474"/>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1226</v>
      </c>
      <c r="M15" s="161">
        <f>'Subcases Monthly'!M74</f>
        <v>1132</v>
      </c>
      <c r="N15" s="161">
        <f>'Subcases Monthly'!N74</f>
        <v>0</v>
      </c>
      <c r="O15" s="161">
        <f>'Subcases Monthly'!O74</f>
        <v>0</v>
      </c>
      <c r="P15" s="162">
        <f>'Subcases Monthly'!P74</f>
        <v>0</v>
      </c>
      <c r="Q15" s="163">
        <f t="shared" si="1"/>
        <v>9064</v>
      </c>
    </row>
    <row r="16" spans="1:17" ht="19.5" customHeight="1" x14ac:dyDescent="0.2">
      <c r="B16" s="492" t="s">
        <v>136</v>
      </c>
      <c r="C16" s="474"/>
      <c r="D16" s="474"/>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631</v>
      </c>
      <c r="M16" s="161">
        <f>'Subcases Monthly'!M94</f>
        <v>570</v>
      </c>
      <c r="N16" s="161">
        <f>'Subcases Monthly'!N94</f>
        <v>0</v>
      </c>
      <c r="O16" s="161">
        <f>'Subcases Monthly'!O94</f>
        <v>0</v>
      </c>
      <c r="P16" s="162">
        <f>'Subcases Monthly'!P94</f>
        <v>0</v>
      </c>
      <c r="Q16" s="163">
        <f t="shared" si="1"/>
        <v>5507</v>
      </c>
    </row>
    <row r="17" spans="1:17" ht="19.5" customHeight="1" x14ac:dyDescent="0.2">
      <c r="B17" s="492" t="s">
        <v>229</v>
      </c>
      <c r="C17" s="474"/>
      <c r="D17" s="474"/>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463</v>
      </c>
      <c r="M17" s="161">
        <f>'Subcases Monthly'!M108</f>
        <v>480</v>
      </c>
      <c r="N17" s="161">
        <f>'Subcases Monthly'!N108</f>
        <v>0</v>
      </c>
      <c r="O17" s="161">
        <f>'Subcases Monthly'!O108</f>
        <v>0</v>
      </c>
      <c r="P17" s="162">
        <f>'Subcases Monthly'!P108</f>
        <v>0</v>
      </c>
      <c r="Q17" s="163">
        <f t="shared" si="1"/>
        <v>4205</v>
      </c>
    </row>
    <row r="18" spans="1:17" ht="19.5" customHeight="1" x14ac:dyDescent="0.2">
      <c r="B18" s="492" t="s">
        <v>139</v>
      </c>
      <c r="C18" s="474"/>
      <c r="D18" s="474"/>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12</v>
      </c>
      <c r="M18" s="161">
        <f>'Subcases Monthly'!M120</f>
        <v>27</v>
      </c>
      <c r="N18" s="161">
        <f>'Subcases Monthly'!N120</f>
        <v>0</v>
      </c>
      <c r="O18" s="161">
        <f>'Subcases Monthly'!O120</f>
        <v>0</v>
      </c>
      <c r="P18" s="162">
        <f>'Subcases Monthly'!P120</f>
        <v>0</v>
      </c>
      <c r="Q18" s="163">
        <f t="shared" si="1"/>
        <v>205</v>
      </c>
    </row>
    <row r="19" spans="1:17" ht="19.5" customHeight="1" thickBot="1" x14ac:dyDescent="0.25">
      <c r="B19" s="493"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4169</v>
      </c>
      <c r="M19" s="165">
        <f>'Subcases Monthly'!M124</f>
        <v>3767</v>
      </c>
      <c r="N19" s="165">
        <f>'Subcases Monthly'!N124</f>
        <v>0</v>
      </c>
      <c r="O19" s="165">
        <f>'Subcases Monthly'!O124</f>
        <v>0</v>
      </c>
      <c r="P19" s="166">
        <f>'Subcases Monthly'!P124</f>
        <v>0</v>
      </c>
      <c r="Q19" s="167">
        <f t="shared" si="1"/>
        <v>32308</v>
      </c>
    </row>
    <row r="20" spans="1:17" s="13" customFormat="1" ht="19.5" customHeight="1" thickTop="1" thickBot="1" x14ac:dyDescent="0.25">
      <c r="B20" s="495" t="s">
        <v>380</v>
      </c>
      <c r="C20" s="472"/>
      <c r="D20" s="473"/>
      <c r="E20" s="217">
        <f t="shared" ref="E20:P20" si="2">SUM(E10:E19)</f>
        <v>7681</v>
      </c>
      <c r="F20" s="218">
        <f t="shared" si="2"/>
        <v>6622</v>
      </c>
      <c r="G20" s="218">
        <f t="shared" si="2"/>
        <v>6957</v>
      </c>
      <c r="H20" s="218">
        <f t="shared" si="2"/>
        <v>8475</v>
      </c>
      <c r="I20" s="218">
        <f t="shared" si="2"/>
        <v>8280</v>
      </c>
      <c r="J20" s="218">
        <f t="shared" si="2"/>
        <v>8512</v>
      </c>
      <c r="K20" s="218">
        <f t="shared" si="2"/>
        <v>8493</v>
      </c>
      <c r="L20" s="218">
        <f t="shared" si="2"/>
        <v>9043</v>
      </c>
      <c r="M20" s="218">
        <f t="shared" si="2"/>
        <v>8441</v>
      </c>
      <c r="N20" s="218">
        <f t="shared" si="2"/>
        <v>0</v>
      </c>
      <c r="O20" s="218">
        <f t="shared" si="2"/>
        <v>0</v>
      </c>
      <c r="P20" s="268">
        <f t="shared" si="2"/>
        <v>0</v>
      </c>
      <c r="Q20" s="269">
        <f t="shared" ref="Q20" si="3">SUM(E20:P20)</f>
        <v>72504</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4" t="s">
        <v>132</v>
      </c>
      <c r="C23" s="476"/>
      <c r="D23" s="476"/>
      <c r="E23" s="259">
        <v>878</v>
      </c>
      <c r="F23" s="179">
        <v>768</v>
      </c>
      <c r="G23" s="179">
        <v>887</v>
      </c>
      <c r="H23" s="179">
        <v>898</v>
      </c>
      <c r="I23" s="179">
        <v>998</v>
      </c>
      <c r="J23" s="179">
        <v>791</v>
      </c>
      <c r="K23" s="179">
        <v>810</v>
      </c>
      <c r="L23" s="179">
        <v>838</v>
      </c>
      <c r="M23" s="179">
        <v>948</v>
      </c>
      <c r="N23" s="179"/>
      <c r="O23" s="179"/>
      <c r="P23" s="260"/>
      <c r="Q23" s="159">
        <f>SUM(E23:P23)</f>
        <v>7816</v>
      </c>
    </row>
    <row r="24" spans="1:17" ht="19.5" customHeight="1" x14ac:dyDescent="0.2">
      <c r="B24" s="492" t="s">
        <v>133</v>
      </c>
      <c r="C24" s="474"/>
      <c r="D24" s="474"/>
      <c r="E24" s="144">
        <v>114</v>
      </c>
      <c r="F24" s="145">
        <v>110</v>
      </c>
      <c r="G24" s="145">
        <v>100</v>
      </c>
      <c r="H24" s="145">
        <v>126</v>
      </c>
      <c r="I24" s="145">
        <v>129</v>
      </c>
      <c r="J24" s="145">
        <v>122</v>
      </c>
      <c r="K24" s="145">
        <v>115</v>
      </c>
      <c r="L24" s="145">
        <v>121</v>
      </c>
      <c r="M24" s="145">
        <v>146</v>
      </c>
      <c r="N24" s="145"/>
      <c r="O24" s="145"/>
      <c r="P24" s="261"/>
      <c r="Q24" s="163">
        <f t="shared" ref="Q24:Q33" si="5">SUM(E24:P24)</f>
        <v>1083</v>
      </c>
    </row>
    <row r="25" spans="1:17" ht="19.5" customHeight="1" x14ac:dyDescent="0.2">
      <c r="B25" s="492" t="s">
        <v>140</v>
      </c>
      <c r="C25" s="474"/>
      <c r="D25" s="474"/>
      <c r="E25" s="262">
        <v>221</v>
      </c>
      <c r="F25" s="263">
        <v>224</v>
      </c>
      <c r="G25" s="263">
        <v>93</v>
      </c>
      <c r="H25" s="263">
        <v>161</v>
      </c>
      <c r="I25" s="263">
        <v>128</v>
      </c>
      <c r="J25" s="263">
        <v>164</v>
      </c>
      <c r="K25" s="263">
        <v>153</v>
      </c>
      <c r="L25" s="263">
        <v>129</v>
      </c>
      <c r="M25" s="263">
        <v>188</v>
      </c>
      <c r="N25" s="263"/>
      <c r="O25" s="263"/>
      <c r="P25" s="264"/>
      <c r="Q25" s="163">
        <f t="shared" si="5"/>
        <v>1461</v>
      </c>
    </row>
    <row r="26" spans="1:17" ht="19.5" customHeight="1" x14ac:dyDescent="0.2">
      <c r="B26" s="492" t="s">
        <v>137</v>
      </c>
      <c r="C26" s="474"/>
      <c r="D26" s="474"/>
      <c r="E26" s="144">
        <v>179</v>
      </c>
      <c r="F26" s="145">
        <v>179</v>
      </c>
      <c r="G26" s="145">
        <v>131</v>
      </c>
      <c r="H26" s="145">
        <v>172</v>
      </c>
      <c r="I26" s="145">
        <v>163</v>
      </c>
      <c r="J26" s="145">
        <v>137</v>
      </c>
      <c r="K26" s="145">
        <v>171</v>
      </c>
      <c r="L26" s="145">
        <v>149</v>
      </c>
      <c r="M26" s="145">
        <v>222</v>
      </c>
      <c r="N26" s="145"/>
      <c r="O26" s="145"/>
      <c r="P26" s="261"/>
      <c r="Q26" s="163">
        <f t="shared" si="5"/>
        <v>1503</v>
      </c>
    </row>
    <row r="27" spans="1:17" ht="19.5" customHeight="1" x14ac:dyDescent="0.2">
      <c r="B27" s="492" t="s">
        <v>134</v>
      </c>
      <c r="C27" s="474"/>
      <c r="D27" s="474"/>
      <c r="E27" s="262">
        <v>153</v>
      </c>
      <c r="F27" s="263">
        <v>110</v>
      </c>
      <c r="G27" s="263">
        <v>109</v>
      </c>
      <c r="H27" s="263">
        <v>128</v>
      </c>
      <c r="I27" s="263">
        <v>129</v>
      </c>
      <c r="J27" s="263">
        <v>124</v>
      </c>
      <c r="K27" s="263">
        <v>121</v>
      </c>
      <c r="L27" s="263">
        <v>122</v>
      </c>
      <c r="M27" s="263">
        <v>111</v>
      </c>
      <c r="N27" s="263"/>
      <c r="O27" s="263"/>
      <c r="P27" s="264"/>
      <c r="Q27" s="163">
        <f t="shared" si="5"/>
        <v>1107</v>
      </c>
    </row>
    <row r="28" spans="1:17" ht="19.5" customHeight="1" x14ac:dyDescent="0.2">
      <c r="B28" s="492" t="s">
        <v>135</v>
      </c>
      <c r="C28" s="474"/>
      <c r="D28" s="474"/>
      <c r="E28" s="144">
        <v>411</v>
      </c>
      <c r="F28" s="145">
        <v>425</v>
      </c>
      <c r="G28" s="145">
        <v>400</v>
      </c>
      <c r="H28" s="145">
        <v>494</v>
      </c>
      <c r="I28" s="145">
        <v>472</v>
      </c>
      <c r="J28" s="145">
        <v>447</v>
      </c>
      <c r="K28" s="145">
        <v>513</v>
      </c>
      <c r="L28" s="145">
        <v>472</v>
      </c>
      <c r="M28" s="145">
        <v>442</v>
      </c>
      <c r="N28" s="145"/>
      <c r="O28" s="145"/>
      <c r="P28" s="261"/>
      <c r="Q28" s="163">
        <f t="shared" si="5"/>
        <v>4076</v>
      </c>
    </row>
    <row r="29" spans="1:17" ht="19.5" customHeight="1" x14ac:dyDescent="0.2">
      <c r="B29" s="492" t="s">
        <v>136</v>
      </c>
      <c r="C29" s="474"/>
      <c r="D29" s="474"/>
      <c r="E29" s="262">
        <v>256</v>
      </c>
      <c r="F29" s="263">
        <v>223</v>
      </c>
      <c r="G29" s="263">
        <v>211</v>
      </c>
      <c r="H29" s="263">
        <v>284</v>
      </c>
      <c r="I29" s="263">
        <v>282</v>
      </c>
      <c r="J29" s="263">
        <v>308</v>
      </c>
      <c r="K29" s="263">
        <v>343</v>
      </c>
      <c r="L29" s="263">
        <v>374</v>
      </c>
      <c r="M29" s="263">
        <v>274</v>
      </c>
      <c r="N29" s="263"/>
      <c r="O29" s="263"/>
      <c r="P29" s="264"/>
      <c r="Q29" s="163">
        <f t="shared" si="5"/>
        <v>2555</v>
      </c>
    </row>
    <row r="30" spans="1:17" ht="19.5" customHeight="1" x14ac:dyDescent="0.2">
      <c r="B30" s="492" t="s">
        <v>229</v>
      </c>
      <c r="C30" s="474"/>
      <c r="D30" s="474"/>
      <c r="E30" s="144">
        <v>568</v>
      </c>
      <c r="F30" s="145">
        <v>377</v>
      </c>
      <c r="G30" s="145">
        <v>359</v>
      </c>
      <c r="H30" s="145">
        <v>530</v>
      </c>
      <c r="I30" s="145">
        <v>650</v>
      </c>
      <c r="J30" s="145">
        <v>380</v>
      </c>
      <c r="K30" s="145">
        <v>496</v>
      </c>
      <c r="L30" s="145">
        <v>514</v>
      </c>
      <c r="M30" s="145">
        <v>568</v>
      </c>
      <c r="N30" s="145"/>
      <c r="O30" s="145"/>
      <c r="P30" s="261"/>
      <c r="Q30" s="163">
        <f t="shared" si="5"/>
        <v>4442</v>
      </c>
    </row>
    <row r="31" spans="1:17" ht="19.5" customHeight="1" thickBot="1" x14ac:dyDescent="0.25">
      <c r="B31" s="492" t="s">
        <v>139</v>
      </c>
      <c r="C31" s="474"/>
      <c r="D31" s="474"/>
      <c r="E31" s="265">
        <v>61</v>
      </c>
      <c r="F31" s="266">
        <v>58</v>
      </c>
      <c r="G31" s="266">
        <v>51</v>
      </c>
      <c r="H31" s="266">
        <v>46</v>
      </c>
      <c r="I31" s="266">
        <v>56</v>
      </c>
      <c r="J31" s="266">
        <v>61</v>
      </c>
      <c r="K31" s="266">
        <v>46</v>
      </c>
      <c r="L31" s="266">
        <v>69</v>
      </c>
      <c r="M31" s="266">
        <v>66</v>
      </c>
      <c r="N31" s="266"/>
      <c r="O31" s="266"/>
      <c r="P31" s="267"/>
      <c r="Q31" s="163">
        <f t="shared" si="5"/>
        <v>514</v>
      </c>
    </row>
    <row r="32" spans="1:17" ht="19.5" hidden="1" customHeight="1" thickBot="1" x14ac:dyDescent="0.25">
      <c r="B32" s="493"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5"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2788</v>
      </c>
      <c r="M33" s="218">
        <f t="shared" si="6"/>
        <v>2965</v>
      </c>
      <c r="N33" s="218">
        <f t="shared" si="6"/>
        <v>0</v>
      </c>
      <c r="O33" s="218">
        <f t="shared" si="6"/>
        <v>0</v>
      </c>
      <c r="P33" s="255">
        <f t="shared" si="6"/>
        <v>0</v>
      </c>
      <c r="Q33" s="269">
        <f t="shared" si="5"/>
        <v>24557</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4" t="s">
        <v>132</v>
      </c>
      <c r="C36" s="476"/>
      <c r="D36" s="476"/>
      <c r="E36" s="259">
        <v>44</v>
      </c>
      <c r="F36" s="179">
        <v>24</v>
      </c>
      <c r="G36" s="179">
        <v>19</v>
      </c>
      <c r="H36" s="179">
        <v>13</v>
      </c>
      <c r="I36" s="179">
        <v>20</v>
      </c>
      <c r="J36" s="179">
        <v>15</v>
      </c>
      <c r="K36" s="179">
        <v>16</v>
      </c>
      <c r="L36" s="179">
        <v>6</v>
      </c>
      <c r="M36" s="179">
        <v>18</v>
      </c>
      <c r="N36" s="179"/>
      <c r="O36" s="179"/>
      <c r="P36" s="260"/>
      <c r="Q36" s="159">
        <f>SUM(E36:P36)</f>
        <v>175</v>
      </c>
    </row>
    <row r="37" spans="1:17" ht="19.5" customHeight="1" x14ac:dyDescent="0.2">
      <c r="B37" s="492" t="s">
        <v>133</v>
      </c>
      <c r="C37" s="474"/>
      <c r="D37" s="474"/>
      <c r="E37" s="144">
        <v>1</v>
      </c>
      <c r="F37" s="145">
        <v>0</v>
      </c>
      <c r="G37" s="145">
        <v>1</v>
      </c>
      <c r="H37" s="145">
        <v>1</v>
      </c>
      <c r="I37" s="145">
        <v>1</v>
      </c>
      <c r="J37" s="145">
        <v>3</v>
      </c>
      <c r="K37" s="145">
        <v>3</v>
      </c>
      <c r="L37" s="145">
        <v>1</v>
      </c>
      <c r="M37" s="145">
        <v>1</v>
      </c>
      <c r="N37" s="145"/>
      <c r="O37" s="145"/>
      <c r="P37" s="261"/>
      <c r="Q37" s="163">
        <f t="shared" ref="Q37:Q46" si="8">SUM(E37:P37)</f>
        <v>12</v>
      </c>
    </row>
    <row r="38" spans="1:17" ht="19.5" customHeight="1" x14ac:dyDescent="0.2">
      <c r="B38" s="492" t="s">
        <v>140</v>
      </c>
      <c r="C38" s="474"/>
      <c r="D38" s="474"/>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v>0</v>
      </c>
      <c r="M38" s="263">
        <v>0</v>
      </c>
      <c r="N38" s="263"/>
      <c r="O38" s="263"/>
      <c r="P38" s="264"/>
      <c r="Q38" s="163">
        <f t="shared" si="8"/>
        <v>3</v>
      </c>
    </row>
    <row r="39" spans="1:17" ht="19.5" customHeight="1" x14ac:dyDescent="0.2">
      <c r="B39" s="492" t="s">
        <v>137</v>
      </c>
      <c r="C39" s="474"/>
      <c r="D39" s="474"/>
      <c r="E39" s="144">
        <v>3</v>
      </c>
      <c r="F39" s="145">
        <v>8</v>
      </c>
      <c r="G39" s="145">
        <v>7</v>
      </c>
      <c r="H39" s="145">
        <v>3</v>
      </c>
      <c r="I39" s="145">
        <v>3</v>
      </c>
      <c r="J39" s="145">
        <v>4</v>
      </c>
      <c r="K39" s="145">
        <v>11</v>
      </c>
      <c r="L39" s="145">
        <v>8</v>
      </c>
      <c r="M39" s="145">
        <v>5</v>
      </c>
      <c r="N39" s="145"/>
      <c r="O39" s="145"/>
      <c r="P39" s="261"/>
      <c r="Q39" s="163">
        <f t="shared" si="8"/>
        <v>52</v>
      </c>
    </row>
    <row r="40" spans="1:17" ht="19.5" customHeight="1" x14ac:dyDescent="0.2">
      <c r="B40" s="492" t="s">
        <v>134</v>
      </c>
      <c r="C40" s="474"/>
      <c r="D40" s="474"/>
      <c r="E40" s="262">
        <v>6</v>
      </c>
      <c r="F40" s="263">
        <v>6</v>
      </c>
      <c r="G40" s="263">
        <v>7</v>
      </c>
      <c r="H40" s="263">
        <v>7</v>
      </c>
      <c r="I40" s="263">
        <v>14</v>
      </c>
      <c r="J40" s="263">
        <v>6</v>
      </c>
      <c r="K40" s="263">
        <v>8</v>
      </c>
      <c r="L40" s="263">
        <v>7</v>
      </c>
      <c r="M40" s="263">
        <v>5</v>
      </c>
      <c r="N40" s="263"/>
      <c r="O40" s="263"/>
      <c r="P40" s="264"/>
      <c r="Q40" s="163">
        <f t="shared" si="8"/>
        <v>66</v>
      </c>
    </row>
    <row r="41" spans="1:17" ht="19.5" customHeight="1" x14ac:dyDescent="0.2">
      <c r="B41" s="492" t="s">
        <v>135</v>
      </c>
      <c r="C41" s="474"/>
      <c r="D41" s="474"/>
      <c r="E41" s="144">
        <v>0</v>
      </c>
      <c r="F41" s="145">
        <v>2</v>
      </c>
      <c r="G41" s="145">
        <v>2</v>
      </c>
      <c r="H41" s="145">
        <v>2</v>
      </c>
      <c r="I41" s="145">
        <v>5</v>
      </c>
      <c r="J41" s="145">
        <v>2</v>
      </c>
      <c r="K41" s="145">
        <v>3</v>
      </c>
      <c r="L41" s="145">
        <v>3</v>
      </c>
      <c r="M41" s="145">
        <v>3</v>
      </c>
      <c r="N41" s="145"/>
      <c r="O41" s="145"/>
      <c r="P41" s="261"/>
      <c r="Q41" s="163">
        <f t="shared" si="8"/>
        <v>22</v>
      </c>
    </row>
    <row r="42" spans="1:17" ht="19.5" customHeight="1" x14ac:dyDescent="0.2">
      <c r="B42" s="492" t="s">
        <v>136</v>
      </c>
      <c r="C42" s="474"/>
      <c r="D42" s="474"/>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v>3</v>
      </c>
      <c r="M42" s="263">
        <v>1</v>
      </c>
      <c r="N42" s="263"/>
      <c r="O42" s="263"/>
      <c r="P42" s="264"/>
      <c r="Q42" s="163">
        <f t="shared" si="8"/>
        <v>10</v>
      </c>
    </row>
    <row r="43" spans="1:17" ht="19.5" customHeight="1" x14ac:dyDescent="0.2">
      <c r="B43" s="492" t="s">
        <v>229</v>
      </c>
      <c r="C43" s="474"/>
      <c r="D43" s="474"/>
      <c r="E43" s="144">
        <v>5</v>
      </c>
      <c r="F43" s="145">
        <v>0</v>
      </c>
      <c r="G43" s="145">
        <v>1</v>
      </c>
      <c r="H43" s="145">
        <v>3</v>
      </c>
      <c r="I43" s="145">
        <v>4</v>
      </c>
      <c r="J43" s="145">
        <v>6</v>
      </c>
      <c r="K43" s="145">
        <v>8</v>
      </c>
      <c r="L43" s="145">
        <v>5</v>
      </c>
      <c r="M43" s="145">
        <v>2</v>
      </c>
      <c r="N43" s="145"/>
      <c r="O43" s="145"/>
      <c r="P43" s="261"/>
      <c r="Q43" s="163">
        <f t="shared" si="8"/>
        <v>34</v>
      </c>
    </row>
    <row r="44" spans="1:17" ht="19.5" customHeight="1" x14ac:dyDescent="0.2">
      <c r="B44" s="492" t="s">
        <v>139</v>
      </c>
      <c r="C44" s="474"/>
      <c r="D44" s="474"/>
      <c r="E44" s="262">
        <v>3</v>
      </c>
      <c r="F44" s="263">
        <v>2</v>
      </c>
      <c r="G44" s="263">
        <v>3</v>
      </c>
      <c r="H44" s="263">
        <v>4</v>
      </c>
      <c r="I44" s="263">
        <v>1</v>
      </c>
      <c r="J44" s="263">
        <v>3</v>
      </c>
      <c r="K44" s="263">
        <v>2</v>
      </c>
      <c r="L44" s="263">
        <v>1</v>
      </c>
      <c r="M44" s="263">
        <v>6</v>
      </c>
      <c r="N44" s="263"/>
      <c r="O44" s="263"/>
      <c r="P44" s="264"/>
      <c r="Q44" s="163">
        <f t="shared" si="8"/>
        <v>25</v>
      </c>
    </row>
    <row r="45" spans="1:17" ht="19.5" customHeight="1" thickBot="1" x14ac:dyDescent="0.25">
      <c r="B45" s="493"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v>1</v>
      </c>
      <c r="M45" s="145">
        <v>0</v>
      </c>
      <c r="N45" s="145"/>
      <c r="O45" s="145"/>
      <c r="P45" s="261"/>
      <c r="Q45" s="167">
        <f t="shared" si="8"/>
        <v>5</v>
      </c>
    </row>
    <row r="46" spans="1:17" s="13" customFormat="1" ht="19.5" customHeight="1" thickTop="1" thickBot="1" x14ac:dyDescent="0.25">
      <c r="B46" s="495"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35</v>
      </c>
      <c r="M46" s="218">
        <f t="shared" si="9"/>
        <v>41</v>
      </c>
      <c r="N46" s="218">
        <f t="shared" si="9"/>
        <v>0</v>
      </c>
      <c r="O46" s="218">
        <f t="shared" si="9"/>
        <v>0</v>
      </c>
      <c r="P46" s="255">
        <f t="shared" si="9"/>
        <v>0</v>
      </c>
      <c r="Q46" s="269">
        <f t="shared" si="8"/>
        <v>404</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3" t="s">
        <v>244</v>
      </c>
      <c r="B1" s="553"/>
      <c r="C1" s="553"/>
      <c r="D1" s="553"/>
      <c r="E1" s="553"/>
      <c r="F1" s="553"/>
    </row>
    <row r="2" spans="1:19" ht="24" customHeight="1" x14ac:dyDescent="0.2">
      <c r="A2" s="553" t="str">
        <f>'Subcases Monthly'!A2</f>
        <v>County Fiscal Year 2023-2024</v>
      </c>
      <c r="B2" s="553"/>
      <c r="C2" s="553"/>
      <c r="D2" s="553"/>
    </row>
    <row r="3" spans="1:19" ht="24" customHeight="1" x14ac:dyDescent="0.2">
      <c r="N3"/>
      <c r="O3"/>
    </row>
    <row r="4" spans="1:19" ht="21" customHeight="1" x14ac:dyDescent="0.2">
      <c r="A4" s="6"/>
      <c r="C4" s="21" t="s">
        <v>2</v>
      </c>
      <c r="D4" s="502" t="str">
        <f>IF('Subcases Monthly'!D4="","",'Subcases Monthly'!D4)</f>
        <v>Brevard</v>
      </c>
      <c r="E4" s="502"/>
      <c r="F4" s="6"/>
      <c r="G4" s="21" t="s">
        <v>303</v>
      </c>
      <c r="H4" s="479" t="s">
        <v>384</v>
      </c>
      <c r="I4" s="479"/>
      <c r="K4" s="21" t="s">
        <v>3</v>
      </c>
      <c r="L4" s="170">
        <v>1</v>
      </c>
      <c r="N4"/>
      <c r="O4"/>
      <c r="R4" s="554" t="s">
        <v>1907</v>
      </c>
      <c r="S4" s="554"/>
    </row>
    <row r="5" spans="1:19" ht="21" customHeight="1" x14ac:dyDescent="0.3">
      <c r="A5" s="6"/>
      <c r="C5" s="21" t="s">
        <v>73</v>
      </c>
      <c r="D5" s="555" t="str">
        <f>IF('Subcases Monthly'!D5="","",'Subcases Monthly'!D5)</f>
        <v xml:space="preserve">Carol Vail </v>
      </c>
      <c r="E5" s="555"/>
      <c r="F5" s="6"/>
      <c r="N5" s="7"/>
      <c r="R5" s="554"/>
      <c r="S5" s="554"/>
    </row>
    <row r="6" spans="1:19" ht="21" customHeight="1" x14ac:dyDescent="0.2">
      <c r="A6" s="6"/>
      <c r="C6" s="21" t="s">
        <v>84</v>
      </c>
      <c r="D6" s="502" t="str">
        <f>IF('Subcases Monthly'!D6="","",'Subcases Monthly'!D6)</f>
        <v>carol.vail@brevardclerk.us</v>
      </c>
      <c r="E6" s="502"/>
      <c r="F6" s="6"/>
      <c r="G6" s="62"/>
      <c r="H6" s="62"/>
      <c r="I6" s="62"/>
      <c r="L6"/>
      <c r="M6"/>
      <c r="N6"/>
      <c r="O6"/>
      <c r="P6"/>
      <c r="Q6"/>
    </row>
    <row r="7" spans="1:19" ht="21" customHeight="1" x14ac:dyDescent="0.2">
      <c r="A7" s="6"/>
      <c r="L7"/>
      <c r="M7"/>
      <c r="N7"/>
      <c r="O7"/>
    </row>
    <row r="8" spans="1:19" ht="19.5" customHeight="1" thickBot="1" x14ac:dyDescent="0.25">
      <c r="A8" s="548" t="s">
        <v>245</v>
      </c>
      <c r="B8" s="548"/>
      <c r="C8" s="548"/>
      <c r="D8" s="548"/>
      <c r="E8" s="18" t="s">
        <v>246</v>
      </c>
      <c r="L8" s="17" t="s">
        <v>254</v>
      </c>
    </row>
    <row r="9" spans="1:19" ht="27" customHeight="1" thickBot="1" x14ac:dyDescent="0.25">
      <c r="A9" s="17"/>
      <c r="B9" s="17"/>
      <c r="C9" s="17"/>
      <c r="D9" s="17"/>
      <c r="E9" s="549" t="s">
        <v>233</v>
      </c>
      <c r="F9" s="551"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46" t="s">
        <v>253</v>
      </c>
      <c r="L9" s="539" t="str">
        <f t="shared" ref="L9:M9" si="0">TEXT(DATE(LEFT(RIGHT($A$2,9),4),10,1),"m/d/yy")&amp;" - "&amp;TEXT(DATE(LEFT(RIGHT($A$2,9),4),12,31),"m/d/yy")</f>
        <v>10/1/23 - 12/31/23</v>
      </c>
      <c r="M9" s="540" t="str">
        <f t="shared" si="0"/>
        <v>10/1/23 - 12/31/23</v>
      </c>
      <c r="N9" s="539" t="str">
        <f t="shared" ref="N9:O9" si="1">TEXT(DATE(RIGHT($A$2,4),1,1),"m/d/yy")&amp;" - "&amp;TEXT(DATE(RIGHT($A$2,4),3,31),"m/d/yy")</f>
        <v>1/1/24 - 3/31/24</v>
      </c>
      <c r="O9" s="540" t="str">
        <f t="shared" si="1"/>
        <v>1/1/24 - 3/31/24</v>
      </c>
      <c r="P9" s="539" t="str">
        <f t="shared" ref="P9:Q9" si="2">TEXT(DATE(RIGHT($A$2,4),4,1),"m/d/yy")&amp;" - "&amp;TEXT(DATE(RIGHT($A$2,4),6,30),"m/d/yy")</f>
        <v>4/1/24 - 6/30/24</v>
      </c>
      <c r="Q9" s="541" t="str">
        <f t="shared" si="2"/>
        <v>4/1/24 - 6/30/24</v>
      </c>
      <c r="R9" s="542" t="str">
        <f t="shared" ref="R9:S9" si="3">TEXT(DATE(RIGHT($A$2,4),7,1),"m/d/yy")&amp;" - "&amp;TEXT(DATE(RIGHT($A$2,4),9,30),"m/d/yy")</f>
        <v>7/1/24 - 9/30/24</v>
      </c>
      <c r="S9" s="543" t="str">
        <f t="shared" si="3"/>
        <v>7/1/24 - 9/30/24</v>
      </c>
    </row>
    <row r="10" spans="1:19" ht="19.5" customHeight="1" thickBot="1" x14ac:dyDescent="0.25">
      <c r="B10" s="17"/>
      <c r="C10" s="544"/>
      <c r="D10" s="545"/>
      <c r="E10" s="550"/>
      <c r="F10" s="552"/>
      <c r="G10" s="176" t="s">
        <v>249</v>
      </c>
      <c r="H10" s="177" t="s">
        <v>250</v>
      </c>
      <c r="I10" s="177" t="s">
        <v>251</v>
      </c>
      <c r="J10" s="178" t="s">
        <v>252</v>
      </c>
      <c r="K10" s="547"/>
      <c r="L10" s="171" t="s">
        <v>234</v>
      </c>
      <c r="M10" s="172" t="s">
        <v>242</v>
      </c>
      <c r="N10" s="171" t="s">
        <v>234</v>
      </c>
      <c r="O10" s="172" t="s">
        <v>242</v>
      </c>
      <c r="P10" s="171" t="s">
        <v>234</v>
      </c>
      <c r="Q10" s="172" t="s">
        <v>242</v>
      </c>
      <c r="R10" s="171" t="s">
        <v>234</v>
      </c>
      <c r="S10" s="172" t="s">
        <v>242</v>
      </c>
    </row>
    <row r="11" spans="1:19" ht="19.5" customHeight="1" x14ac:dyDescent="0.2">
      <c r="B11" s="524" t="s">
        <v>399</v>
      </c>
      <c r="C11" s="525"/>
      <c r="D11" s="114" t="s">
        <v>241</v>
      </c>
      <c r="E11" s="530">
        <v>0.8</v>
      </c>
      <c r="F11" s="533" t="s">
        <v>255</v>
      </c>
      <c r="G11" s="78">
        <f>SUM('Outputs Monthly'!E10:G10)</f>
        <v>1673</v>
      </c>
      <c r="H11" s="79">
        <f>SUM('Outputs Monthly'!H10:J10)</f>
        <v>1722</v>
      </c>
      <c r="I11" s="79">
        <f>SUM('Outputs Monthly'!K10:M10)</f>
        <v>1760</v>
      </c>
      <c r="J11" s="80">
        <f>SUM('Outputs Monthly'!N10:P10)</f>
        <v>0</v>
      </c>
      <c r="K11" s="81">
        <f>SUM(G11:J11)</f>
        <v>5155</v>
      </c>
      <c r="L11" s="536"/>
      <c r="M11" s="510"/>
      <c r="N11" s="507"/>
      <c r="O11" s="510"/>
      <c r="P11" s="507"/>
      <c r="Q11" s="513"/>
      <c r="R11" s="516"/>
      <c r="S11" s="519"/>
    </row>
    <row r="12" spans="1:19" ht="19.5" customHeight="1" thickBot="1" x14ac:dyDescent="0.25">
      <c r="B12" s="526"/>
      <c r="C12" s="527"/>
      <c r="D12" s="113" t="s">
        <v>247</v>
      </c>
      <c r="E12" s="531"/>
      <c r="F12" s="534"/>
      <c r="G12" s="82">
        <v>1660</v>
      </c>
      <c r="H12" s="83">
        <v>1695</v>
      </c>
      <c r="I12" s="83">
        <v>1710</v>
      </c>
      <c r="J12" s="84"/>
      <c r="K12" s="85">
        <f>SUM(G12:J12)</f>
        <v>5065</v>
      </c>
      <c r="L12" s="537"/>
      <c r="M12" s="511"/>
      <c r="N12" s="508"/>
      <c r="O12" s="511"/>
      <c r="P12" s="508"/>
      <c r="Q12" s="514"/>
      <c r="R12" s="517"/>
      <c r="S12" s="520"/>
    </row>
    <row r="13" spans="1:19" ht="19.5" customHeight="1" thickTop="1" thickBot="1" x14ac:dyDescent="0.25">
      <c r="B13" s="528"/>
      <c r="C13" s="529"/>
      <c r="D13" s="30" t="s">
        <v>236</v>
      </c>
      <c r="E13" s="532"/>
      <c r="F13" s="535"/>
      <c r="G13" s="86">
        <f>IF(G11=0,1,IFERROR(ROUND(G12/G11,4),0))</f>
        <v>0.99219999999999997</v>
      </c>
      <c r="H13" s="87">
        <f t="shared" ref="H13:K13" si="4">IF(H11=0,1,IFERROR(ROUND(H12/H11,4),0))</f>
        <v>0.98429999999999995</v>
      </c>
      <c r="I13" s="87">
        <f t="shared" si="4"/>
        <v>0.97160000000000002</v>
      </c>
      <c r="J13" s="88">
        <f t="shared" si="4"/>
        <v>1</v>
      </c>
      <c r="K13" s="89">
        <f t="shared" si="4"/>
        <v>0.98250000000000004</v>
      </c>
      <c r="L13" s="538"/>
      <c r="M13" s="512"/>
      <c r="N13" s="509"/>
      <c r="O13" s="512"/>
      <c r="P13" s="509"/>
      <c r="Q13" s="515"/>
      <c r="R13" s="518"/>
      <c r="S13" s="521"/>
    </row>
    <row r="14" spans="1:19" customFormat="1" ht="19.5" customHeight="1" x14ac:dyDescent="0.2">
      <c r="B14" s="524" t="s">
        <v>398</v>
      </c>
      <c r="C14" s="525"/>
      <c r="D14" s="114" t="s">
        <v>241</v>
      </c>
      <c r="E14" s="530">
        <v>0.8</v>
      </c>
      <c r="F14" s="533" t="s">
        <v>256</v>
      </c>
      <c r="G14" s="78">
        <f>SUM('Outputs Monthly'!E11:G11)</f>
        <v>1894</v>
      </c>
      <c r="H14" s="79">
        <f>SUM('Outputs Monthly'!H11:J11)</f>
        <v>1804</v>
      </c>
      <c r="I14" s="79">
        <f>SUM('Outputs Monthly'!K11:M11)</f>
        <v>1944</v>
      </c>
      <c r="J14" s="80">
        <f>SUM('Outputs Monthly'!N11:P11)</f>
        <v>0</v>
      </c>
      <c r="K14" s="81">
        <f>SUM(G14:J14)</f>
        <v>5642</v>
      </c>
      <c r="L14" s="536"/>
      <c r="M14" s="510"/>
      <c r="N14" s="507"/>
      <c r="O14" s="510"/>
      <c r="P14" s="507" t="s">
        <v>235</v>
      </c>
      <c r="Q14" s="513" t="s">
        <v>1916</v>
      </c>
      <c r="R14" s="516"/>
      <c r="S14" s="519"/>
    </row>
    <row r="15" spans="1:19" customFormat="1" ht="19.5" customHeight="1" thickBot="1" x14ac:dyDescent="0.25">
      <c r="B15" s="526"/>
      <c r="C15" s="527"/>
      <c r="D15" s="113" t="s">
        <v>259</v>
      </c>
      <c r="E15" s="531"/>
      <c r="F15" s="534"/>
      <c r="G15" s="82">
        <v>1850</v>
      </c>
      <c r="H15" s="83">
        <v>1787</v>
      </c>
      <c r="I15" s="83">
        <v>1544</v>
      </c>
      <c r="J15" s="84"/>
      <c r="K15" s="85">
        <f>SUM(G15:J15)</f>
        <v>5181</v>
      </c>
      <c r="L15" s="537"/>
      <c r="M15" s="511"/>
      <c r="N15" s="508"/>
      <c r="O15" s="511"/>
      <c r="P15" s="508"/>
      <c r="Q15" s="514"/>
      <c r="R15" s="517"/>
      <c r="S15" s="520"/>
    </row>
    <row r="16" spans="1:19" customFormat="1" ht="19.5" customHeight="1" thickTop="1" thickBot="1" x14ac:dyDescent="0.25">
      <c r="B16" s="528"/>
      <c r="C16" s="529"/>
      <c r="D16" s="30" t="s">
        <v>236</v>
      </c>
      <c r="E16" s="532"/>
      <c r="F16" s="535"/>
      <c r="G16" s="86">
        <f>IF(G14=0,1,IFERROR(ROUND(G15/G14,4),0))</f>
        <v>0.9768</v>
      </c>
      <c r="H16" s="87">
        <f t="shared" ref="H16" si="5">IF(H14=0,1,IFERROR(ROUND(H15/H14,4),0))</f>
        <v>0.99060000000000004</v>
      </c>
      <c r="I16" s="87">
        <f t="shared" ref="I16" si="6">IF(I14=0,1,IFERROR(ROUND(I15/I14,4),0))</f>
        <v>0.79420000000000002</v>
      </c>
      <c r="J16" s="88">
        <f t="shared" ref="J16" si="7">IF(J14=0,1,IFERROR(ROUND(J15/J14,4),0))</f>
        <v>1</v>
      </c>
      <c r="K16" s="89">
        <f t="shared" ref="K16" si="8">IF(K14=0,1,IFERROR(ROUND(K15/K14,4),0))</f>
        <v>0.91830000000000001</v>
      </c>
      <c r="L16" s="538"/>
      <c r="M16" s="512"/>
      <c r="N16" s="509"/>
      <c r="O16" s="512"/>
      <c r="P16" s="509"/>
      <c r="Q16" s="515"/>
      <c r="R16" s="518"/>
      <c r="S16" s="521"/>
    </row>
    <row r="17" spans="2:19" customFormat="1" ht="19.5" customHeight="1" x14ac:dyDescent="0.2">
      <c r="B17" s="524" t="s">
        <v>400</v>
      </c>
      <c r="C17" s="525"/>
      <c r="D17" s="114" t="s">
        <v>241</v>
      </c>
      <c r="E17" s="530">
        <v>0.8</v>
      </c>
      <c r="F17" s="533" t="s">
        <v>255</v>
      </c>
      <c r="G17" s="78">
        <f>SUM('Outputs Monthly'!E12:G12)</f>
        <v>270</v>
      </c>
      <c r="H17" s="79">
        <f>SUM('Outputs Monthly'!H12:J12)</f>
        <v>294</v>
      </c>
      <c r="I17" s="79">
        <f>SUM('Outputs Monthly'!K12:M12)</f>
        <v>255</v>
      </c>
      <c r="J17" s="80">
        <f>SUM('Outputs Monthly'!N12:P12)</f>
        <v>0</v>
      </c>
      <c r="K17" s="81">
        <f>SUM(G17:J17)</f>
        <v>819</v>
      </c>
      <c r="L17" s="536"/>
      <c r="M17" s="510"/>
      <c r="N17" s="507"/>
      <c r="O17" s="510"/>
      <c r="P17" s="507"/>
      <c r="Q17" s="513"/>
      <c r="R17" s="516"/>
      <c r="S17" s="519"/>
    </row>
    <row r="18" spans="2:19" customFormat="1" ht="19.5" customHeight="1" thickBot="1" x14ac:dyDescent="0.25">
      <c r="B18" s="526"/>
      <c r="C18" s="527"/>
      <c r="D18" s="113" t="s">
        <v>247</v>
      </c>
      <c r="E18" s="531"/>
      <c r="F18" s="534"/>
      <c r="G18" s="82">
        <v>262</v>
      </c>
      <c r="H18" s="83">
        <v>282</v>
      </c>
      <c r="I18" s="83">
        <v>221</v>
      </c>
      <c r="J18" s="84"/>
      <c r="K18" s="85">
        <f>SUM(G18:J18)</f>
        <v>765</v>
      </c>
      <c r="L18" s="537"/>
      <c r="M18" s="511"/>
      <c r="N18" s="508"/>
      <c r="O18" s="511"/>
      <c r="P18" s="508"/>
      <c r="Q18" s="514"/>
      <c r="R18" s="517"/>
      <c r="S18" s="520"/>
    </row>
    <row r="19" spans="2:19" customFormat="1" ht="19.5" customHeight="1" thickTop="1" thickBot="1" x14ac:dyDescent="0.25">
      <c r="B19" s="528"/>
      <c r="C19" s="529"/>
      <c r="D19" s="30" t="s">
        <v>236</v>
      </c>
      <c r="E19" s="532"/>
      <c r="F19" s="535"/>
      <c r="G19" s="86">
        <f>IF(G17=0,1,IFERROR(ROUND(G18/G17,4),0))</f>
        <v>0.97040000000000004</v>
      </c>
      <c r="H19" s="87">
        <f t="shared" ref="H19" si="9">IF(H17=0,1,IFERROR(ROUND(H18/H17,4),0))</f>
        <v>0.95920000000000005</v>
      </c>
      <c r="I19" s="87">
        <f t="shared" ref="I19" si="10">IF(I17=0,1,IFERROR(ROUND(I18/I17,4),0))</f>
        <v>0.86670000000000003</v>
      </c>
      <c r="J19" s="88">
        <f t="shared" ref="J19" si="11">IF(J17=0,1,IFERROR(ROUND(J18/J17,4),0))</f>
        <v>1</v>
      </c>
      <c r="K19" s="89">
        <f t="shared" ref="K19" si="12">IF(K17=0,1,IFERROR(ROUND(K18/K17,4),0))</f>
        <v>0.93410000000000004</v>
      </c>
      <c r="L19" s="538"/>
      <c r="M19" s="512"/>
      <c r="N19" s="509"/>
      <c r="O19" s="512"/>
      <c r="P19" s="509"/>
      <c r="Q19" s="515"/>
      <c r="R19" s="518"/>
      <c r="S19" s="521"/>
    </row>
    <row r="20" spans="2:19" customFormat="1" ht="19.5" customHeight="1" x14ac:dyDescent="0.2">
      <c r="B20" s="524" t="s">
        <v>257</v>
      </c>
      <c r="C20" s="525"/>
      <c r="D20" s="114" t="s">
        <v>258</v>
      </c>
      <c r="E20" s="530">
        <v>0.8</v>
      </c>
      <c r="F20" s="533" t="s">
        <v>256</v>
      </c>
      <c r="G20" s="78">
        <f>SUM('Outputs Monthly'!E13:G13)</f>
        <v>2144</v>
      </c>
      <c r="H20" s="79">
        <f>SUM('Outputs Monthly'!H13:J13)</f>
        <v>2330</v>
      </c>
      <c r="I20" s="79">
        <f>SUM('Outputs Monthly'!K13:M13)</f>
        <v>2528</v>
      </c>
      <c r="J20" s="80">
        <f>SUM('Outputs Monthly'!N13:P13)</f>
        <v>0</v>
      </c>
      <c r="K20" s="81">
        <f>SUM(G20:J20)</f>
        <v>7002</v>
      </c>
      <c r="L20" s="536"/>
      <c r="M20" s="510"/>
      <c r="N20" s="507"/>
      <c r="O20" s="510"/>
      <c r="P20" s="507"/>
      <c r="Q20" s="513"/>
      <c r="R20" s="516"/>
      <c r="S20" s="519"/>
    </row>
    <row r="21" spans="2:19" customFormat="1" ht="19.5" customHeight="1" thickBot="1" x14ac:dyDescent="0.25">
      <c r="B21" s="526"/>
      <c r="C21" s="527"/>
      <c r="D21" s="113" t="s">
        <v>259</v>
      </c>
      <c r="E21" s="531"/>
      <c r="F21" s="534"/>
      <c r="G21" s="82">
        <v>2100</v>
      </c>
      <c r="H21" s="83">
        <v>2255</v>
      </c>
      <c r="I21" s="83">
        <v>2314</v>
      </c>
      <c r="J21" s="84"/>
      <c r="K21" s="85">
        <f>SUM(G21:J21)</f>
        <v>6669</v>
      </c>
      <c r="L21" s="537"/>
      <c r="M21" s="511"/>
      <c r="N21" s="508"/>
      <c r="O21" s="511"/>
      <c r="P21" s="508"/>
      <c r="Q21" s="514"/>
      <c r="R21" s="517"/>
      <c r="S21" s="520"/>
    </row>
    <row r="22" spans="2:19" customFormat="1" ht="19.5" customHeight="1" thickTop="1" thickBot="1" x14ac:dyDescent="0.25">
      <c r="B22" s="528"/>
      <c r="C22" s="529"/>
      <c r="D22" s="30" t="s">
        <v>236</v>
      </c>
      <c r="E22" s="532"/>
      <c r="F22" s="535"/>
      <c r="G22" s="86">
        <f>IF(G20=0,1,IFERROR(ROUND(G21/G20,4),0))</f>
        <v>0.97950000000000004</v>
      </c>
      <c r="H22" s="87">
        <f t="shared" ref="H22" si="13">IF(H20=0,1,IFERROR(ROUND(H21/H20,4),0))</f>
        <v>0.96779999999999999</v>
      </c>
      <c r="I22" s="87">
        <f t="shared" ref="I22" si="14">IF(I20=0,1,IFERROR(ROUND(I21/I20,4),0))</f>
        <v>0.9153</v>
      </c>
      <c r="J22" s="88">
        <f t="shared" ref="J22" si="15">IF(J20=0,1,IFERROR(ROUND(J21/J20,4),0))</f>
        <v>1</v>
      </c>
      <c r="K22" s="89">
        <f t="shared" ref="K22" si="16">IF(K20=0,1,IFERROR(ROUND(K21/K20,4),0))</f>
        <v>0.95240000000000002</v>
      </c>
      <c r="L22" s="538"/>
      <c r="M22" s="512"/>
      <c r="N22" s="509"/>
      <c r="O22" s="512"/>
      <c r="P22" s="509"/>
      <c r="Q22" s="515"/>
      <c r="R22" s="518"/>
      <c r="S22" s="521"/>
    </row>
    <row r="23" spans="2:19" customFormat="1" ht="19.5" customHeight="1" x14ac:dyDescent="0.2">
      <c r="B23" s="524" t="s">
        <v>260</v>
      </c>
      <c r="C23" s="525"/>
      <c r="D23" s="114" t="s">
        <v>241</v>
      </c>
      <c r="E23" s="530">
        <v>0.8</v>
      </c>
      <c r="F23" s="533" t="s">
        <v>255</v>
      </c>
      <c r="G23" s="78">
        <f>SUM('Outputs Monthly'!E14:G14)</f>
        <v>701</v>
      </c>
      <c r="H23" s="79">
        <f>SUM('Outputs Monthly'!H14:J14)</f>
        <v>916</v>
      </c>
      <c r="I23" s="79">
        <f>SUM('Outputs Monthly'!K14:M14)</f>
        <v>980</v>
      </c>
      <c r="J23" s="80">
        <f>SUM('Outputs Monthly'!N14:P14)</f>
        <v>0</v>
      </c>
      <c r="K23" s="81">
        <f>SUM(G23:J23)</f>
        <v>2597</v>
      </c>
      <c r="L23" s="536" t="s">
        <v>235</v>
      </c>
      <c r="M23" s="510" t="s">
        <v>1910</v>
      </c>
      <c r="N23" s="507"/>
      <c r="O23" s="510"/>
      <c r="P23" s="507" t="s">
        <v>235</v>
      </c>
      <c r="Q23" s="513" t="s">
        <v>1916</v>
      </c>
      <c r="R23" s="516"/>
      <c r="S23" s="519"/>
    </row>
    <row r="24" spans="2:19" customFormat="1" ht="19.5" customHeight="1" thickBot="1" x14ac:dyDescent="0.25">
      <c r="B24" s="526"/>
      <c r="C24" s="527"/>
      <c r="D24" s="113" t="s">
        <v>247</v>
      </c>
      <c r="E24" s="531"/>
      <c r="F24" s="534"/>
      <c r="G24" s="82">
        <v>490</v>
      </c>
      <c r="H24" s="83">
        <v>744</v>
      </c>
      <c r="I24" s="83">
        <v>700</v>
      </c>
      <c r="J24" s="84"/>
      <c r="K24" s="85">
        <f>SUM(G24:J24)</f>
        <v>1934</v>
      </c>
      <c r="L24" s="537"/>
      <c r="M24" s="511"/>
      <c r="N24" s="508"/>
      <c r="O24" s="511"/>
      <c r="P24" s="508"/>
      <c r="Q24" s="514"/>
      <c r="R24" s="517"/>
      <c r="S24" s="520"/>
    </row>
    <row r="25" spans="2:19" customFormat="1" ht="19.5" customHeight="1" thickTop="1" thickBot="1" x14ac:dyDescent="0.25">
      <c r="B25" s="528"/>
      <c r="C25" s="529"/>
      <c r="D25" s="30" t="s">
        <v>236</v>
      </c>
      <c r="E25" s="532"/>
      <c r="F25" s="535"/>
      <c r="G25" s="86">
        <f>IF(G23=0,1,IFERROR(ROUND(G24/G23,4),0))</f>
        <v>0.69899999999999995</v>
      </c>
      <c r="H25" s="87">
        <f t="shared" ref="H25" si="17">IF(H23=0,1,IFERROR(ROUND(H24/H23,4),0))</f>
        <v>0.81220000000000003</v>
      </c>
      <c r="I25" s="87">
        <f t="shared" ref="I25" si="18">IF(I23=0,1,IFERROR(ROUND(I24/I23,4),0))</f>
        <v>0.71430000000000005</v>
      </c>
      <c r="J25" s="88">
        <f t="shared" ref="J25" si="19">IF(J23=0,1,IFERROR(ROUND(J24/J23,4),0))</f>
        <v>1</v>
      </c>
      <c r="K25" s="89">
        <f t="shared" ref="K25" si="20">IF(K23=0,1,IFERROR(ROUND(K24/K23,4),0))</f>
        <v>0.74470000000000003</v>
      </c>
      <c r="L25" s="538"/>
      <c r="M25" s="512"/>
      <c r="N25" s="509"/>
      <c r="O25" s="512"/>
      <c r="P25" s="509"/>
      <c r="Q25" s="515"/>
      <c r="R25" s="518"/>
      <c r="S25" s="521"/>
    </row>
    <row r="26" spans="2:19" customFormat="1" ht="19.5" customHeight="1" x14ac:dyDescent="0.2">
      <c r="B26" s="524" t="s">
        <v>261</v>
      </c>
      <c r="C26" s="525"/>
      <c r="D26" s="114" t="s">
        <v>241</v>
      </c>
      <c r="E26" s="530">
        <v>0.8</v>
      </c>
      <c r="F26" s="533" t="s">
        <v>255</v>
      </c>
      <c r="G26" s="78">
        <f>SUM('Outputs Monthly'!E15:G15)</f>
        <v>2582</v>
      </c>
      <c r="H26" s="79">
        <f>SUM('Outputs Monthly'!H15:J15)</f>
        <v>2992</v>
      </c>
      <c r="I26" s="79">
        <f>SUM('Outputs Monthly'!K15:M15)</f>
        <v>3490</v>
      </c>
      <c r="J26" s="80">
        <f>SUM('Outputs Monthly'!N15:P15)</f>
        <v>0</v>
      </c>
      <c r="K26" s="81">
        <f>SUM(G26:J26)</f>
        <v>9064</v>
      </c>
      <c r="L26" s="536"/>
      <c r="M26" s="510"/>
      <c r="N26" s="507"/>
      <c r="O26" s="510"/>
      <c r="P26" s="507" t="s">
        <v>235</v>
      </c>
      <c r="Q26" s="513" t="s">
        <v>1916</v>
      </c>
      <c r="R26" s="516"/>
      <c r="S26" s="519"/>
    </row>
    <row r="27" spans="2:19" customFormat="1" ht="19.5" customHeight="1" thickBot="1" x14ac:dyDescent="0.25">
      <c r="B27" s="526"/>
      <c r="C27" s="527"/>
      <c r="D27" s="113" t="s">
        <v>247</v>
      </c>
      <c r="E27" s="531"/>
      <c r="F27" s="534"/>
      <c r="G27" s="82">
        <v>2067</v>
      </c>
      <c r="H27" s="83">
        <v>2684</v>
      </c>
      <c r="I27" s="83">
        <v>2370</v>
      </c>
      <c r="J27" s="84"/>
      <c r="K27" s="85">
        <f>SUM(G27:J27)</f>
        <v>7121</v>
      </c>
      <c r="L27" s="537"/>
      <c r="M27" s="511"/>
      <c r="N27" s="508"/>
      <c r="O27" s="511"/>
      <c r="P27" s="508"/>
      <c r="Q27" s="514"/>
      <c r="R27" s="517"/>
      <c r="S27" s="520"/>
    </row>
    <row r="28" spans="2:19" customFormat="1" ht="19.5" customHeight="1" thickTop="1" thickBot="1" x14ac:dyDescent="0.25">
      <c r="B28" s="528"/>
      <c r="C28" s="529"/>
      <c r="D28" s="30" t="s">
        <v>236</v>
      </c>
      <c r="E28" s="532"/>
      <c r="F28" s="535"/>
      <c r="G28" s="86">
        <f>IF(G26=0,1,IFERROR(ROUND(G27/G26,4),0))</f>
        <v>0.80049999999999999</v>
      </c>
      <c r="H28" s="87">
        <f t="shared" ref="H28" si="21">IF(H26=0,1,IFERROR(ROUND(H27/H26,4),0))</f>
        <v>0.89710000000000001</v>
      </c>
      <c r="I28" s="87">
        <f t="shared" ref="I28" si="22">IF(I26=0,1,IFERROR(ROUND(I27/I26,4),0))</f>
        <v>0.67910000000000004</v>
      </c>
      <c r="J28" s="88">
        <f t="shared" ref="J28" si="23">IF(J26=0,1,IFERROR(ROUND(J27/J26,4),0))</f>
        <v>1</v>
      </c>
      <c r="K28" s="89">
        <f t="shared" ref="K28" si="24">IF(K26=0,1,IFERROR(ROUND(K27/K26,4),0))</f>
        <v>0.78559999999999997</v>
      </c>
      <c r="L28" s="538"/>
      <c r="M28" s="512"/>
      <c r="N28" s="509"/>
      <c r="O28" s="512"/>
      <c r="P28" s="509"/>
      <c r="Q28" s="515"/>
      <c r="R28" s="518"/>
      <c r="S28" s="521"/>
    </row>
    <row r="29" spans="2:19" customFormat="1" ht="19.5" customHeight="1" x14ac:dyDescent="0.2">
      <c r="B29" s="524" t="s">
        <v>262</v>
      </c>
      <c r="C29" s="525"/>
      <c r="D29" s="114" t="s">
        <v>241</v>
      </c>
      <c r="E29" s="530">
        <v>0.8</v>
      </c>
      <c r="F29" s="533" t="s">
        <v>255</v>
      </c>
      <c r="G29" s="78">
        <f>SUM('Outputs Monthly'!E16:G16)</f>
        <v>1682</v>
      </c>
      <c r="H29" s="79">
        <f>SUM('Outputs Monthly'!H16:J16)</f>
        <v>1920</v>
      </c>
      <c r="I29" s="79">
        <f>SUM('Outputs Monthly'!K16:M16)</f>
        <v>1905</v>
      </c>
      <c r="J29" s="80">
        <f>SUM('Outputs Monthly'!N16:P16)</f>
        <v>0</v>
      </c>
      <c r="K29" s="81">
        <f>SUM(G29:J29)</f>
        <v>5507</v>
      </c>
      <c r="L29" s="536"/>
      <c r="M29" s="510"/>
      <c r="N29" s="507" t="s">
        <v>235</v>
      </c>
      <c r="O29" s="510" t="s">
        <v>1913</v>
      </c>
      <c r="P29" s="507" t="s">
        <v>235</v>
      </c>
      <c r="Q29" s="519" t="s">
        <v>1915</v>
      </c>
      <c r="R29" s="516"/>
      <c r="S29" s="519"/>
    </row>
    <row r="30" spans="2:19" customFormat="1" ht="19.5" customHeight="1" thickBot="1" x14ac:dyDescent="0.25">
      <c r="B30" s="526"/>
      <c r="C30" s="527"/>
      <c r="D30" s="113" t="s">
        <v>247</v>
      </c>
      <c r="E30" s="531"/>
      <c r="F30" s="534"/>
      <c r="G30" s="82">
        <v>1595</v>
      </c>
      <c r="H30" s="83">
        <v>1502</v>
      </c>
      <c r="I30" s="83">
        <v>1502</v>
      </c>
      <c r="J30" s="84"/>
      <c r="K30" s="85">
        <f>SUM(G30:J30)</f>
        <v>4599</v>
      </c>
      <c r="L30" s="537"/>
      <c r="M30" s="511"/>
      <c r="N30" s="508"/>
      <c r="O30" s="511"/>
      <c r="P30" s="508"/>
      <c r="Q30" s="520"/>
      <c r="R30" s="517"/>
      <c r="S30" s="520"/>
    </row>
    <row r="31" spans="2:19" customFormat="1" ht="19.5" customHeight="1" thickTop="1" thickBot="1" x14ac:dyDescent="0.25">
      <c r="B31" s="528"/>
      <c r="C31" s="529"/>
      <c r="D31" s="30" t="s">
        <v>236</v>
      </c>
      <c r="E31" s="532"/>
      <c r="F31" s="535"/>
      <c r="G31" s="86">
        <f>IF(G29=0,1,IFERROR(ROUND(G30/G29,4),0))</f>
        <v>0.94830000000000003</v>
      </c>
      <c r="H31" s="87">
        <f t="shared" ref="H31" si="25">IF(H29=0,1,IFERROR(ROUND(H30/H29,4),0))</f>
        <v>0.7823</v>
      </c>
      <c r="I31" s="87">
        <f t="shared" ref="I31" si="26">IF(I29=0,1,IFERROR(ROUND(I30/I29,4),0))</f>
        <v>0.78849999999999998</v>
      </c>
      <c r="J31" s="88">
        <f t="shared" ref="J31" si="27">IF(J29=0,1,IFERROR(ROUND(J30/J29,4),0))</f>
        <v>1</v>
      </c>
      <c r="K31" s="89">
        <f t="shared" ref="K31" si="28">IF(K29=0,1,IFERROR(ROUND(K30/K29,4),0))</f>
        <v>0.83509999999999995</v>
      </c>
      <c r="L31" s="538"/>
      <c r="M31" s="512"/>
      <c r="N31" s="509"/>
      <c r="O31" s="512"/>
      <c r="P31" s="509"/>
      <c r="Q31" s="521"/>
      <c r="R31" s="518"/>
      <c r="S31" s="521"/>
    </row>
    <row r="32" spans="2:19" customFormat="1" ht="19.5" customHeight="1" x14ac:dyDescent="0.2">
      <c r="B32" s="524" t="s">
        <v>263</v>
      </c>
      <c r="C32" s="525"/>
      <c r="D32" s="114" t="s">
        <v>241</v>
      </c>
      <c r="E32" s="530">
        <v>0.8</v>
      </c>
      <c r="F32" s="533" t="s">
        <v>256</v>
      </c>
      <c r="G32" s="78">
        <f>SUM('Outputs Monthly'!E17:G17)</f>
        <v>1319</v>
      </c>
      <c r="H32" s="79">
        <f>SUM('Outputs Monthly'!H17:J17)</f>
        <v>1411</v>
      </c>
      <c r="I32" s="79">
        <f>SUM('Outputs Monthly'!K17:M17)</f>
        <v>1475</v>
      </c>
      <c r="J32" s="80">
        <f>SUM('Outputs Monthly'!N17:P17)</f>
        <v>0</v>
      </c>
      <c r="K32" s="81">
        <f>SUM(G32:J32)</f>
        <v>4205</v>
      </c>
      <c r="L32" s="536"/>
      <c r="M32" s="510"/>
      <c r="N32" s="507"/>
      <c r="O32" s="510"/>
      <c r="P32" s="507"/>
      <c r="Q32" s="513"/>
      <c r="R32" s="516"/>
      <c r="S32" s="519"/>
    </row>
    <row r="33" spans="1:19" customFormat="1" ht="19.5" customHeight="1" thickBot="1" x14ac:dyDescent="0.25">
      <c r="B33" s="526"/>
      <c r="C33" s="527"/>
      <c r="D33" s="113" t="s">
        <v>259</v>
      </c>
      <c r="E33" s="531"/>
      <c r="F33" s="534"/>
      <c r="G33" s="82">
        <v>1305</v>
      </c>
      <c r="H33" s="83">
        <v>1406</v>
      </c>
      <c r="I33" s="83">
        <v>1470</v>
      </c>
      <c r="J33" s="84"/>
      <c r="K33" s="85">
        <f>SUM(G33:J33)</f>
        <v>4181</v>
      </c>
      <c r="L33" s="537"/>
      <c r="M33" s="511"/>
      <c r="N33" s="508"/>
      <c r="O33" s="511"/>
      <c r="P33" s="508"/>
      <c r="Q33" s="514"/>
      <c r="R33" s="517"/>
      <c r="S33" s="520"/>
    </row>
    <row r="34" spans="1:19" customFormat="1" ht="19.5" customHeight="1" thickTop="1" thickBot="1" x14ac:dyDescent="0.25">
      <c r="B34" s="528"/>
      <c r="C34" s="529"/>
      <c r="D34" s="30" t="s">
        <v>236</v>
      </c>
      <c r="E34" s="532"/>
      <c r="F34" s="535"/>
      <c r="G34" s="86">
        <f>IF(G32=0,1,IFERROR(ROUND(G33/G32,4),0))</f>
        <v>0.98939999999999995</v>
      </c>
      <c r="H34" s="87">
        <f t="shared" ref="H34" si="29">IF(H32=0,1,IFERROR(ROUND(H33/H32,4),0))</f>
        <v>0.99650000000000005</v>
      </c>
      <c r="I34" s="87">
        <f t="shared" ref="I34" si="30">IF(I32=0,1,IFERROR(ROUND(I33/I32,4),0))</f>
        <v>0.99660000000000004</v>
      </c>
      <c r="J34" s="88">
        <f t="shared" ref="J34" si="31">IF(J32=0,1,IFERROR(ROUND(J33/J32,4),0))</f>
        <v>1</v>
      </c>
      <c r="K34" s="89">
        <f t="shared" ref="K34" si="32">IF(K32=0,1,IFERROR(ROUND(K33/K32,4),0))</f>
        <v>0.99429999999999996</v>
      </c>
      <c r="L34" s="538"/>
      <c r="M34" s="512"/>
      <c r="N34" s="509"/>
      <c r="O34" s="512"/>
      <c r="P34" s="509"/>
      <c r="Q34" s="515"/>
      <c r="R34" s="518"/>
      <c r="S34" s="521"/>
    </row>
    <row r="35" spans="1:19" customFormat="1" ht="19.5" customHeight="1" x14ac:dyDescent="0.2">
      <c r="B35" s="524" t="s">
        <v>264</v>
      </c>
      <c r="C35" s="525"/>
      <c r="D35" s="114" t="s">
        <v>241</v>
      </c>
      <c r="E35" s="530">
        <v>0.8</v>
      </c>
      <c r="F35" s="533" t="s">
        <v>255</v>
      </c>
      <c r="G35" s="78">
        <f>SUM('Outputs Monthly'!E18:G18)</f>
        <v>49</v>
      </c>
      <c r="H35" s="79">
        <f>SUM('Outputs Monthly'!H18:J18)</f>
        <v>89</v>
      </c>
      <c r="I35" s="79">
        <f>SUM('Outputs Monthly'!K18:M18)</f>
        <v>67</v>
      </c>
      <c r="J35" s="80">
        <f>SUM('Outputs Monthly'!N18:P18)</f>
        <v>0</v>
      </c>
      <c r="K35" s="81">
        <f>SUM(G35:J35)</f>
        <v>205</v>
      </c>
      <c r="L35" s="536"/>
      <c r="M35" s="510"/>
      <c r="N35" s="507"/>
      <c r="O35" s="510"/>
      <c r="P35" s="507"/>
      <c r="Q35" s="513"/>
      <c r="R35" s="516"/>
      <c r="S35" s="519"/>
    </row>
    <row r="36" spans="1:19" customFormat="1" ht="19.5" customHeight="1" thickBot="1" x14ac:dyDescent="0.25">
      <c r="B36" s="526"/>
      <c r="C36" s="527"/>
      <c r="D36" s="113" t="s">
        <v>247</v>
      </c>
      <c r="E36" s="531"/>
      <c r="F36" s="534"/>
      <c r="G36" s="82">
        <v>47</v>
      </c>
      <c r="H36" s="83">
        <v>89</v>
      </c>
      <c r="I36" s="83">
        <v>66</v>
      </c>
      <c r="J36" s="84"/>
      <c r="K36" s="85">
        <f>SUM(G36:J36)</f>
        <v>202</v>
      </c>
      <c r="L36" s="537"/>
      <c r="M36" s="511"/>
      <c r="N36" s="508"/>
      <c r="O36" s="511"/>
      <c r="P36" s="508"/>
      <c r="Q36" s="514"/>
      <c r="R36" s="517"/>
      <c r="S36" s="520"/>
    </row>
    <row r="37" spans="1:19" customFormat="1" ht="15.75" customHeight="1" thickTop="1" thickBot="1" x14ac:dyDescent="0.25">
      <c r="B37" s="528"/>
      <c r="C37" s="529"/>
      <c r="D37" s="30" t="s">
        <v>236</v>
      </c>
      <c r="E37" s="532"/>
      <c r="F37" s="535"/>
      <c r="G37" s="86">
        <f>IF(G35=0,1,IFERROR(ROUND(G36/G35,4),0))</f>
        <v>0.95920000000000005</v>
      </c>
      <c r="H37" s="87">
        <f t="shared" ref="H37" si="33">IF(H35=0,1,IFERROR(ROUND(H36/H35,4),0))</f>
        <v>1</v>
      </c>
      <c r="I37" s="87">
        <f t="shared" ref="I37" si="34">IF(I35=0,1,IFERROR(ROUND(I36/I35,4),0))</f>
        <v>0.98509999999999998</v>
      </c>
      <c r="J37" s="88">
        <f t="shared" ref="J37" si="35">IF(J35=0,1,IFERROR(ROUND(J36/J35,4),0))</f>
        <v>1</v>
      </c>
      <c r="K37" s="89">
        <f t="shared" ref="K37" si="36">IF(K35=0,1,IFERROR(ROUND(K36/K35,4),0))</f>
        <v>0.98540000000000005</v>
      </c>
      <c r="L37" s="538"/>
      <c r="M37" s="512"/>
      <c r="N37" s="509"/>
      <c r="O37" s="512"/>
      <c r="P37" s="509"/>
      <c r="Q37" s="515"/>
      <c r="R37" s="518"/>
      <c r="S37" s="521"/>
    </row>
    <row r="38" spans="1:19" customFormat="1" ht="19.5" customHeight="1" x14ac:dyDescent="0.2">
      <c r="B38" s="524" t="s">
        <v>265</v>
      </c>
      <c r="C38" s="525"/>
      <c r="D38" s="114" t="s">
        <v>258</v>
      </c>
      <c r="E38" s="530">
        <v>0.8</v>
      </c>
      <c r="F38" s="533" t="s">
        <v>266</v>
      </c>
      <c r="G38" s="78">
        <f>SUM('Outputs Monthly'!E19:G19)</f>
        <v>8946</v>
      </c>
      <c r="H38" s="79">
        <f>SUM('Outputs Monthly'!H19:J19)</f>
        <v>11789</v>
      </c>
      <c r="I38" s="79">
        <f>SUM('Outputs Monthly'!K19:M19)</f>
        <v>11573</v>
      </c>
      <c r="J38" s="80">
        <f>SUM('Outputs Monthly'!N19:P19)</f>
        <v>0</v>
      </c>
      <c r="K38" s="81">
        <f>SUM(G38:J38)</f>
        <v>32308</v>
      </c>
      <c r="L38" s="536"/>
      <c r="M38" s="510"/>
      <c r="N38" s="507"/>
      <c r="O38" s="510"/>
      <c r="P38" s="507"/>
      <c r="Q38" s="513"/>
      <c r="R38" s="516"/>
      <c r="S38" s="519"/>
    </row>
    <row r="39" spans="1:19" customFormat="1" ht="19.5" customHeight="1" thickBot="1" x14ac:dyDescent="0.25">
      <c r="B39" s="526"/>
      <c r="C39" s="527"/>
      <c r="D39" s="113" t="s">
        <v>267</v>
      </c>
      <c r="E39" s="531"/>
      <c r="F39" s="534"/>
      <c r="G39" s="82">
        <v>8263</v>
      </c>
      <c r="H39" s="83">
        <v>11524</v>
      </c>
      <c r="I39" s="83">
        <v>10830</v>
      </c>
      <c r="J39" s="84"/>
      <c r="K39" s="85">
        <f>SUM(G39:J39)</f>
        <v>30617</v>
      </c>
      <c r="L39" s="537"/>
      <c r="M39" s="511"/>
      <c r="N39" s="508"/>
      <c r="O39" s="511"/>
      <c r="P39" s="508"/>
      <c r="Q39" s="514"/>
      <c r="R39" s="517"/>
      <c r="S39" s="520"/>
    </row>
    <row r="40" spans="1:19" customFormat="1" ht="19.5" customHeight="1" thickTop="1" thickBot="1" x14ac:dyDescent="0.25">
      <c r="B40" s="528"/>
      <c r="C40" s="529"/>
      <c r="D40" s="30" t="s">
        <v>236</v>
      </c>
      <c r="E40" s="532"/>
      <c r="F40" s="535"/>
      <c r="G40" s="86">
        <f>IF(G38=0,1,IFERROR(ROUND(G39/G38,4),0))</f>
        <v>0.92369999999999997</v>
      </c>
      <c r="H40" s="87">
        <f t="shared" ref="H40" si="37">IF(H38=0,1,IFERROR(ROUND(H39/H38,4),0))</f>
        <v>0.97750000000000004</v>
      </c>
      <c r="I40" s="87">
        <f t="shared" ref="I40" si="38">IF(I38=0,1,IFERROR(ROUND(I39/I38,4),0))</f>
        <v>0.93579999999999997</v>
      </c>
      <c r="J40" s="88">
        <f t="shared" ref="J40" si="39">IF(J38=0,1,IFERROR(ROUND(J39/J38,4),0))</f>
        <v>1</v>
      </c>
      <c r="K40" s="89">
        <f t="shared" ref="K40" si="40">IF(K38=0,1,IFERROR(ROUND(K39/K38,4),0))</f>
        <v>0.94769999999999999</v>
      </c>
      <c r="L40" s="538"/>
      <c r="M40" s="512"/>
      <c r="N40" s="509"/>
      <c r="O40" s="512"/>
      <c r="P40" s="509"/>
      <c r="Q40" s="515"/>
      <c r="R40" s="522"/>
      <c r="S40" s="523"/>
    </row>
    <row r="41" spans="1:19" customFormat="1" ht="19.5" customHeight="1" x14ac:dyDescent="0.2"/>
    <row r="42" spans="1:19" customFormat="1" ht="19.5" customHeight="1" x14ac:dyDescent="0.2"/>
    <row r="43" spans="1:19" customFormat="1" ht="19.5" customHeight="1" thickBot="1" x14ac:dyDescent="0.25">
      <c r="A43" s="548" t="s">
        <v>268</v>
      </c>
      <c r="B43" s="548"/>
      <c r="C43" s="548"/>
      <c r="D43" s="548"/>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49" t="s">
        <v>233</v>
      </c>
      <c r="F44" s="551"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46" t="s">
        <v>253</v>
      </c>
      <c r="L44" s="539" t="str">
        <f t="shared" ref="L44:M44" si="41">TEXT(DATE(LEFT(RIGHT($A$2,9),4),10,1),"m/d/yy")&amp;" - "&amp;TEXT(DATE(LEFT(RIGHT($A$2,9),4),12,31),"m/d/yy")</f>
        <v>10/1/23 - 12/31/23</v>
      </c>
      <c r="M44" s="540" t="str">
        <f t="shared" si="41"/>
        <v>10/1/23 - 12/31/23</v>
      </c>
      <c r="N44" s="539" t="str">
        <f t="shared" ref="N44:O44" si="42">TEXT(DATE(RIGHT($A$2,4),1,1),"m/d/yy")&amp;" - "&amp;TEXT(DATE(RIGHT($A$2,4),3,31),"m/d/yy")</f>
        <v>1/1/24 - 3/31/24</v>
      </c>
      <c r="O44" s="540" t="str">
        <f t="shared" si="42"/>
        <v>1/1/24 - 3/31/24</v>
      </c>
      <c r="P44" s="539" t="str">
        <f t="shared" ref="P44:Q44" si="43">TEXT(DATE(RIGHT($A$2,4),4,1),"m/d/yy")&amp;" - "&amp;TEXT(DATE(RIGHT($A$2,4),6,30),"m/d/yy")</f>
        <v>4/1/24 - 6/30/24</v>
      </c>
      <c r="Q44" s="541" t="str">
        <f t="shared" si="43"/>
        <v>4/1/24 - 6/30/24</v>
      </c>
      <c r="R44" s="542" t="str">
        <f t="shared" ref="R44:S44" si="44">TEXT(DATE(RIGHT($A$2,4),7,1),"m/d/yy")&amp;" - "&amp;TEXT(DATE(RIGHT($A$2,4),9,30),"m/d/yy")</f>
        <v>7/1/24 - 9/30/24</v>
      </c>
      <c r="S44" s="543" t="str">
        <f t="shared" si="44"/>
        <v>7/1/24 - 9/30/24</v>
      </c>
    </row>
    <row r="45" spans="1:19" ht="15.75" customHeight="1" thickBot="1" x14ac:dyDescent="0.25">
      <c r="B45" s="17"/>
      <c r="C45" s="544"/>
      <c r="D45" s="545"/>
      <c r="E45" s="550"/>
      <c r="F45" s="552"/>
      <c r="G45" s="176" t="s">
        <v>249</v>
      </c>
      <c r="H45" s="177" t="s">
        <v>250</v>
      </c>
      <c r="I45" s="177" t="s">
        <v>251</v>
      </c>
      <c r="J45" s="178" t="s">
        <v>252</v>
      </c>
      <c r="K45" s="547"/>
      <c r="L45" s="171" t="s">
        <v>234</v>
      </c>
      <c r="M45" s="172" t="s">
        <v>242</v>
      </c>
      <c r="N45" s="171" t="s">
        <v>234</v>
      </c>
      <c r="O45" s="172" t="s">
        <v>242</v>
      </c>
      <c r="P45" s="171" t="s">
        <v>234</v>
      </c>
      <c r="Q45" s="172" t="s">
        <v>242</v>
      </c>
      <c r="R45" s="171" t="s">
        <v>234</v>
      </c>
      <c r="S45" s="172" t="s">
        <v>242</v>
      </c>
    </row>
    <row r="46" spans="1:19" x14ac:dyDescent="0.2">
      <c r="B46" s="524" t="s">
        <v>399</v>
      </c>
      <c r="C46" s="525"/>
      <c r="D46" s="114" t="s">
        <v>243</v>
      </c>
      <c r="E46" s="530">
        <v>0.8</v>
      </c>
      <c r="F46" s="533" t="s">
        <v>256</v>
      </c>
      <c r="G46" s="39">
        <v>81305</v>
      </c>
      <c r="H46" s="40">
        <v>85936</v>
      </c>
      <c r="I46" s="40">
        <v>89497</v>
      </c>
      <c r="J46" s="41"/>
      <c r="K46" s="29">
        <f>SUM(G46:J46)</f>
        <v>256738</v>
      </c>
      <c r="L46" s="536"/>
      <c r="M46" s="510"/>
      <c r="N46" s="507"/>
      <c r="O46" s="510"/>
      <c r="P46" s="507"/>
      <c r="Q46" s="513"/>
      <c r="R46" s="516"/>
      <c r="S46" s="519"/>
    </row>
    <row r="47" spans="1:19" ht="16.5" thickBot="1" x14ac:dyDescent="0.25">
      <c r="B47" s="526"/>
      <c r="C47" s="527"/>
      <c r="D47" s="113" t="s">
        <v>259</v>
      </c>
      <c r="E47" s="531"/>
      <c r="F47" s="534"/>
      <c r="G47" s="36">
        <v>80206</v>
      </c>
      <c r="H47" s="37">
        <v>83190</v>
      </c>
      <c r="I47" s="37">
        <v>82557</v>
      </c>
      <c r="J47" s="38"/>
      <c r="K47" s="31">
        <f>SUM(G47:J47)</f>
        <v>245953</v>
      </c>
      <c r="L47" s="537"/>
      <c r="M47" s="511"/>
      <c r="N47" s="508"/>
      <c r="O47" s="511"/>
      <c r="P47" s="508"/>
      <c r="Q47" s="514"/>
      <c r="R47" s="517"/>
      <c r="S47" s="520"/>
    </row>
    <row r="48" spans="1:19" ht="17.25" thickTop="1" thickBot="1" x14ac:dyDescent="0.25">
      <c r="B48" s="528"/>
      <c r="C48" s="529"/>
      <c r="D48" s="30" t="s">
        <v>236</v>
      </c>
      <c r="E48" s="532"/>
      <c r="F48" s="535"/>
      <c r="G48" s="32">
        <f>IF(G46=0,1,IFERROR(ROUND(G47/G46,4),0))</f>
        <v>0.98650000000000004</v>
      </c>
      <c r="H48" s="33">
        <f t="shared" ref="H48" si="45">IF(H46=0,1,IFERROR(ROUND(H47/H46,4),0))</f>
        <v>0.96799999999999997</v>
      </c>
      <c r="I48" s="33">
        <f t="shared" ref="I48" si="46">IF(I46=0,1,IFERROR(ROUND(I47/I46,4),0))</f>
        <v>0.92249999999999999</v>
      </c>
      <c r="J48" s="34">
        <f t="shared" ref="J48" si="47">IF(J46=0,1,IFERROR(ROUND(J47/J46,4),0))</f>
        <v>1</v>
      </c>
      <c r="K48" s="35">
        <f t="shared" ref="K48" si="48">IF(K46=0,1,IFERROR(ROUND(K47/K46,4),0))</f>
        <v>0.95799999999999996</v>
      </c>
      <c r="L48" s="538"/>
      <c r="M48" s="512"/>
      <c r="N48" s="509"/>
      <c r="O48" s="512"/>
      <c r="P48" s="509"/>
      <c r="Q48" s="515"/>
      <c r="R48" s="518"/>
      <c r="S48" s="521"/>
    </row>
    <row r="49" spans="1:19" x14ac:dyDescent="0.2">
      <c r="A49"/>
      <c r="B49" s="524" t="s">
        <v>398</v>
      </c>
      <c r="C49" s="525"/>
      <c r="D49" s="114" t="s">
        <v>243</v>
      </c>
      <c r="E49" s="530">
        <v>0.8</v>
      </c>
      <c r="F49" s="533" t="s">
        <v>256</v>
      </c>
      <c r="G49" s="39">
        <v>31597</v>
      </c>
      <c r="H49" s="40">
        <v>32866</v>
      </c>
      <c r="I49" s="40">
        <v>31643</v>
      </c>
      <c r="J49" s="41"/>
      <c r="K49" s="29">
        <f>SUM(G49:J49)</f>
        <v>96106</v>
      </c>
      <c r="L49" s="536"/>
      <c r="M49" s="510"/>
      <c r="N49" s="507"/>
      <c r="O49" s="510"/>
      <c r="P49" s="507"/>
      <c r="Q49" s="513"/>
      <c r="R49" s="516"/>
      <c r="S49" s="519"/>
    </row>
    <row r="50" spans="1:19" ht="16.5" thickBot="1" x14ac:dyDescent="0.25">
      <c r="A50"/>
      <c r="B50" s="526"/>
      <c r="C50" s="527"/>
      <c r="D50" s="113" t="s">
        <v>259</v>
      </c>
      <c r="E50" s="531"/>
      <c r="F50" s="534"/>
      <c r="G50" s="36">
        <v>31172</v>
      </c>
      <c r="H50" s="37">
        <v>32002</v>
      </c>
      <c r="I50" s="37">
        <v>28476</v>
      </c>
      <c r="J50" s="38"/>
      <c r="K50" s="31">
        <f>SUM(G50:J50)</f>
        <v>91650</v>
      </c>
      <c r="L50" s="537"/>
      <c r="M50" s="511"/>
      <c r="N50" s="508"/>
      <c r="O50" s="511"/>
      <c r="P50" s="508"/>
      <c r="Q50" s="514"/>
      <c r="R50" s="517"/>
      <c r="S50" s="520"/>
    </row>
    <row r="51" spans="1:19" ht="17.25" thickTop="1" thickBot="1" x14ac:dyDescent="0.25">
      <c r="A51"/>
      <c r="B51" s="528"/>
      <c r="C51" s="529"/>
      <c r="D51" s="30" t="s">
        <v>236</v>
      </c>
      <c r="E51" s="532"/>
      <c r="F51" s="535"/>
      <c r="G51" s="32">
        <f>IF(G49=0,1,IFERROR(ROUND(G50/G49,4),0))</f>
        <v>0.98650000000000004</v>
      </c>
      <c r="H51" s="33">
        <f t="shared" ref="H51" si="49">IF(H49=0,1,IFERROR(ROUND(H50/H49,4),0))</f>
        <v>0.97370000000000001</v>
      </c>
      <c r="I51" s="33">
        <f t="shared" ref="I51" si="50">IF(I49=0,1,IFERROR(ROUND(I50/I49,4),0))</f>
        <v>0.89990000000000003</v>
      </c>
      <c r="J51" s="34">
        <f t="shared" ref="J51" si="51">IF(J49=0,1,IFERROR(ROUND(J50/J49,4),0))</f>
        <v>1</v>
      </c>
      <c r="K51" s="35">
        <f t="shared" ref="K51" si="52">IF(K49=0,1,IFERROR(ROUND(K50/K49,4),0))</f>
        <v>0.9536</v>
      </c>
      <c r="L51" s="538"/>
      <c r="M51" s="512"/>
      <c r="N51" s="509"/>
      <c r="O51" s="512"/>
      <c r="P51" s="509"/>
      <c r="Q51" s="515"/>
      <c r="R51" s="518"/>
      <c r="S51" s="521"/>
    </row>
    <row r="52" spans="1:19" x14ac:dyDescent="0.2">
      <c r="A52"/>
      <c r="B52" s="524" t="s">
        <v>400</v>
      </c>
      <c r="C52" s="525"/>
      <c r="D52" s="114" t="s">
        <v>243</v>
      </c>
      <c r="E52" s="530">
        <v>0.8</v>
      </c>
      <c r="F52" s="533" t="s">
        <v>256</v>
      </c>
      <c r="G52" s="39">
        <v>9562</v>
      </c>
      <c r="H52" s="40">
        <v>8530</v>
      </c>
      <c r="I52" s="40">
        <v>6748</v>
      </c>
      <c r="J52" s="41"/>
      <c r="K52" s="29">
        <f>SUM(G52:J52)</f>
        <v>24840</v>
      </c>
      <c r="L52" s="536"/>
      <c r="M52" s="510"/>
      <c r="N52" s="507"/>
      <c r="O52" s="510"/>
      <c r="P52" s="507"/>
      <c r="Q52" s="513"/>
      <c r="R52" s="516"/>
      <c r="S52" s="519"/>
    </row>
    <row r="53" spans="1:19" ht="16.5" thickBot="1" x14ac:dyDescent="0.25">
      <c r="A53"/>
      <c r="B53" s="526"/>
      <c r="C53" s="527"/>
      <c r="D53" s="113" t="s">
        <v>259</v>
      </c>
      <c r="E53" s="531"/>
      <c r="F53" s="534"/>
      <c r="G53" s="36">
        <v>9535</v>
      </c>
      <c r="H53" s="37">
        <v>8423</v>
      </c>
      <c r="I53" s="37">
        <v>6699</v>
      </c>
      <c r="J53" s="38"/>
      <c r="K53" s="31">
        <f>SUM(G53:J53)</f>
        <v>24657</v>
      </c>
      <c r="L53" s="537"/>
      <c r="M53" s="511"/>
      <c r="N53" s="508"/>
      <c r="O53" s="511"/>
      <c r="P53" s="508"/>
      <c r="Q53" s="514"/>
      <c r="R53" s="517"/>
      <c r="S53" s="520"/>
    </row>
    <row r="54" spans="1:19" ht="17.25" thickTop="1" thickBot="1" x14ac:dyDescent="0.25">
      <c r="A54"/>
      <c r="B54" s="528"/>
      <c r="C54" s="529"/>
      <c r="D54" s="30" t="s">
        <v>236</v>
      </c>
      <c r="E54" s="532"/>
      <c r="F54" s="535"/>
      <c r="G54" s="32">
        <f>IF(G52=0,1,IFERROR(ROUND(G53/G52,4),0))</f>
        <v>0.99719999999999998</v>
      </c>
      <c r="H54" s="33">
        <f t="shared" ref="H54" si="53">IF(H52=0,1,IFERROR(ROUND(H53/H52,4),0))</f>
        <v>0.98750000000000004</v>
      </c>
      <c r="I54" s="33">
        <f t="shared" ref="I54" si="54">IF(I52=0,1,IFERROR(ROUND(I53/I52,4),0))</f>
        <v>0.99270000000000003</v>
      </c>
      <c r="J54" s="34">
        <f t="shared" ref="J54" si="55">IF(J52=0,1,IFERROR(ROUND(J53/J52,4),0))</f>
        <v>1</v>
      </c>
      <c r="K54" s="35">
        <f t="shared" ref="K54" si="56">IF(K52=0,1,IFERROR(ROUND(K53/K52,4),0))</f>
        <v>0.99260000000000004</v>
      </c>
      <c r="L54" s="538"/>
      <c r="M54" s="512"/>
      <c r="N54" s="509"/>
      <c r="O54" s="512"/>
      <c r="P54" s="509"/>
      <c r="Q54" s="515"/>
      <c r="R54" s="518"/>
      <c r="S54" s="521"/>
    </row>
    <row r="55" spans="1:19" x14ac:dyDescent="0.2">
      <c r="A55"/>
      <c r="B55" s="524" t="s">
        <v>257</v>
      </c>
      <c r="C55" s="525"/>
      <c r="D55" s="114" t="s">
        <v>243</v>
      </c>
      <c r="E55" s="530">
        <v>0.8</v>
      </c>
      <c r="F55" s="533" t="s">
        <v>256</v>
      </c>
      <c r="G55" s="39">
        <v>15058</v>
      </c>
      <c r="H55" s="40">
        <v>16447</v>
      </c>
      <c r="I55" s="40">
        <v>15954</v>
      </c>
      <c r="J55" s="41"/>
      <c r="K55" s="29">
        <f>SUM(G55:J55)</f>
        <v>47459</v>
      </c>
      <c r="L55" s="536"/>
      <c r="M55" s="510"/>
      <c r="N55" s="507"/>
      <c r="O55" s="510"/>
      <c r="P55" s="507"/>
      <c r="Q55" s="513"/>
      <c r="R55" s="516"/>
      <c r="S55" s="519"/>
    </row>
    <row r="56" spans="1:19" ht="16.5" thickBot="1" x14ac:dyDescent="0.25">
      <c r="A56"/>
      <c r="B56" s="526"/>
      <c r="C56" s="527"/>
      <c r="D56" s="113" t="s">
        <v>259</v>
      </c>
      <c r="E56" s="531"/>
      <c r="F56" s="534"/>
      <c r="G56" s="36">
        <v>14276</v>
      </c>
      <c r="H56" s="37">
        <v>15263</v>
      </c>
      <c r="I56" s="37">
        <v>13592</v>
      </c>
      <c r="J56" s="38"/>
      <c r="K56" s="31">
        <f>SUM(G56:J56)</f>
        <v>43131</v>
      </c>
      <c r="L56" s="537"/>
      <c r="M56" s="511"/>
      <c r="N56" s="508"/>
      <c r="O56" s="511"/>
      <c r="P56" s="508"/>
      <c r="Q56" s="514"/>
      <c r="R56" s="517"/>
      <c r="S56" s="520"/>
    </row>
    <row r="57" spans="1:19" ht="17.25" thickTop="1" thickBot="1" x14ac:dyDescent="0.25">
      <c r="A57"/>
      <c r="B57" s="528"/>
      <c r="C57" s="529"/>
      <c r="D57" s="30" t="s">
        <v>236</v>
      </c>
      <c r="E57" s="532"/>
      <c r="F57" s="535"/>
      <c r="G57" s="32">
        <f>IF(G55=0,1,IFERROR(ROUND(G56/G55,4),0))</f>
        <v>0.94810000000000005</v>
      </c>
      <c r="H57" s="33">
        <f t="shared" ref="H57" si="57">IF(H55=0,1,IFERROR(ROUND(H56/H55,4),0))</f>
        <v>0.92800000000000005</v>
      </c>
      <c r="I57" s="33">
        <f t="shared" ref="I57" si="58">IF(I55=0,1,IFERROR(ROUND(I56/I55,4),0))</f>
        <v>0.85189999999999999</v>
      </c>
      <c r="J57" s="34">
        <f t="shared" ref="J57" si="59">IF(J55=0,1,IFERROR(ROUND(J56/J55,4),0))</f>
        <v>1</v>
      </c>
      <c r="K57" s="35">
        <f t="shared" ref="K57" si="60">IF(K55=0,1,IFERROR(ROUND(K56/K55,4),0))</f>
        <v>0.90880000000000005</v>
      </c>
      <c r="L57" s="538"/>
      <c r="M57" s="512"/>
      <c r="N57" s="509"/>
      <c r="O57" s="512"/>
      <c r="P57" s="509"/>
      <c r="Q57" s="515"/>
      <c r="R57" s="518"/>
      <c r="S57" s="521"/>
    </row>
    <row r="58" spans="1:19" x14ac:dyDescent="0.2">
      <c r="A58"/>
      <c r="B58" s="524" t="s">
        <v>260</v>
      </c>
      <c r="C58" s="525"/>
      <c r="D58" s="114" t="s">
        <v>243</v>
      </c>
      <c r="E58" s="530">
        <v>0.8</v>
      </c>
      <c r="F58" s="533" t="s">
        <v>256</v>
      </c>
      <c r="G58" s="39">
        <v>57670</v>
      </c>
      <c r="H58" s="40">
        <v>62011</v>
      </c>
      <c r="I58" s="40">
        <v>60921</v>
      </c>
      <c r="J58" s="41"/>
      <c r="K58" s="29">
        <f>SUM(G58:J58)</f>
        <v>180602</v>
      </c>
      <c r="L58" s="536"/>
      <c r="M58" s="510"/>
      <c r="N58" s="507"/>
      <c r="O58" s="510"/>
      <c r="P58" s="507"/>
      <c r="Q58" s="513"/>
      <c r="R58" s="516"/>
      <c r="S58" s="519"/>
    </row>
    <row r="59" spans="1:19" ht="16.5" thickBot="1" x14ac:dyDescent="0.25">
      <c r="A59"/>
      <c r="B59" s="526"/>
      <c r="C59" s="527"/>
      <c r="D59" s="113" t="s">
        <v>259</v>
      </c>
      <c r="E59" s="531"/>
      <c r="F59" s="534"/>
      <c r="G59" s="36">
        <v>52155</v>
      </c>
      <c r="H59" s="37">
        <v>60972</v>
      </c>
      <c r="I59" s="37">
        <v>58512</v>
      </c>
      <c r="J59" s="38"/>
      <c r="K59" s="31">
        <f>SUM(G59:J59)</f>
        <v>171639</v>
      </c>
      <c r="L59" s="537"/>
      <c r="M59" s="511"/>
      <c r="N59" s="508"/>
      <c r="O59" s="511"/>
      <c r="P59" s="508"/>
      <c r="Q59" s="514"/>
      <c r="R59" s="517"/>
      <c r="S59" s="520"/>
    </row>
    <row r="60" spans="1:19" ht="17.25" thickTop="1" thickBot="1" x14ac:dyDescent="0.25">
      <c r="A60"/>
      <c r="B60" s="528"/>
      <c r="C60" s="529"/>
      <c r="D60" s="30" t="s">
        <v>236</v>
      </c>
      <c r="E60" s="532"/>
      <c r="F60" s="535"/>
      <c r="G60" s="32">
        <f>IF(G58=0,1,IFERROR(ROUND(G59/G58,4),0))</f>
        <v>0.90439999999999998</v>
      </c>
      <c r="H60" s="33">
        <f t="shared" ref="H60" si="61">IF(H58=0,1,IFERROR(ROUND(H59/H58,4),0))</f>
        <v>0.98319999999999996</v>
      </c>
      <c r="I60" s="33">
        <f t="shared" ref="I60" si="62">IF(I58=0,1,IFERROR(ROUND(I59/I58,4),0))</f>
        <v>0.96050000000000002</v>
      </c>
      <c r="J60" s="34">
        <f t="shared" ref="J60" si="63">IF(J58=0,1,IFERROR(ROUND(J59/J58,4),0))</f>
        <v>1</v>
      </c>
      <c r="K60" s="35">
        <f t="shared" ref="K60" si="64">IF(K58=0,1,IFERROR(ROUND(K59/K58,4),0))</f>
        <v>0.95040000000000002</v>
      </c>
      <c r="L60" s="538"/>
      <c r="M60" s="512"/>
      <c r="N60" s="509"/>
      <c r="O60" s="512"/>
      <c r="P60" s="509"/>
      <c r="Q60" s="515"/>
      <c r="R60" s="518"/>
      <c r="S60" s="521"/>
    </row>
    <row r="61" spans="1:19" x14ac:dyDescent="0.2">
      <c r="A61"/>
      <c r="B61" s="524" t="s">
        <v>261</v>
      </c>
      <c r="C61" s="525"/>
      <c r="D61" s="114" t="s">
        <v>243</v>
      </c>
      <c r="E61" s="530">
        <v>0.8</v>
      </c>
      <c r="F61" s="533" t="s">
        <v>256</v>
      </c>
      <c r="G61" s="39">
        <v>40732</v>
      </c>
      <c r="H61" s="40">
        <v>45445</v>
      </c>
      <c r="I61" s="40">
        <v>47796</v>
      </c>
      <c r="J61" s="41"/>
      <c r="K61" s="29">
        <f>SUM(G61:J61)</f>
        <v>133973</v>
      </c>
      <c r="L61" s="536"/>
      <c r="M61" s="510"/>
      <c r="N61" s="507"/>
      <c r="O61" s="510"/>
      <c r="P61" s="507"/>
      <c r="Q61" s="513"/>
      <c r="R61" s="516"/>
      <c r="S61" s="519"/>
    </row>
    <row r="62" spans="1:19" ht="16.5" thickBot="1" x14ac:dyDescent="0.25">
      <c r="A62"/>
      <c r="B62" s="526"/>
      <c r="C62" s="527"/>
      <c r="D62" s="113" t="s">
        <v>259</v>
      </c>
      <c r="E62" s="531"/>
      <c r="F62" s="534"/>
      <c r="G62" s="36">
        <v>37378</v>
      </c>
      <c r="H62" s="37">
        <v>44615</v>
      </c>
      <c r="I62" s="37">
        <v>43203</v>
      </c>
      <c r="J62" s="38"/>
      <c r="K62" s="31">
        <f>SUM(G62:J62)</f>
        <v>125196</v>
      </c>
      <c r="L62" s="537"/>
      <c r="M62" s="511"/>
      <c r="N62" s="508"/>
      <c r="O62" s="511"/>
      <c r="P62" s="508"/>
      <c r="Q62" s="514"/>
      <c r="R62" s="517"/>
      <c r="S62" s="520"/>
    </row>
    <row r="63" spans="1:19" ht="17.25" thickTop="1" thickBot="1" x14ac:dyDescent="0.25">
      <c r="A63"/>
      <c r="B63" s="528"/>
      <c r="C63" s="529"/>
      <c r="D63" s="30" t="s">
        <v>236</v>
      </c>
      <c r="E63" s="532"/>
      <c r="F63" s="535"/>
      <c r="G63" s="32">
        <f>IF(G61=0,1,IFERROR(ROUND(G62/G61,4),0))</f>
        <v>0.91769999999999996</v>
      </c>
      <c r="H63" s="33">
        <f t="shared" ref="H63" si="65">IF(H61=0,1,IFERROR(ROUND(H62/H61,4),0))</f>
        <v>0.98170000000000002</v>
      </c>
      <c r="I63" s="33">
        <f t="shared" ref="I63" si="66">IF(I61=0,1,IFERROR(ROUND(I62/I61,4),0))</f>
        <v>0.90390000000000004</v>
      </c>
      <c r="J63" s="34">
        <f t="shared" ref="J63" si="67">IF(J61=0,1,IFERROR(ROUND(J62/J61,4),0))</f>
        <v>1</v>
      </c>
      <c r="K63" s="35">
        <f t="shared" ref="K63" si="68">IF(K61=0,1,IFERROR(ROUND(K62/K61,4),0))</f>
        <v>0.9345</v>
      </c>
      <c r="L63" s="538"/>
      <c r="M63" s="512"/>
      <c r="N63" s="509"/>
      <c r="O63" s="512"/>
      <c r="P63" s="509"/>
      <c r="Q63" s="515"/>
      <c r="R63" s="518"/>
      <c r="S63" s="521"/>
    </row>
    <row r="64" spans="1:19" x14ac:dyDescent="0.2">
      <c r="A64"/>
      <c r="B64" s="524" t="s">
        <v>262</v>
      </c>
      <c r="C64" s="525"/>
      <c r="D64" s="114" t="s">
        <v>243</v>
      </c>
      <c r="E64" s="530">
        <v>0.8</v>
      </c>
      <c r="F64" s="533" t="s">
        <v>256</v>
      </c>
      <c r="G64" s="39">
        <v>22691</v>
      </c>
      <c r="H64" s="40">
        <v>26204</v>
      </c>
      <c r="I64" s="40">
        <v>26626</v>
      </c>
      <c r="J64" s="41"/>
      <c r="K64" s="29">
        <f>SUM(G64:J64)</f>
        <v>75521</v>
      </c>
      <c r="L64" s="536"/>
      <c r="M64" s="510"/>
      <c r="N64" s="507" t="s">
        <v>235</v>
      </c>
      <c r="O64" s="510" t="s">
        <v>1914</v>
      </c>
      <c r="P64" s="507" t="s">
        <v>235</v>
      </c>
      <c r="Q64" s="513" t="s">
        <v>1914</v>
      </c>
      <c r="R64" s="516"/>
      <c r="S64" s="519"/>
    </row>
    <row r="65" spans="1:19" ht="16.5" thickBot="1" x14ac:dyDescent="0.25">
      <c r="A65"/>
      <c r="B65" s="526"/>
      <c r="C65" s="527"/>
      <c r="D65" s="113" t="s">
        <v>259</v>
      </c>
      <c r="E65" s="531"/>
      <c r="F65" s="534"/>
      <c r="G65" s="36">
        <v>20462</v>
      </c>
      <c r="H65" s="37">
        <v>19463</v>
      </c>
      <c r="I65" s="37">
        <v>21120</v>
      </c>
      <c r="J65" s="38"/>
      <c r="K65" s="31">
        <f>SUM(G65:J65)</f>
        <v>61045</v>
      </c>
      <c r="L65" s="537"/>
      <c r="M65" s="511"/>
      <c r="N65" s="508"/>
      <c r="O65" s="511"/>
      <c r="P65" s="508"/>
      <c r="Q65" s="514"/>
      <c r="R65" s="517"/>
      <c r="S65" s="520"/>
    </row>
    <row r="66" spans="1:19" ht="17.25" thickTop="1" thickBot="1" x14ac:dyDescent="0.25">
      <c r="A66"/>
      <c r="B66" s="528"/>
      <c r="C66" s="529"/>
      <c r="D66" s="30" t="s">
        <v>236</v>
      </c>
      <c r="E66" s="532"/>
      <c r="F66" s="535"/>
      <c r="G66" s="32">
        <f>IF(G64=0,1,IFERROR(ROUND(G65/G64,4),0))</f>
        <v>0.90180000000000005</v>
      </c>
      <c r="H66" s="33">
        <f t="shared" ref="H66" si="69">IF(H64=0,1,IFERROR(ROUND(H65/H64,4),0))</f>
        <v>0.74270000000000003</v>
      </c>
      <c r="I66" s="33">
        <f t="shared" ref="I66" si="70">IF(I64=0,1,IFERROR(ROUND(I65/I64,4),0))</f>
        <v>0.79320000000000002</v>
      </c>
      <c r="J66" s="34">
        <f t="shared" ref="J66" si="71">IF(J64=0,1,IFERROR(ROUND(J65/J64,4),0))</f>
        <v>1</v>
      </c>
      <c r="K66" s="35">
        <f t="shared" ref="K66" si="72">IF(K64=0,1,IFERROR(ROUND(K65/K64,4),0))</f>
        <v>0.80830000000000002</v>
      </c>
      <c r="L66" s="538"/>
      <c r="M66" s="512"/>
      <c r="N66" s="509"/>
      <c r="O66" s="512"/>
      <c r="P66" s="509"/>
      <c r="Q66" s="515"/>
      <c r="R66" s="518"/>
      <c r="S66" s="521"/>
    </row>
    <row r="67" spans="1:19" x14ac:dyDescent="0.2">
      <c r="A67"/>
      <c r="B67" s="524" t="s">
        <v>263</v>
      </c>
      <c r="C67" s="525"/>
      <c r="D67" s="114" t="s">
        <v>243</v>
      </c>
      <c r="E67" s="530">
        <v>0.8</v>
      </c>
      <c r="F67" s="533" t="s">
        <v>256</v>
      </c>
      <c r="G67" s="39">
        <v>35581</v>
      </c>
      <c r="H67" s="40">
        <v>38565</v>
      </c>
      <c r="I67" s="40">
        <v>39653</v>
      </c>
      <c r="J67" s="41"/>
      <c r="K67" s="29">
        <f>SUM(G67:J67)</f>
        <v>113799</v>
      </c>
      <c r="L67" s="536"/>
      <c r="M67" s="510"/>
      <c r="N67" s="507"/>
      <c r="O67" s="510"/>
      <c r="P67" s="507"/>
      <c r="Q67" s="513"/>
      <c r="R67" s="516"/>
      <c r="S67" s="519"/>
    </row>
    <row r="68" spans="1:19" ht="16.5" thickBot="1" x14ac:dyDescent="0.25">
      <c r="A68"/>
      <c r="B68" s="526"/>
      <c r="C68" s="527"/>
      <c r="D68" s="113" t="s">
        <v>259</v>
      </c>
      <c r="E68" s="531"/>
      <c r="F68" s="534"/>
      <c r="G68" s="36">
        <v>34643</v>
      </c>
      <c r="H68" s="37">
        <v>37527</v>
      </c>
      <c r="I68" s="37">
        <v>39081</v>
      </c>
      <c r="J68" s="38"/>
      <c r="K68" s="31">
        <f>SUM(G68:J68)</f>
        <v>111251</v>
      </c>
      <c r="L68" s="537"/>
      <c r="M68" s="511"/>
      <c r="N68" s="508"/>
      <c r="O68" s="511"/>
      <c r="P68" s="508"/>
      <c r="Q68" s="514"/>
      <c r="R68" s="517"/>
      <c r="S68" s="520"/>
    </row>
    <row r="69" spans="1:19" ht="17.25" thickTop="1" thickBot="1" x14ac:dyDescent="0.25">
      <c r="A69"/>
      <c r="B69" s="528"/>
      <c r="C69" s="529"/>
      <c r="D69" s="30" t="s">
        <v>236</v>
      </c>
      <c r="E69" s="532"/>
      <c r="F69" s="535"/>
      <c r="G69" s="32">
        <f>IF(G67=0,1,IFERROR(ROUND(G68/G67,4),0))</f>
        <v>0.97360000000000002</v>
      </c>
      <c r="H69" s="33">
        <f t="shared" ref="H69" si="73">IF(H67=0,1,IFERROR(ROUND(H68/H67,4),0))</f>
        <v>0.97309999999999997</v>
      </c>
      <c r="I69" s="33">
        <f t="shared" ref="I69" si="74">IF(I67=0,1,IFERROR(ROUND(I68/I67,4),0))</f>
        <v>0.98560000000000003</v>
      </c>
      <c r="J69" s="34">
        <f t="shared" ref="J69" si="75">IF(J67=0,1,IFERROR(ROUND(J68/J67,4),0))</f>
        <v>1</v>
      </c>
      <c r="K69" s="35">
        <f t="shared" ref="K69" si="76">IF(K67=0,1,IFERROR(ROUND(K68/K67,4),0))</f>
        <v>0.97760000000000002</v>
      </c>
      <c r="L69" s="538"/>
      <c r="M69" s="512"/>
      <c r="N69" s="509"/>
      <c r="O69" s="512"/>
      <c r="P69" s="509"/>
      <c r="Q69" s="515"/>
      <c r="R69" s="518"/>
      <c r="S69" s="521"/>
    </row>
    <row r="70" spans="1:19" x14ac:dyDescent="0.2">
      <c r="A70"/>
      <c r="B70" s="524" t="s">
        <v>264</v>
      </c>
      <c r="C70" s="525"/>
      <c r="D70" s="114" t="s">
        <v>243</v>
      </c>
      <c r="E70" s="530">
        <v>0.8</v>
      </c>
      <c r="F70" s="533" t="s">
        <v>256</v>
      </c>
      <c r="G70" s="39">
        <v>805</v>
      </c>
      <c r="H70" s="40">
        <v>1130</v>
      </c>
      <c r="I70" s="40">
        <v>979</v>
      </c>
      <c r="J70" s="41"/>
      <c r="K70" s="29">
        <f>SUM(G70:J70)</f>
        <v>2914</v>
      </c>
      <c r="L70" s="536"/>
      <c r="M70" s="510"/>
      <c r="N70" s="507"/>
      <c r="O70" s="510"/>
      <c r="P70" s="507"/>
      <c r="Q70" s="513"/>
      <c r="R70" s="516"/>
      <c r="S70" s="519"/>
    </row>
    <row r="71" spans="1:19" ht="16.5" thickBot="1" x14ac:dyDescent="0.25">
      <c r="A71"/>
      <c r="B71" s="526"/>
      <c r="C71" s="527"/>
      <c r="D71" s="113" t="s">
        <v>259</v>
      </c>
      <c r="E71" s="531"/>
      <c r="F71" s="534"/>
      <c r="G71" s="36">
        <v>748</v>
      </c>
      <c r="H71" s="37">
        <v>1110</v>
      </c>
      <c r="I71" s="37">
        <v>962</v>
      </c>
      <c r="J71" s="38"/>
      <c r="K71" s="31">
        <f>SUM(G71:J71)</f>
        <v>2820</v>
      </c>
      <c r="L71" s="537"/>
      <c r="M71" s="511"/>
      <c r="N71" s="508"/>
      <c r="O71" s="511"/>
      <c r="P71" s="508"/>
      <c r="Q71" s="514"/>
      <c r="R71" s="517"/>
      <c r="S71" s="520"/>
    </row>
    <row r="72" spans="1:19" ht="17.25" thickTop="1" thickBot="1" x14ac:dyDescent="0.25">
      <c r="A72"/>
      <c r="B72" s="528"/>
      <c r="C72" s="529"/>
      <c r="D72" s="30" t="s">
        <v>236</v>
      </c>
      <c r="E72" s="532"/>
      <c r="F72" s="535"/>
      <c r="G72" s="32">
        <f>IF(G70=0,1,IFERROR(ROUND(G71/G70,4),0))</f>
        <v>0.92920000000000003</v>
      </c>
      <c r="H72" s="33">
        <f t="shared" ref="H72" si="77">IF(H70=0,1,IFERROR(ROUND(H71/H70,4),0))</f>
        <v>0.98229999999999995</v>
      </c>
      <c r="I72" s="33">
        <f t="shared" ref="I72" si="78">IF(I70=0,1,IFERROR(ROUND(I71/I70,4),0))</f>
        <v>0.98260000000000003</v>
      </c>
      <c r="J72" s="34">
        <f t="shared" ref="J72" si="79">IF(J70=0,1,IFERROR(ROUND(J71/J70,4),0))</f>
        <v>1</v>
      </c>
      <c r="K72" s="35">
        <f t="shared" ref="K72" si="80">IF(K70=0,1,IFERROR(ROUND(K71/K70,4),0))</f>
        <v>0.9677</v>
      </c>
      <c r="L72" s="538"/>
      <c r="M72" s="512"/>
      <c r="N72" s="509"/>
      <c r="O72" s="512"/>
      <c r="P72" s="509"/>
      <c r="Q72" s="515"/>
      <c r="R72" s="518"/>
      <c r="S72" s="521"/>
    </row>
    <row r="73" spans="1:19" x14ac:dyDescent="0.2">
      <c r="A73"/>
      <c r="B73" s="524" t="s">
        <v>265</v>
      </c>
      <c r="C73" s="525"/>
      <c r="D73" s="114" t="s">
        <v>243</v>
      </c>
      <c r="E73" s="530">
        <v>0.8</v>
      </c>
      <c r="F73" s="533" t="s">
        <v>266</v>
      </c>
      <c r="G73" s="39">
        <v>30337</v>
      </c>
      <c r="H73" s="40">
        <v>37434</v>
      </c>
      <c r="I73" s="40">
        <v>37448</v>
      </c>
      <c r="J73" s="41"/>
      <c r="K73" s="29">
        <f>SUM(G73:J73)</f>
        <v>105219</v>
      </c>
      <c r="L73" s="536"/>
      <c r="M73" s="510"/>
      <c r="N73" s="507"/>
      <c r="O73" s="510"/>
      <c r="P73" s="507"/>
      <c r="Q73" s="513"/>
      <c r="R73" s="516"/>
      <c r="S73" s="519"/>
    </row>
    <row r="74" spans="1:19" ht="16.5" thickBot="1" x14ac:dyDescent="0.25">
      <c r="A74"/>
      <c r="B74" s="526"/>
      <c r="C74" s="527"/>
      <c r="D74" s="113" t="s">
        <v>267</v>
      </c>
      <c r="E74" s="531"/>
      <c r="F74" s="534"/>
      <c r="G74" s="36">
        <v>28310</v>
      </c>
      <c r="H74" s="37">
        <v>36508</v>
      </c>
      <c r="I74" s="37">
        <v>35466</v>
      </c>
      <c r="J74" s="38"/>
      <c r="K74" s="31">
        <f>SUM(G74:J74)</f>
        <v>100284</v>
      </c>
      <c r="L74" s="537"/>
      <c r="M74" s="511"/>
      <c r="N74" s="508"/>
      <c r="O74" s="511"/>
      <c r="P74" s="508"/>
      <c r="Q74" s="514"/>
      <c r="R74" s="517"/>
      <c r="S74" s="520"/>
    </row>
    <row r="75" spans="1:19" ht="17.25" thickTop="1" thickBot="1" x14ac:dyDescent="0.25">
      <c r="A75"/>
      <c r="B75" s="528"/>
      <c r="C75" s="529"/>
      <c r="D75" s="30" t="s">
        <v>236</v>
      </c>
      <c r="E75" s="532"/>
      <c r="F75" s="535"/>
      <c r="G75" s="32">
        <f>IF(G73=0,1,IFERROR(ROUND(G74/G73,4),0))</f>
        <v>0.93320000000000003</v>
      </c>
      <c r="H75" s="33">
        <f t="shared" ref="H75" si="81">IF(H73=0,1,IFERROR(ROUND(H74/H73,4),0))</f>
        <v>0.97529999999999994</v>
      </c>
      <c r="I75" s="33">
        <f t="shared" ref="I75" si="82">IF(I73=0,1,IFERROR(ROUND(I74/I73,4),0))</f>
        <v>0.94710000000000005</v>
      </c>
      <c r="J75" s="34">
        <f t="shared" ref="J75" si="83">IF(J73=0,1,IFERROR(ROUND(J74/J73,4),0))</f>
        <v>1</v>
      </c>
      <c r="K75" s="35">
        <f t="shared" ref="K75" si="84">IF(K73=0,1,IFERROR(ROUND(K74/K73,4),0))</f>
        <v>0.95309999999999995</v>
      </c>
      <c r="L75" s="538"/>
      <c r="M75" s="512"/>
      <c r="N75" s="509"/>
      <c r="O75" s="512"/>
      <c r="P75" s="509"/>
      <c r="Q75" s="515"/>
      <c r="R75" s="522"/>
      <c r="S75" s="52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8" t="s">
        <v>1908</v>
      </c>
      <c r="B1" s="478"/>
      <c r="C1" s="478"/>
      <c r="D1" s="478"/>
      <c r="E1" s="478"/>
      <c r="F1" s="478"/>
    </row>
    <row r="2" spans="1:19" ht="24" customHeight="1" x14ac:dyDescent="0.2">
      <c r="A2" s="478" t="str">
        <f>'Subcases Monthly'!A2</f>
        <v>County Fiscal Year 2023-2024</v>
      </c>
      <c r="B2" s="478"/>
      <c r="C2" s="478"/>
      <c r="D2" s="478"/>
    </row>
    <row r="3" spans="1:19" ht="24" customHeight="1" x14ac:dyDescent="0.2">
      <c r="N3"/>
      <c r="O3"/>
    </row>
    <row r="4" spans="1:19" ht="24" customHeight="1" x14ac:dyDescent="0.2">
      <c r="A4" s="6"/>
      <c r="C4" s="21" t="s">
        <v>2</v>
      </c>
      <c r="D4" s="502" t="str">
        <f>IF('Subcases Monthly'!D4="","",'Subcases Monthly'!D4)</f>
        <v>Brevard</v>
      </c>
      <c r="E4" s="502"/>
      <c r="F4" s="6"/>
      <c r="G4" s="21" t="s">
        <v>226</v>
      </c>
      <c r="H4" s="502" t="str">
        <f>IF('Subcases Monthly'!H4="","",'Subcases Monthly'!H4)</f>
        <v>June</v>
      </c>
      <c r="I4" s="502"/>
      <c r="K4" s="21" t="s">
        <v>3</v>
      </c>
      <c r="L4" s="91">
        <f>IF('Subcases Monthly'!L4="","",'Subcases Monthly'!L4)</f>
        <v>1</v>
      </c>
      <c r="N4"/>
      <c r="O4"/>
      <c r="Q4" s="463" t="str">
        <f>'Subcases Monthly'!Q4</f>
        <v>CCOC Form Version 1
Created: 10/1/2023</v>
      </c>
      <c r="R4" s="463"/>
    </row>
    <row r="5" spans="1:19" ht="24" customHeight="1" x14ac:dyDescent="0.3">
      <c r="A5" s="6"/>
      <c r="C5" s="21" t="s">
        <v>73</v>
      </c>
      <c r="D5" s="503" t="str">
        <f>IF('Subcases Monthly'!D5="","",'Subcases Monthly'!D5)</f>
        <v xml:space="preserve">Carol Vail </v>
      </c>
      <c r="E5" s="503"/>
      <c r="F5" s="6"/>
      <c r="N5" s="7"/>
      <c r="Q5" s="463"/>
      <c r="R5" s="463"/>
    </row>
    <row r="6" spans="1:19" ht="24" customHeight="1" x14ac:dyDescent="0.3">
      <c r="A6" s="6"/>
      <c r="C6" s="21" t="s">
        <v>84</v>
      </c>
      <c r="D6" s="502" t="str">
        <f>IF('Subcases Monthly'!D6="","",'Subcases Monthly'!D6)</f>
        <v>carol.vail@brevardclerk.us</v>
      </c>
      <c r="E6" s="502"/>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2" t="s">
        <v>376</v>
      </c>
      <c r="F9" s="483"/>
      <c r="G9" s="483"/>
      <c r="H9" s="483"/>
      <c r="I9" s="483"/>
      <c r="J9" s="483"/>
      <c r="K9" s="483"/>
      <c r="L9" s="483"/>
      <c r="M9" s="483"/>
      <c r="N9" s="483"/>
      <c r="O9" s="483"/>
      <c r="P9" s="484"/>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6" t="str">
        <f>'Subcases Monthly'!C11:D11</f>
        <v>Felony Cases (SRS)</v>
      </c>
      <c r="D11" s="477"/>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4616</v>
      </c>
      <c r="M11" s="231">
        <f>IF('Subcases Monthly'!M11="","",('Subcases Monthly'!M11*'Subcases Weighted Total (Auto)'!$R11))</f>
        <v>4432</v>
      </c>
      <c r="N11" s="231">
        <f>IF('Subcases Monthly'!N11="","",('Subcases Monthly'!N11*'Subcases Weighted Total (Auto)'!$R11))</f>
        <v>0</v>
      </c>
      <c r="O11" s="231">
        <f>IF('Subcases Monthly'!O11="","",('Subcases Monthly'!O11*'Subcases Weighted Total (Auto)'!$R11))</f>
        <v>0</v>
      </c>
      <c r="P11" s="232">
        <f>IF('Subcases Monthly'!P11="","",('Subcases Monthly'!P11*'Subcases Weighted Total (Auto)'!$R11))</f>
        <v>0</v>
      </c>
      <c r="Q11" s="74">
        <f t="shared" ref="Q11:Q15" si="1">SUM(E11:P11)</f>
        <v>39448</v>
      </c>
      <c r="R11" s="235">
        <f>LookupData!$A$90</f>
        <v>8</v>
      </c>
      <c r="S11" s="4"/>
    </row>
    <row r="12" spans="1:19" ht="20.100000000000001" customHeight="1" x14ac:dyDescent="0.2">
      <c r="B12" s="196"/>
      <c r="C12" s="474" t="str">
        <f>'Subcases Monthly'!C12:D12</f>
        <v>Appeals (AP cases) filed in Circuit Court (SRS)</v>
      </c>
      <c r="D12" s="475"/>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4</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20</v>
      </c>
      <c r="R12" s="235">
        <f>LookupData!$A$91</f>
        <v>4</v>
      </c>
      <c r="S12" s="4"/>
    </row>
    <row r="13" spans="1:19" ht="20.100000000000001" customHeight="1" x14ac:dyDescent="0.2">
      <c r="B13" s="196"/>
      <c r="C13" s="474" t="str">
        <f>'Subcases Monthly'!C13:D13</f>
        <v>Out of State Fugitive Warrants (Non-SRS)</v>
      </c>
      <c r="D13" s="475"/>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75</v>
      </c>
      <c r="M13" s="231">
        <f>IF('Subcases Monthly'!M13="","",('Subcases Monthly'!M13*'Subcases Weighted Total (Auto)'!$R13))</f>
        <v>72</v>
      </c>
      <c r="N13" s="231">
        <f>IF('Subcases Monthly'!N13="","",('Subcases Monthly'!N13*'Subcases Weighted Total (Auto)'!$R13))</f>
        <v>0</v>
      </c>
      <c r="O13" s="231">
        <f>IF('Subcases Monthly'!O13="","",('Subcases Monthly'!O13*'Subcases Weighted Total (Auto)'!$R13))</f>
        <v>0</v>
      </c>
      <c r="P13" s="232">
        <f>IF('Subcases Monthly'!P13="","",('Subcases Monthly'!P13*'Subcases Weighted Total (Auto)'!$R13))</f>
        <v>0</v>
      </c>
      <c r="Q13" s="74">
        <f t="shared" si="1"/>
        <v>657</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4695</v>
      </c>
      <c r="M15" s="207">
        <f t="shared" si="2"/>
        <v>4504</v>
      </c>
      <c r="N15" s="207">
        <f t="shared" si="2"/>
        <v>0</v>
      </c>
      <c r="O15" s="207">
        <f t="shared" si="2"/>
        <v>0</v>
      </c>
      <c r="P15" s="208">
        <f t="shared" si="2"/>
        <v>0</v>
      </c>
      <c r="Q15" s="112">
        <f t="shared" si="1"/>
        <v>40125</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6" t="str">
        <f>'Subcases Monthly'!C18:D18</f>
        <v>Misdemeanors/Worthless Checks (SRS)</v>
      </c>
      <c r="D18" s="477"/>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2933</v>
      </c>
      <c r="J18" s="93">
        <f>IF('Subcases Monthly'!J18="","",('Subcases Monthly'!J18*'Subcases Weighted Total (Auto)'!$R18))</f>
        <v>2905</v>
      </c>
      <c r="K18" s="93">
        <f>IF('Subcases Monthly'!K18="","",('Subcases Monthly'!K18*'Subcases Weighted Total (Auto)'!$R18))</f>
        <v>3276</v>
      </c>
      <c r="L18" s="93">
        <f>IF('Subcases Monthly'!L18="","",('Subcases Monthly'!L18*'Subcases Weighted Total (Auto)'!$R18))</f>
        <v>3227</v>
      </c>
      <c r="M18" s="93">
        <f>IF('Subcases Monthly'!M18="","",('Subcases Monthly'!M18*'Subcases Weighted Total (Auto)'!$R18))</f>
        <v>3122</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28084</v>
      </c>
      <c r="R18" s="209">
        <f>LookupData!$A$95</f>
        <v>7</v>
      </c>
      <c r="S18" s="4"/>
    </row>
    <row r="19" spans="1:19" ht="20.100000000000001" customHeight="1" x14ac:dyDescent="0.2">
      <c r="B19" s="196" t="str">
        <f>IF('Subcases Monthly'!B19="","",'Subcases Monthly'!B19)</f>
        <v/>
      </c>
      <c r="C19" s="474" t="str">
        <f>'Subcases Monthly'!C19:D19</f>
        <v>County/Municipal Ordinances (SRS)</v>
      </c>
      <c r="D19" s="475"/>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35</v>
      </c>
      <c r="M19" s="96">
        <f>IF('Subcases Monthly'!M19="","",('Subcases Monthly'!M19*'Subcases Weighted Total (Auto)'!$R19))</f>
        <v>30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425</v>
      </c>
      <c r="R19" s="210">
        <f>LookupData!$A$96</f>
        <v>5</v>
      </c>
      <c r="S19" s="4"/>
    </row>
    <row r="20" spans="1:19" ht="20.100000000000001" customHeight="1" x14ac:dyDescent="0.2">
      <c r="B20" s="196" t="str">
        <f>IF('Subcases Monthly'!B20="","",'Subcases Monthly'!B20)</f>
        <v/>
      </c>
      <c r="C20" s="474" t="str">
        <f>'Subcases Monthly'!C20:D20</f>
        <v>Non-Criminal Infractions (SRS)</v>
      </c>
      <c r="D20" s="475"/>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468</v>
      </c>
      <c r="M20" s="99">
        <f>IF('Subcases Monthly'!M20="","",('Subcases Monthly'!M20*'Subcases Weighted Total (Auto)'!$R20))</f>
        <v>582</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4620</v>
      </c>
      <c r="R20" s="210">
        <f>LookupData!$A$97</f>
        <v>3</v>
      </c>
      <c r="S20" s="4"/>
    </row>
    <row r="21" spans="1:19" ht="20.100000000000001" customHeight="1" x14ac:dyDescent="0.2">
      <c r="B21" s="196"/>
      <c r="C21" s="474" t="str">
        <f>'Subcases Monthly'!C21:D21</f>
        <v>Out of State Fugitive Warrants (Non-SRS)</v>
      </c>
      <c r="D21" s="475"/>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3438</v>
      </c>
      <c r="J23" s="207">
        <f t="shared" si="5"/>
        <v>3447</v>
      </c>
      <c r="K23" s="207">
        <f t="shared" si="5"/>
        <v>3891</v>
      </c>
      <c r="L23" s="207">
        <f t="shared" si="5"/>
        <v>3730</v>
      </c>
      <c r="M23" s="207">
        <f t="shared" si="5"/>
        <v>3734</v>
      </c>
      <c r="N23" s="207">
        <f t="shared" si="5"/>
        <v>0</v>
      </c>
      <c r="O23" s="207">
        <f t="shared" si="5"/>
        <v>0</v>
      </c>
      <c r="P23" s="208">
        <f t="shared" si="5"/>
        <v>0</v>
      </c>
      <c r="Q23" s="110">
        <f t="shared" si="4"/>
        <v>33129</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6" t="str">
        <f>'Subcases Monthly'!C26:D26</f>
        <v>Delinquency Complaints, Incl Xfers for Disposition (SRS)</v>
      </c>
      <c r="D26" s="477"/>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672</v>
      </c>
      <c r="M26" s="93">
        <f>IF('Subcases Monthly'!M26="","",('Subcases Monthly'!M26*'Subcases Weighted Total (Auto)'!$R26))</f>
        <v>525</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5537</v>
      </c>
      <c r="R26" s="209">
        <f>LookupData!$A$101</f>
        <v>7</v>
      </c>
      <c r="S26" s="4"/>
    </row>
    <row r="27" spans="1:19" ht="20.100000000000001" customHeight="1" x14ac:dyDescent="0.2">
      <c r="B27" s="196"/>
      <c r="C27" s="474" t="str">
        <f>'Subcases Monthly'!C27:D27</f>
        <v>Non-criminal (1st offense) juvenile sexting cases</v>
      </c>
      <c r="D27" s="475"/>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27</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54</v>
      </c>
      <c r="R27" s="210">
        <f>LookupData!$A$102</f>
        <v>3</v>
      </c>
      <c r="S27" s="4"/>
    </row>
    <row r="28" spans="1:19" ht="20.100000000000001" customHeight="1" x14ac:dyDescent="0.2">
      <c r="B28" s="196" t="str">
        <f>IF('Subcases Monthly'!B28="","",'Subcases Monthly'!B28)</f>
        <v/>
      </c>
      <c r="C28" s="474" t="str">
        <f>'Subcases Monthly'!C28:D28</f>
        <v>Transfers for Jurisdiction/Supervision Only (Non-SRS)</v>
      </c>
      <c r="D28" s="475"/>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40</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699</v>
      </c>
      <c r="M30" s="207">
        <f t="shared" si="8"/>
        <v>525</v>
      </c>
      <c r="N30" s="207">
        <f t="shared" si="8"/>
        <v>0</v>
      </c>
      <c r="O30" s="207">
        <f t="shared" si="8"/>
        <v>0</v>
      </c>
      <c r="P30" s="208">
        <f t="shared" si="8"/>
        <v>0</v>
      </c>
      <c r="Q30" s="110">
        <f t="shared" si="7"/>
        <v>5631</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6" t="str">
        <f>'Subcases Monthly'!C33:D33</f>
        <v>DUI (SRS)</v>
      </c>
      <c r="D33" s="477"/>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1393</v>
      </c>
      <c r="M33" s="93">
        <f>IF('Subcases Monthly'!M33="","",('Subcases Monthly'!M33*'Subcases Weighted Total (Auto)'!$R33))</f>
        <v>1463</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12915</v>
      </c>
      <c r="R33" s="209">
        <f>LookupData!$A$106</f>
        <v>7</v>
      </c>
      <c r="S33" s="4"/>
    </row>
    <row r="34" spans="2:19" ht="20.100000000000001" customHeight="1" x14ac:dyDescent="0.2">
      <c r="B34" s="196" t="str">
        <f>IF('Subcases Monthly'!B34="","",'Subcases Monthly'!B34)</f>
        <v/>
      </c>
      <c r="C34" s="474" t="str">
        <f>'Subcases Monthly'!C34:D34</f>
        <v>Other Criminal Traffic (SRS)</v>
      </c>
      <c r="D34" s="475"/>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3936</v>
      </c>
      <c r="M34" s="96">
        <f>IF('Subcases Monthly'!M34="","",('Subcases Monthly'!M34*'Subcases Weighted Total (Auto)'!$R34))</f>
        <v>3834</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30900</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5329</v>
      </c>
      <c r="M36" s="207">
        <f t="shared" si="11"/>
        <v>5297</v>
      </c>
      <c r="N36" s="207">
        <f t="shared" si="11"/>
        <v>0</v>
      </c>
      <c r="O36" s="207">
        <f t="shared" si="11"/>
        <v>0</v>
      </c>
      <c r="P36" s="208">
        <f t="shared" si="11"/>
        <v>0</v>
      </c>
      <c r="Q36" s="111">
        <f t="shared" si="10"/>
        <v>43815</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6" t="str">
        <f>'Subcases Monthly'!C39:D39</f>
        <v>Professional Malpractice (SRS)</v>
      </c>
      <c r="D39" s="477"/>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21</v>
      </c>
      <c r="M39" s="93">
        <f>IF('Subcases Monthly'!M39="","",('Subcases Monthly'!M39*'Subcases Weighted Total (Auto)'!$R39))</f>
        <v>35</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182</v>
      </c>
      <c r="R39" s="184">
        <f>LookupData!$A$110</f>
        <v>7</v>
      </c>
      <c r="S39" s="4"/>
    </row>
    <row r="40" spans="2:19" ht="20.100000000000001" customHeight="1" x14ac:dyDescent="0.2">
      <c r="B40" s="196" t="str">
        <f>IF('Subcases Monthly'!B40="","",'Subcases Monthly'!B40)</f>
        <v/>
      </c>
      <c r="C40" s="474" t="str">
        <f>'Subcases Monthly'!C40:D40</f>
        <v>Products Liability (SRS)</v>
      </c>
      <c r="D40" s="475"/>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35</v>
      </c>
      <c r="R40" s="185">
        <f>LookupData!$A$111</f>
        <v>7</v>
      </c>
      <c r="S40" s="4"/>
    </row>
    <row r="41" spans="2:19" ht="20.100000000000001" customHeight="1" x14ac:dyDescent="0.2">
      <c r="B41" s="196" t="str">
        <f>IF('Subcases Monthly'!B41="","",'Subcases Monthly'!B41)</f>
        <v/>
      </c>
      <c r="C41" s="474" t="str">
        <f>'Subcases Monthly'!C41:D41</f>
        <v>Auto Negligence (SRS)</v>
      </c>
      <c r="D41" s="475"/>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476</v>
      </c>
      <c r="M41" s="99">
        <f>IF('Subcases Monthly'!M41="","",('Subcases Monthly'!M41*'Subcases Weighted Total (Auto)'!$R41))</f>
        <v>413</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3227</v>
      </c>
      <c r="R41" s="185">
        <f>LookupData!$A$112</f>
        <v>7</v>
      </c>
      <c r="S41" s="4"/>
    </row>
    <row r="42" spans="2:19" ht="20.100000000000001" customHeight="1" x14ac:dyDescent="0.2">
      <c r="B42" s="196" t="str">
        <f>IF('Subcases Monthly'!B42="","",'Subcases Monthly'!B42)</f>
        <v/>
      </c>
      <c r="C42" s="474" t="str">
        <f>'Subcases Monthly'!C42:D42</f>
        <v>Condominium (SRS)</v>
      </c>
      <c r="D42" s="475"/>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6</v>
      </c>
      <c r="M42" s="96">
        <f>IF('Subcases Monthly'!M42="","",('Subcases Monthly'!M42*'Subcases Weighted Total (Auto)'!$R42))</f>
        <v>18</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54</v>
      </c>
      <c r="R42" s="185">
        <f>LookupData!$A$113</f>
        <v>6</v>
      </c>
      <c r="S42" s="4"/>
    </row>
    <row r="43" spans="2:19" ht="20.100000000000001" customHeight="1" x14ac:dyDescent="0.2">
      <c r="B43" s="196" t="str">
        <f>IF('Subcases Monthly'!B43="","",'Subcases Monthly'!B43)</f>
        <v/>
      </c>
      <c r="C43" s="474" t="str">
        <f>'Subcases Monthly'!C43:D43</f>
        <v>Contract and Indebtedness (SRS)</v>
      </c>
      <c r="D43" s="475"/>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450</v>
      </c>
      <c r="M43" s="99">
        <f>IF('Subcases Monthly'!M43="","",('Subcases Monthly'!M43*'Subcases Weighted Total (Auto)'!$R43))</f>
        <v>384</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3300</v>
      </c>
      <c r="R43" s="185">
        <f>LookupData!$A$114</f>
        <v>6</v>
      </c>
      <c r="S43" s="4"/>
    </row>
    <row r="44" spans="2:19" ht="20.100000000000001" customHeight="1" x14ac:dyDescent="0.2">
      <c r="B44" s="196" t="str">
        <f>IF('Subcases Monthly'!B44="","",'Subcases Monthly'!B44)</f>
        <v/>
      </c>
      <c r="C44" s="474" t="str">
        <f>'Subcases Monthly'!C44:D44</f>
        <v>Eminent Domain Parcels (SRS)</v>
      </c>
      <c r="D44" s="475"/>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63</v>
      </c>
      <c r="M44" s="96">
        <f>IF('Subcases Monthly'!M44="","",('Subcases Monthly'!M44*'Subcases Weighted Total (Auto)'!$R44))</f>
        <v>28</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427</v>
      </c>
      <c r="R44" s="185">
        <f>LookupData!$A$115</f>
        <v>7</v>
      </c>
      <c r="S44" s="4"/>
    </row>
    <row r="45" spans="2:19" ht="20.100000000000001" customHeight="1" x14ac:dyDescent="0.2">
      <c r="B45" s="196" t="str">
        <f>IF('Subcases Monthly'!B45="","",'Subcases Monthly'!B45)</f>
        <v/>
      </c>
      <c r="C45" s="474" t="str">
        <f>'Subcases Monthly'!C45:D45</f>
        <v>Other Negligence (SRS)</v>
      </c>
      <c r="D45" s="475"/>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282</v>
      </c>
      <c r="M45" s="99">
        <f>IF('Subcases Monthly'!M45="","",('Subcases Monthly'!M45*'Subcases Weighted Total (Auto)'!$R45))</f>
        <v>300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1668</v>
      </c>
      <c r="R45" s="185">
        <f>LookupData!$A$116</f>
        <v>6</v>
      </c>
      <c r="S45" s="4"/>
    </row>
    <row r="46" spans="2:19" ht="20.100000000000001" customHeight="1" x14ac:dyDescent="0.2">
      <c r="B46" s="196" t="str">
        <f>IF('Subcases Monthly'!B46="","",'Subcases Monthly'!B46)</f>
        <v/>
      </c>
      <c r="C46" s="474" t="str">
        <f>'Subcases Monthly'!C46:D46</f>
        <v>Commercial Foreclosure (SRS)</v>
      </c>
      <c r="D46" s="475"/>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14</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84</v>
      </c>
      <c r="R46" s="185">
        <f>LookupData!$A$117</f>
        <v>7</v>
      </c>
      <c r="S46" s="4"/>
    </row>
    <row r="47" spans="2:19" ht="20.100000000000001" customHeight="1" x14ac:dyDescent="0.2">
      <c r="B47" s="196" t="str">
        <f>IF('Subcases Monthly'!B47="","",'Subcases Monthly'!B47)</f>
        <v/>
      </c>
      <c r="C47" s="474" t="str">
        <f>'Subcases Monthly'!C47:D47</f>
        <v>Homestead Residential Foreclosure (SRS)</v>
      </c>
      <c r="D47" s="475"/>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360</v>
      </c>
      <c r="M47" s="99">
        <f>IF('Subcases Monthly'!M47="","",('Subcases Monthly'!M47*'Subcases Weighted Total (Auto)'!$R47))</f>
        <v>288</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3033</v>
      </c>
      <c r="R47" s="185">
        <f>LookupData!$A$118</f>
        <v>9</v>
      </c>
      <c r="S47" s="4"/>
    </row>
    <row r="48" spans="2:19" ht="20.100000000000001" customHeight="1" x14ac:dyDescent="0.2">
      <c r="B48" s="196" t="str">
        <f>IF('Subcases Monthly'!B48="","",'Subcases Monthly'!B48)</f>
        <v/>
      </c>
      <c r="C48" s="474" t="str">
        <f>'Subcases Monthly'!C48:D48</f>
        <v>Non-Homestead Residential Foreclosure (SRS)</v>
      </c>
      <c r="D48" s="475"/>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200</v>
      </c>
      <c r="M48" s="96">
        <f>IF('Subcases Monthly'!M48="","",('Subcases Monthly'!M48*'Subcases Weighted Total (Auto)'!$R48))</f>
        <v>232</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1640</v>
      </c>
      <c r="R48" s="185">
        <f>LookupData!$A$119</f>
        <v>8</v>
      </c>
      <c r="S48" s="4"/>
    </row>
    <row r="49" spans="1:19" ht="20.100000000000001" customHeight="1" x14ac:dyDescent="0.2">
      <c r="B49" s="196" t="str">
        <f>IF('Subcases Monthly'!B49="","",'Subcases Monthly'!B49)</f>
        <v/>
      </c>
      <c r="C49" s="474" t="str">
        <f>'Subcases Monthly'!C49:D49</f>
        <v>Other Real Property Actions (SRS)</v>
      </c>
      <c r="D49" s="475"/>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180</v>
      </c>
      <c r="M49" s="99">
        <f>IF('Subcases Monthly'!M49="","",('Subcases Monthly'!M49*'Subcases Weighted Total (Auto)'!$R49))</f>
        <v>156</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1290</v>
      </c>
      <c r="R49" s="185">
        <f>LookupData!$A$120</f>
        <v>6</v>
      </c>
      <c r="S49" s="4"/>
    </row>
    <row r="50" spans="1:19" ht="20.100000000000001" customHeight="1" x14ac:dyDescent="0.2">
      <c r="B50" s="196" t="str">
        <f>IF('Subcases Monthly'!B50="","",'Subcases Monthly'!B50)</f>
        <v/>
      </c>
      <c r="C50" s="474" t="str">
        <f>'Subcases Monthly'!C50:D50</f>
        <v>Other Civil (SRS)</v>
      </c>
      <c r="D50" s="475"/>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222</v>
      </c>
      <c r="M50" s="96">
        <f>IF('Subcases Monthly'!M50="","",('Subcases Monthly'!M50*'Subcases Weighted Total (Auto)'!$R50))</f>
        <v>162</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1974</v>
      </c>
      <c r="R50" s="185">
        <f>LookupData!$A$121</f>
        <v>6</v>
      </c>
      <c r="S50" s="4"/>
    </row>
    <row r="51" spans="1:19" ht="20.100000000000001" customHeight="1" x14ac:dyDescent="0.2">
      <c r="B51" s="196"/>
      <c r="C51" s="474" t="str">
        <f>'Subcases Monthly'!C51:D51</f>
        <v>Involuntary Civil Commitment of Sexually Violent Predators (SRS)</v>
      </c>
      <c r="D51" s="475"/>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74" t="str">
        <f>'Subcases Monthly'!C52:D52</f>
        <v>Appeals (AP cases) filed in Circuit Court (SRS)</v>
      </c>
      <c r="D52" s="475"/>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4</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8</v>
      </c>
      <c r="R52" s="185">
        <f>LookupData!$A$123</f>
        <v>4</v>
      </c>
      <c r="S52" s="4"/>
    </row>
    <row r="53" spans="1:19" ht="20.100000000000001" customHeight="1" x14ac:dyDescent="0.2">
      <c r="B53" s="196"/>
      <c r="C53" s="474" t="str">
        <f>'Subcases Monthly'!C53:D53</f>
        <v>Writs of Certiorari (SRS)</v>
      </c>
      <c r="D53" s="475"/>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74" t="str">
        <f>'Subcases Monthly'!C54:D54</f>
        <v>Medical Extensions (Petitions to Extend) (Non-SRS)</v>
      </c>
      <c r="D54" s="475"/>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12</v>
      </c>
      <c r="M54" s="96">
        <f>IF('Subcases Monthly'!M54="","",('Subcases Monthly'!M54*'Subcases Weighted Total (Auto)'!$R54))</f>
        <v>8</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81</v>
      </c>
      <c r="R54" s="185">
        <f>LookupData!$A$125</f>
        <v>1</v>
      </c>
      <c r="S54" s="4"/>
    </row>
    <row r="55" spans="1:19" ht="20.100000000000001" customHeight="1" x14ac:dyDescent="0.2">
      <c r="B55" s="196"/>
      <c r="C55" s="474" t="str">
        <f>'Subcases Monthly'!C55:D55</f>
        <v>Transfers of Lien to Security (Non-SRS)</v>
      </c>
      <c r="D55" s="475"/>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9</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45</v>
      </c>
      <c r="R55" s="185">
        <f>LookupData!$A$126</f>
        <v>3</v>
      </c>
      <c r="S55" s="4"/>
    </row>
    <row r="56" spans="1:19" ht="20.100000000000001" customHeight="1" x14ac:dyDescent="0.2">
      <c r="B56" s="196"/>
      <c r="C56" s="474" t="str">
        <f>'Subcases Monthly'!C56:D56</f>
        <v>Civil Contempt for FTA for Jury Duty (Non-SRS)</v>
      </c>
      <c r="D56" s="475"/>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74" t="str">
        <f>'Subcases Monthly'!C57:D57</f>
        <v>Confirmation of Arbitration (Non-SRS)</v>
      </c>
      <c r="D57" s="475"/>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74" t="str">
        <f>'Subcases Monthly'!C58:D58</f>
        <v>Foreign Judgments (Non-SRS)</v>
      </c>
      <c r="D58" s="475"/>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9</v>
      </c>
      <c r="M58" s="459">
        <f>IF('Subcases Monthly'!M58="","",('Subcases Monthly'!M58*'Subcases Weighted Total (Auto)'!$R58))</f>
        <v>0</v>
      </c>
      <c r="N58" s="459">
        <f>IF('Subcases Monthly'!N58="","",('Subcases Monthly'!N58*'Subcases Weighted Total (Auto)'!$R58))</f>
        <v>0</v>
      </c>
      <c r="O58" s="459">
        <f>IF('Subcases Monthly'!O58="","",('Subcases Monthly'!O58*'Subcases Weighted Total (Auto)'!$R58))</f>
        <v>0</v>
      </c>
      <c r="P58" s="460">
        <f>IF('Subcases Monthly'!P58="","",('Subcases Monthly'!P58*'Subcases Weighted Total (Auto)'!$R58))</f>
        <v>0</v>
      </c>
      <c r="Q58" s="67">
        <f t="shared" si="13"/>
        <v>33</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2304</v>
      </c>
      <c r="M60" s="207">
        <f t="shared" si="14"/>
        <v>2035</v>
      </c>
      <c r="N60" s="207">
        <f t="shared" si="14"/>
        <v>0</v>
      </c>
      <c r="O60" s="207">
        <f t="shared" si="14"/>
        <v>0</v>
      </c>
      <c r="P60" s="208">
        <f t="shared" si="14"/>
        <v>0</v>
      </c>
      <c r="Q60" s="73">
        <f t="shared" si="13"/>
        <v>17081</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6" t="str">
        <f>'Subcases Monthly'!C63:D63</f>
        <v>Small Claims (up to $5,000) (SRS)</v>
      </c>
      <c r="D63" s="477"/>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3090</v>
      </c>
      <c r="M63" s="122">
        <f>IF('Subcases Monthly'!M63="","",('Subcases Monthly'!M63*'Subcases Weighted Total (Auto)'!$R63))</f>
        <v>2634</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21774</v>
      </c>
      <c r="R63" s="209">
        <f>LookupData!$A$132</f>
        <v>6</v>
      </c>
      <c r="S63" s="4"/>
    </row>
    <row r="64" spans="1:19" ht="20.100000000000001" customHeight="1" x14ac:dyDescent="0.2">
      <c r="B64" s="196" t="str">
        <f>IF('Subcases Monthly'!B64="","",'Subcases Monthly'!B64)</f>
        <v/>
      </c>
      <c r="C64" s="474" t="str">
        <f>'Subcases Monthly'!C64:D64</f>
        <v>Small Claims ($5,001 - $8,000) (SRS)</v>
      </c>
      <c r="D64" s="475"/>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990</v>
      </c>
      <c r="M64" s="96">
        <f>IF('Subcases Monthly'!M64="","",('Subcases Monthly'!M64*'Subcases Weighted Total (Auto)'!$R64))</f>
        <v>840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6282</v>
      </c>
      <c r="R64" s="210">
        <f>LookupData!$A$133</f>
        <v>6</v>
      </c>
      <c r="S64" s="4"/>
    </row>
    <row r="65" spans="2:19" ht="20.100000000000001" customHeight="1" x14ac:dyDescent="0.2">
      <c r="B65" s="196" t="str">
        <f>IF('Subcases Monthly'!B65="","",'Subcases Monthly'!B65)</f>
        <v/>
      </c>
      <c r="C65" s="474" t="str">
        <f>'Subcases Monthly'!C65:D65</f>
        <v>Civil ($8,001 - $15,000) (SRS)</v>
      </c>
      <c r="D65" s="475"/>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860</v>
      </c>
      <c r="M65" s="99">
        <f>IF('Subcases Monthly'!M65="","",('Subcases Monthly'!M65*'Subcases Weighted Total (Auto)'!$R65))</f>
        <v>930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5820</v>
      </c>
      <c r="R65" s="210">
        <f>LookupData!$A$134</f>
        <v>5</v>
      </c>
      <c r="S65" s="4"/>
    </row>
    <row r="66" spans="2:19" ht="20.100000000000001" customHeight="1" x14ac:dyDescent="0.2">
      <c r="B66" s="196" t="str">
        <f>IF('Subcases Monthly'!B66="","",'Subcases Monthly'!B66)</f>
        <v/>
      </c>
      <c r="C66" s="474" t="str">
        <f>'Subcases Monthly'!C66:D66</f>
        <v>Civil ($15,001 - $30,000) (SRS)</v>
      </c>
      <c r="D66" s="475"/>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410</v>
      </c>
      <c r="M66" s="96">
        <f>IF('Subcases Monthly'!M66="","",('Subcases Monthly'!M66*'Subcases Weighted Total (Auto)'!$R66))</f>
        <v>325</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2790</v>
      </c>
      <c r="R66" s="210">
        <f>LookupData!$A$135</f>
        <v>5</v>
      </c>
      <c r="S66" s="4"/>
    </row>
    <row r="67" spans="2:19" ht="20.100000000000001" customHeight="1" x14ac:dyDescent="0.2">
      <c r="B67" s="196"/>
      <c r="C67" s="474" t="str">
        <f>'Subcases Monthly'!C67:D67</f>
        <v>Civil ($30,001 - $50,000) (SRS)</v>
      </c>
      <c r="D67" s="475"/>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150</v>
      </c>
      <c r="M67" s="181">
        <f>IF('Subcases Monthly'!M67="","",('Subcases Monthly'!M67*'Subcases Weighted Total (Auto)'!$R67))</f>
        <v>165</v>
      </c>
      <c r="N67" s="181">
        <f>IF('Subcases Monthly'!N67="","",('Subcases Monthly'!N67*'Subcases Weighted Total (Auto)'!$R67))</f>
        <v>0</v>
      </c>
      <c r="O67" s="181">
        <f>IF('Subcases Monthly'!O67="","",('Subcases Monthly'!O67*'Subcases Weighted Total (Auto)'!$R67))</f>
        <v>0</v>
      </c>
      <c r="P67" s="182">
        <f>IF('Subcases Monthly'!P67="","",('Subcases Monthly'!P67*'Subcases Weighted Total (Auto)'!$R67))</f>
        <v>0</v>
      </c>
      <c r="Q67" s="65">
        <f t="shared" ref="Q67" si="17">SUM(E67:P67)</f>
        <v>1350</v>
      </c>
      <c r="R67" s="210">
        <f>LookupData!$A$136</f>
        <v>5</v>
      </c>
      <c r="S67" s="4"/>
    </row>
    <row r="68" spans="2:19" ht="20.100000000000001" customHeight="1" x14ac:dyDescent="0.2">
      <c r="B68" s="196" t="str">
        <f>IF('Subcases Monthly'!B68="","",'Subcases Monthly'!B68)</f>
        <v/>
      </c>
      <c r="C68" s="474" t="str">
        <f>'Subcases Monthly'!C68:D68</f>
        <v>Replevins (SRS)</v>
      </c>
      <c r="D68" s="475"/>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28</v>
      </c>
      <c r="M68" s="96">
        <f>IF('Subcases Monthly'!M68="","",('Subcases Monthly'!M68*'Subcases Weighted Total (Auto)'!$R68))</f>
        <v>56</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300</v>
      </c>
      <c r="R68" s="210">
        <f>LookupData!$A$137</f>
        <v>4</v>
      </c>
      <c r="S68" s="4"/>
    </row>
    <row r="69" spans="2:19" ht="20.100000000000001" customHeight="1" x14ac:dyDescent="0.2">
      <c r="B69" s="196" t="str">
        <f>IF('Subcases Monthly'!B69="","",'Subcases Monthly'!B69)</f>
        <v/>
      </c>
      <c r="C69" s="474" t="str">
        <f>'Subcases Monthly'!C69:D69</f>
        <v>Evictions (SRS)</v>
      </c>
      <c r="D69" s="475"/>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1458</v>
      </c>
      <c r="M69" s="99">
        <f>IF('Subcases Monthly'!M69="","",('Subcases Monthly'!M69*'Subcases Weighted Total (Auto)'!$R69))</f>
        <v>1506</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13524</v>
      </c>
      <c r="R69" s="210">
        <f>LookupData!$A$138</f>
        <v>6</v>
      </c>
      <c r="S69" s="4"/>
    </row>
    <row r="70" spans="2:19" ht="20.100000000000001" customHeight="1" x14ac:dyDescent="0.2">
      <c r="B70" s="196" t="str">
        <f>IF('Subcases Monthly'!B70="","",'Subcases Monthly'!B70)</f>
        <v/>
      </c>
      <c r="C70" s="474" t="str">
        <f>'Subcases Monthly'!C70:D70</f>
        <v>Other County Civil (Non-Monetary) (SRS)</v>
      </c>
      <c r="D70" s="475"/>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28</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148</v>
      </c>
      <c r="R70" s="210">
        <f>LookupData!$A$139</f>
        <v>4</v>
      </c>
      <c r="S70" s="4"/>
    </row>
    <row r="71" spans="2:19" ht="20.100000000000001" customHeight="1" x14ac:dyDescent="0.2">
      <c r="B71" s="196" t="str">
        <f>IF('Subcases Monthly'!B71="","",'Subcases Monthly'!B71)</f>
        <v/>
      </c>
      <c r="C71" s="474" t="str">
        <f>'Subcases Monthly'!C71:D71</f>
        <v>Foreign Judgments (Non-SRS)</v>
      </c>
      <c r="D71" s="475"/>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15</v>
      </c>
      <c r="M71" s="99">
        <f>IF('Subcases Monthly'!M71="","",('Subcases Monthly'!M71*'Subcases Weighted Total (Auto)'!$R71))</f>
        <v>12</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90</v>
      </c>
      <c r="R71" s="210">
        <f>LookupData!$A$140</f>
        <v>3</v>
      </c>
      <c r="S71" s="4"/>
    </row>
    <row r="72" spans="2:19" ht="20.100000000000001" customHeight="1" x14ac:dyDescent="0.2">
      <c r="B72" s="196" t="str">
        <f>IF('Subcases Monthly'!B72="","",'Subcases Monthly'!B72)</f>
        <v/>
      </c>
      <c r="C72" s="474" t="str">
        <f>'Subcases Monthly'!C72:D72</f>
        <v>Applications for Voluntary Binding Arbitration (Non-SRS)</v>
      </c>
      <c r="D72" s="475"/>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7029</v>
      </c>
      <c r="M74" s="207">
        <f t="shared" si="18"/>
        <v>6468</v>
      </c>
      <c r="N74" s="207">
        <f t="shared" si="18"/>
        <v>0</v>
      </c>
      <c r="O74" s="207">
        <f t="shared" si="18"/>
        <v>0</v>
      </c>
      <c r="P74" s="208">
        <f t="shared" si="18"/>
        <v>0</v>
      </c>
      <c r="Q74" s="110">
        <f t="shared" si="16"/>
        <v>52078</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6" t="str">
        <f>'Subcases Monthly'!C77:D77</f>
        <v>Probate (SRS)</v>
      </c>
      <c r="D77" s="477"/>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1512</v>
      </c>
      <c r="M77" s="93">
        <f>IF('Subcases Monthly'!M77="","",('Subcases Monthly'!M77*'Subcases Weighted Total (Auto)'!$R77))</f>
        <v>1365</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13139</v>
      </c>
      <c r="R77" s="209">
        <f>LookupData!$A$144</f>
        <v>7</v>
      </c>
      <c r="S77" s="4"/>
    </row>
    <row r="78" spans="2:19" ht="20.100000000000001" customHeight="1" x14ac:dyDescent="0.2">
      <c r="B78" s="196" t="str">
        <f>IF('Subcases Monthly'!B78="","",'Subcases Monthly'!B78)</f>
        <v/>
      </c>
      <c r="C78" s="474" t="str">
        <f>'Subcases Monthly'!C78:D78</f>
        <v>Guardianship (SRS)</v>
      </c>
      <c r="D78" s="475"/>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340</v>
      </c>
      <c r="M78" s="96">
        <f>IF('Subcases Monthly'!M78="","",('Subcases Monthly'!M78*'Subcases Weighted Total (Auto)'!$R78))</f>
        <v>190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2080</v>
      </c>
      <c r="R78" s="210">
        <f>LookupData!$A$145</f>
        <v>10</v>
      </c>
      <c r="S78" s="4"/>
    </row>
    <row r="79" spans="2:19" ht="20.100000000000001" customHeight="1" x14ac:dyDescent="0.2">
      <c r="B79" s="196" t="str">
        <f>IF('Subcases Monthly'!B79="","",'Subcases Monthly'!B79)</f>
        <v/>
      </c>
      <c r="C79" s="474" t="str">
        <f>'Subcases Monthly'!C79:D79</f>
        <v>Probate Trust (SRS)</v>
      </c>
      <c r="D79" s="475"/>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28</v>
      </c>
      <c r="M79" s="99">
        <f>IF('Subcases Monthly'!M79="","",('Subcases Monthly'!M79*'Subcases Weighted Total (Auto)'!$R79))</f>
        <v>21</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161</v>
      </c>
      <c r="R79" s="210">
        <f>LookupData!$A$146</f>
        <v>7</v>
      </c>
      <c r="S79" s="4"/>
    </row>
    <row r="80" spans="2:19" ht="20.100000000000001" customHeight="1" x14ac:dyDescent="0.2">
      <c r="B80" s="196" t="str">
        <f>IF('Subcases Monthly'!B80="","",'Subcases Monthly'!B80)</f>
        <v/>
      </c>
      <c r="C80" s="474" t="str">
        <f>'Subcases Monthly'!C80:D80</f>
        <v>Baker Act (SRS)</v>
      </c>
      <c r="D80" s="475"/>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276</v>
      </c>
      <c r="M80" s="96">
        <f>IF('Subcases Monthly'!M80="","",('Subcases Monthly'!M80*'Subcases Weighted Total (Auto)'!$R80))</f>
        <v>324</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3276</v>
      </c>
      <c r="R80" s="210">
        <f>LookupData!$A$147</f>
        <v>6</v>
      </c>
      <c r="S80" s="4"/>
    </row>
    <row r="81" spans="1:19" ht="20.100000000000001" customHeight="1" x14ac:dyDescent="0.2">
      <c r="B81" s="196" t="str">
        <f>IF('Subcases Monthly'!B81="","",'Subcases Monthly'!B81)</f>
        <v/>
      </c>
      <c r="C81" s="474" t="str">
        <f>'Subcases Monthly'!C81:D81</f>
        <v>Substance Abuse Act (SRS)</v>
      </c>
      <c r="D81" s="475"/>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102</v>
      </c>
      <c r="M81" s="99">
        <f>IF('Subcases Monthly'!M81="","",('Subcases Monthly'!M81*'Subcases Weighted Total (Auto)'!$R81))</f>
        <v>144</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1038</v>
      </c>
      <c r="R81" s="210">
        <f>LookupData!$A$148</f>
        <v>6</v>
      </c>
      <c r="S81" s="4"/>
    </row>
    <row r="82" spans="1:19" ht="20.100000000000001" customHeight="1" x14ac:dyDescent="0.2">
      <c r="B82" s="196" t="str">
        <f>IF('Subcases Monthly'!B82="","",'Subcases Monthly'!B82)</f>
        <v/>
      </c>
      <c r="C82" s="474" t="str">
        <f>'Subcases Monthly'!C82:D82</f>
        <v>Other Social (SRS)</v>
      </c>
      <c r="D82" s="475"/>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40</v>
      </c>
      <c r="M82" s="96">
        <f>IF('Subcases Monthly'!M82="","",('Subcases Monthly'!M82*'Subcases Weighted Total (Auto)'!$R82))</f>
        <v>28</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372</v>
      </c>
      <c r="R82" s="210">
        <f>LookupData!$A$149</f>
        <v>4</v>
      </c>
      <c r="S82" s="4"/>
    </row>
    <row r="83" spans="1:19" ht="20.100000000000001" customHeight="1" x14ac:dyDescent="0.2">
      <c r="B83" s="196"/>
      <c r="C83" s="474" t="str">
        <f>'Subcases Monthly'!C83:D83</f>
        <v>Involuntary Civil Commitment of Sexually Violent Predators (SRS)</v>
      </c>
      <c r="D83" s="475"/>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74" t="str">
        <f>'Subcases Monthly'!C84:D84</f>
        <v>Risk Protection Orders (SRS)</v>
      </c>
      <c r="D84" s="475"/>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24</v>
      </c>
      <c r="M84" s="96">
        <f>IF('Subcases Monthly'!M84="","",('Subcases Monthly'!M84*'Subcases Weighted Total (Auto)'!$R84))</f>
        <v>24</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192</v>
      </c>
      <c r="R84" s="210">
        <f>LookupData!$A$151</f>
        <v>6</v>
      </c>
      <c r="S84" s="4"/>
    </row>
    <row r="85" spans="1:19" ht="20.100000000000001" customHeight="1" x14ac:dyDescent="0.2">
      <c r="B85" s="196" t="str">
        <f>IF('Subcases Monthly'!B85="","",'Subcases Monthly'!B85)</f>
        <v/>
      </c>
      <c r="C85" s="474" t="str">
        <f>'Subcases Monthly'!C85:D85</f>
        <v>Wills on Deposit (Non-SRS)</v>
      </c>
      <c r="D85" s="475"/>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141</v>
      </c>
      <c r="M85" s="99">
        <f>IF('Subcases Monthly'!M85="","",('Subcases Monthly'!M85*'Subcases Weighted Total (Auto)'!$R85))</f>
        <v>124</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1150</v>
      </c>
      <c r="R85" s="210">
        <f>LookupData!$A$152</f>
        <v>1</v>
      </c>
      <c r="S85" s="4"/>
    </row>
    <row r="86" spans="1:19" ht="20.100000000000001" customHeight="1" x14ac:dyDescent="0.2">
      <c r="B86" s="196" t="str">
        <f>IF('Subcases Monthly'!B86="","",'Subcases Monthly'!B86)</f>
        <v/>
      </c>
      <c r="C86" s="474" t="str">
        <f>'Subcases Monthly'!C86:D86</f>
        <v>Pre-Need Guardianship (Non-SRS)</v>
      </c>
      <c r="D86" s="475"/>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123</v>
      </c>
      <c r="M86" s="96">
        <f>IF('Subcases Monthly'!M86="","",('Subcases Monthly'!M86*'Subcases Weighted Total (Auto)'!$R86))</f>
        <v>93</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959</v>
      </c>
      <c r="R86" s="210">
        <f>LookupData!$A$153</f>
        <v>1</v>
      </c>
      <c r="S86" s="4"/>
    </row>
    <row r="87" spans="1:19" ht="20.100000000000001" customHeight="1" x14ac:dyDescent="0.2">
      <c r="B87" s="196" t="str">
        <f>IF('Subcases Monthly'!B87="","",'Subcases Monthly'!B87)</f>
        <v/>
      </c>
      <c r="C87" s="474" t="str">
        <f>'Subcases Monthly'!C87:D87</f>
        <v>Notice of Trust (Non-SRS)</v>
      </c>
      <c r="D87" s="475"/>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27</v>
      </c>
      <c r="M87" s="99">
        <f>IF('Subcases Monthly'!M87="","",('Subcases Monthly'!M87*'Subcases Weighted Total (Auto)'!$R87))</f>
        <v>33</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327</v>
      </c>
      <c r="R87" s="210">
        <f>LookupData!$A$154</f>
        <v>1</v>
      </c>
      <c r="S87" s="4"/>
    </row>
    <row r="88" spans="1:19" ht="20.100000000000001" customHeight="1" x14ac:dyDescent="0.2">
      <c r="B88" s="196" t="str">
        <f>IF('Subcases Monthly'!B88="","",'Subcases Monthly'!B88)</f>
        <v/>
      </c>
      <c r="C88" s="474" t="str">
        <f>'Subcases Monthly'!C88:D88</f>
        <v>Petition to Open Safe Deposit Box (Non-SRS)</v>
      </c>
      <c r="D88" s="475"/>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2</v>
      </c>
      <c r="M88" s="96">
        <f>IF('Subcases Monthly'!M88="","",('Subcases Monthly'!M88*'Subcases Weighted Total (Auto)'!$R88))</f>
        <v>2</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12</v>
      </c>
      <c r="R88" s="210">
        <f>LookupData!$A$155</f>
        <v>2</v>
      </c>
      <c r="S88" s="4"/>
    </row>
    <row r="89" spans="1:19" ht="20.100000000000001" customHeight="1" x14ac:dyDescent="0.2">
      <c r="B89" s="196" t="str">
        <f>IF('Subcases Monthly'!B89="","",'Subcases Monthly'!B89)</f>
        <v/>
      </c>
      <c r="C89" s="474" t="str">
        <f>'Subcases Monthly'!C89:D89</f>
        <v>Caveat (Non-SRS)</v>
      </c>
      <c r="D89" s="475"/>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14</v>
      </c>
      <c r="M89" s="99">
        <f>IF('Subcases Monthly'!M89="","",('Subcases Monthly'!M89*'Subcases Weighted Total (Auto)'!$R89))</f>
        <v>24</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210</v>
      </c>
      <c r="R89" s="210">
        <f>LookupData!$A$156</f>
        <v>2</v>
      </c>
      <c r="S89" s="4"/>
    </row>
    <row r="90" spans="1:19" ht="20.100000000000001" customHeight="1" x14ac:dyDescent="0.2">
      <c r="B90" s="196" t="str">
        <f>IF('Subcases Monthly'!B90="","",'Subcases Monthly'!B90)</f>
        <v/>
      </c>
      <c r="C90" s="474" t="str">
        <f>'Subcases Monthly'!C90:D90</f>
        <v>Petition to Gain Entry to Apartment of Dwelling (Non-SRS)</v>
      </c>
      <c r="D90" s="475"/>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74" t="str">
        <f>'Subcases Monthly'!C91:D91</f>
        <v>Cert of Person's Imminent Dangerousness (Non-SRS)</v>
      </c>
      <c r="D91" s="475"/>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74" t="str">
        <f>'Subcases Monthly'!C92:D92</f>
        <v>Vulnerable Adults (SRS)</v>
      </c>
      <c r="D92" s="475"/>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6</v>
      </c>
      <c r="M92" s="96">
        <f>IF('Subcases Monthly'!M92="","",('Subcases Monthly'!M92*'Subcases Weighted Total (Auto)'!$R92))</f>
        <v>6</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42</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2635</v>
      </c>
      <c r="M94" s="207">
        <f t="shared" si="21"/>
        <v>2378</v>
      </c>
      <c r="N94" s="207">
        <f t="shared" si="21"/>
        <v>0</v>
      </c>
      <c r="O94" s="207">
        <f t="shared" si="21"/>
        <v>0</v>
      </c>
      <c r="P94" s="208">
        <f t="shared" si="21"/>
        <v>0</v>
      </c>
      <c r="Q94" s="73">
        <f t="shared" si="20"/>
        <v>22966</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6" t="str">
        <f>'Subcases Monthly'!C97:D97</f>
        <v>Simplified Dissolution (SRS)</v>
      </c>
      <c r="D97" s="477"/>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72</v>
      </c>
      <c r="M97" s="93">
        <f>IF('Subcases Monthly'!M97="","",('Subcases Monthly'!M97*'Subcases Weighted Total (Auto)'!$R97))</f>
        <v>48</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632</v>
      </c>
      <c r="R97" s="209">
        <f>LookupData!$A$162</f>
        <v>4</v>
      </c>
      <c r="S97" s="4"/>
    </row>
    <row r="98" spans="1:19" ht="20.100000000000001" customHeight="1" x14ac:dyDescent="0.2">
      <c r="A98" s="8"/>
      <c r="B98" s="196" t="str">
        <f>IF('Subcases Monthly'!B98="","",'Subcases Monthly'!B98)</f>
        <v/>
      </c>
      <c r="C98" s="474" t="str">
        <f>'Subcases Monthly'!C98:D98</f>
        <v>Dissolution (SRS)</v>
      </c>
      <c r="D98" s="475"/>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1197</v>
      </c>
      <c r="M98" s="96">
        <f>IF('Subcases Monthly'!M98="","",('Subcases Monthly'!M98*'Subcases Weighted Total (Auto)'!$R98))</f>
        <v>1197</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11232</v>
      </c>
      <c r="R98" s="210">
        <f>LookupData!$A$163</f>
        <v>9</v>
      </c>
      <c r="S98" s="4"/>
    </row>
    <row r="99" spans="1:19" ht="20.100000000000001" customHeight="1" x14ac:dyDescent="0.2">
      <c r="A99" s="8"/>
      <c r="B99" s="196" t="str">
        <f>IF('Subcases Monthly'!B99="","",'Subcases Monthly'!B99)</f>
        <v/>
      </c>
      <c r="C99" s="474" t="str">
        <f>'Subcases Monthly'!C99:D99</f>
        <v>Injunctions for Protection (SRS)</v>
      </c>
      <c r="D99" s="475"/>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1038</v>
      </c>
      <c r="M99" s="99">
        <f>IF('Subcases Monthly'!M99="","",('Subcases Monthly'!M99*'Subcases Weighted Total (Auto)'!$R99))</f>
        <v>1110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9162</v>
      </c>
      <c r="R99" s="210">
        <f>LookupData!$A$164</f>
        <v>6</v>
      </c>
      <c r="S99" s="4"/>
    </row>
    <row r="100" spans="1:19" ht="20.100000000000001" customHeight="1" x14ac:dyDescent="0.2">
      <c r="A100" s="8"/>
      <c r="B100" s="196" t="str">
        <f>IF('Subcases Monthly'!B100="","",'Subcases Monthly'!B100)</f>
        <v/>
      </c>
      <c r="C100" s="474" t="str">
        <f>'Subcases Monthly'!C100:D100</f>
        <v>Support (IV-D and Non IV-D) (SRS)</v>
      </c>
      <c r="D100" s="475"/>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88</v>
      </c>
      <c r="M100" s="96">
        <f>IF('Subcases Monthly'!M100="","",('Subcases Monthly'!M100*'Subcases Weighted Total (Auto)'!$R100))</f>
        <v>80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784</v>
      </c>
      <c r="R100" s="210">
        <f>LookupData!$A$165</f>
        <v>8</v>
      </c>
      <c r="S100" s="4"/>
    </row>
    <row r="101" spans="1:19" ht="20.100000000000001" customHeight="1" x14ac:dyDescent="0.2">
      <c r="A101" s="8"/>
      <c r="B101" s="196" t="str">
        <f>IF('Subcases Monthly'!B101="","",'Subcases Monthly'!B101)</f>
        <v/>
      </c>
      <c r="C101" s="474" t="str">
        <f>'Subcases Monthly'!C101:D101</f>
        <v>UIFSA (IV-D and Non IV-D) (SRS)</v>
      </c>
      <c r="D101" s="475"/>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6</v>
      </c>
      <c r="M101" s="99">
        <f>IF('Subcases Monthly'!M101="","",('Subcases Monthly'!M101*'Subcases Weighted Total (Auto)'!$R101))</f>
        <v>6</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54</v>
      </c>
      <c r="R101" s="210">
        <f>LookupData!$A$166</f>
        <v>6</v>
      </c>
      <c r="S101" s="4"/>
    </row>
    <row r="102" spans="1:19" ht="20.100000000000001" customHeight="1" x14ac:dyDescent="0.2">
      <c r="A102" s="8"/>
      <c r="B102" s="196" t="str">
        <f>IF('Subcases Monthly'!B102="","",'Subcases Monthly'!B102)</f>
        <v/>
      </c>
      <c r="C102" s="474" t="str">
        <f>'Subcases Monthly'!C102:D102</f>
        <v>Other Family Court (SRS)</v>
      </c>
      <c r="D102" s="475"/>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65</v>
      </c>
      <c r="M102" s="96">
        <f>IF('Subcases Monthly'!M102="","",('Subcases Monthly'!M102*'Subcases Weighted Total (Auto)'!$R102))</f>
        <v>75</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685</v>
      </c>
      <c r="R102" s="210">
        <f>LookupData!$A$167</f>
        <v>5</v>
      </c>
      <c r="S102" s="4"/>
    </row>
    <row r="103" spans="1:19" ht="20.100000000000001" customHeight="1" x14ac:dyDescent="0.2">
      <c r="A103" s="8"/>
      <c r="B103" s="196" t="str">
        <f>IF('Subcases Monthly'!B103="","",'Subcases Monthly'!B103)</f>
        <v/>
      </c>
      <c r="C103" s="474" t="str">
        <f>'Subcases Monthly'!C103:D103</f>
        <v>Adoption Arising out of Chapter 63 (SRS)</v>
      </c>
      <c r="D103" s="475"/>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92</v>
      </c>
      <c r="M103" s="99">
        <f>IF('Subcases Monthly'!M103="","",('Subcases Monthly'!M103*'Subcases Weighted Total (Auto)'!$R103))</f>
        <v>68</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696</v>
      </c>
      <c r="R103" s="210">
        <f>LookupData!$A$168</f>
        <v>4</v>
      </c>
      <c r="S103" s="4"/>
    </row>
    <row r="104" spans="1:19" ht="20.100000000000001" customHeight="1" x14ac:dyDescent="0.2">
      <c r="A104" s="8"/>
      <c r="B104" s="196" t="str">
        <f>IF('Subcases Monthly'!B104="","",'Subcases Monthly'!B104)</f>
        <v/>
      </c>
      <c r="C104" s="474" t="str">
        <f>'Subcases Monthly'!C104:D104</f>
        <v>Name Change (SRS)</v>
      </c>
      <c r="D104" s="475"/>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105</v>
      </c>
      <c r="M104" s="96">
        <f>IF('Subcases Monthly'!M104="","",('Subcases Monthly'!M104*'Subcases Weighted Total (Auto)'!$R104))</f>
        <v>165</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1020</v>
      </c>
      <c r="R104" s="210">
        <f>LookupData!$A$169</f>
        <v>5</v>
      </c>
      <c r="S104" s="4"/>
    </row>
    <row r="105" spans="1:19" ht="20.100000000000001" customHeight="1" x14ac:dyDescent="0.2">
      <c r="A105" s="8"/>
      <c r="B105" s="196" t="str">
        <f>IF('Subcases Monthly'!B105="","",'Subcases Monthly'!B105)</f>
        <v/>
      </c>
      <c r="C105" s="474" t="str">
        <f>'Subcases Monthly'!C105:D105</f>
        <v>Paternity/Disestablishment of Paternity (SRS)</v>
      </c>
      <c r="D105" s="475"/>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210</v>
      </c>
      <c r="M105" s="99">
        <f>IF('Subcases Monthly'!M105="","",('Subcases Monthly'!M105*'Subcases Weighted Total (Auto)'!$R105))</f>
        <v>175</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1813</v>
      </c>
      <c r="R105" s="210">
        <f>LookupData!$A$170</f>
        <v>7</v>
      </c>
      <c r="S105" s="4"/>
    </row>
    <row r="106" spans="1:19" ht="20.100000000000001" customHeight="1" x14ac:dyDescent="0.2">
      <c r="A106" s="8"/>
      <c r="B106" s="196" t="str">
        <f>IF('Subcases Monthly'!B106="","",'Subcases Monthly'!B106)</f>
        <v/>
      </c>
      <c r="C106" s="474" t="str">
        <f>'Subcases Monthly'!C106:D106</f>
        <v>New Cases (Non-SRS)</v>
      </c>
      <c r="D106" s="475"/>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80</v>
      </c>
      <c r="M106" s="96">
        <f>IF('Subcases Monthly'!M106="","",('Subcases Monthly'!M106*'Subcases Weighted Total (Auto)'!$R106))</f>
        <v>98</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782</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2953</v>
      </c>
      <c r="M108" s="207">
        <f t="shared" si="24"/>
        <v>3022</v>
      </c>
      <c r="N108" s="207">
        <f t="shared" si="24"/>
        <v>0</v>
      </c>
      <c r="O108" s="207">
        <f t="shared" si="24"/>
        <v>0</v>
      </c>
      <c r="P108" s="208">
        <f t="shared" si="24"/>
        <v>0</v>
      </c>
      <c r="Q108" s="69">
        <f t="shared" si="23"/>
        <v>26860</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6" t="str">
        <f>'Subcases Monthly'!C111:D111</f>
        <v>Dependency Initiating Petitions (SRS)</v>
      </c>
      <c r="D111" s="477"/>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108</v>
      </c>
      <c r="M111" s="93">
        <f>IF('Subcases Monthly'!M111="","",('Subcases Monthly'!M111*'Subcases Weighted Total (Auto)'!$R111))</f>
        <v>153</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1323</v>
      </c>
      <c r="R111" s="209">
        <f>LookupData!$A$174</f>
        <v>9</v>
      </c>
      <c r="S111" s="4"/>
    </row>
    <row r="112" spans="1:19" ht="20.100000000000001" customHeight="1" x14ac:dyDescent="0.2">
      <c r="B112" s="196" t="str">
        <f>IF('Subcases Monthly'!B112="","",'Subcases Monthly'!B112)</f>
        <v/>
      </c>
      <c r="C112" s="474" t="str">
        <f>'Subcases Monthly'!C112:D112</f>
        <v>Petitions to Remove Disabilities of Non-Age Minors (743.015) (SRS)</v>
      </c>
      <c r="D112" s="475"/>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3</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10">
        <f>LookupData!$A$175</f>
        <v>3</v>
      </c>
      <c r="S112" s="4"/>
    </row>
    <row r="113" spans="1:19" ht="20.100000000000001" customHeight="1" x14ac:dyDescent="0.2">
      <c r="B113" s="196" t="str">
        <f>IF('Subcases Monthly'!B113="","",'Subcases Monthly'!B113)</f>
        <v/>
      </c>
      <c r="C113" s="474" t="str">
        <f>'Subcases Monthly'!C113:D113</f>
        <v>CINS/FINS (SRS)</v>
      </c>
      <c r="D113" s="475"/>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12</v>
      </c>
      <c r="R113" s="210">
        <f>LookupData!$A$176</f>
        <v>4</v>
      </c>
      <c r="S113" s="4"/>
    </row>
    <row r="114" spans="1:19" ht="20.100000000000001" customHeight="1" x14ac:dyDescent="0.2">
      <c r="B114" s="196" t="str">
        <f>IF('Subcases Monthly'!B114="","",'Subcases Monthly'!B114)</f>
        <v/>
      </c>
      <c r="C114" s="474" t="str">
        <f>'Subcases Monthly'!C114:D114</f>
        <v>Parental Notice of Abortion Act (SRS)</v>
      </c>
      <c r="D114" s="475"/>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12</v>
      </c>
      <c r="R114" s="210">
        <f>LookupData!$A$177</f>
        <v>3</v>
      </c>
      <c r="S114" s="4"/>
    </row>
    <row r="115" spans="1:19" ht="20.100000000000001" customHeight="1" x14ac:dyDescent="0.2">
      <c r="B115" s="196" t="str">
        <f>IF('Subcases Monthly'!B115="","",'Subcases Monthly'!B115)</f>
        <v/>
      </c>
      <c r="C115" s="474" t="str">
        <f>'Subcases Monthly'!C115:D115</f>
        <v>Truancy (Non-SRS)</v>
      </c>
      <c r="D115" s="475"/>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36</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200</v>
      </c>
      <c r="R115" s="210">
        <f>LookupData!$A$178</f>
        <v>4</v>
      </c>
      <c r="S115" s="4"/>
    </row>
    <row r="116" spans="1:19" ht="20.100000000000001" customHeight="1" x14ac:dyDescent="0.2">
      <c r="B116" s="196" t="str">
        <f>IF('Subcases Monthly'!B116="","",'Subcases Monthly'!B116)</f>
        <v/>
      </c>
      <c r="C116" s="474" t="str">
        <f>'Subcases Monthly'!C116:D116</f>
        <v>Transfers for Jurisdiction/Supervision Only (Non-SRS)</v>
      </c>
      <c r="D116" s="475"/>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74" t="str">
        <f>'Subcases Monthly'!C117:D117</f>
        <v>DCF Dependency Petition for Injunction per Chapter 39 (Non-SRS)</v>
      </c>
      <c r="D117" s="475"/>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74" t="str">
        <f>'Subcases Monthly'!C118:D118</f>
        <v>Other New Cases (Non-SRS)</v>
      </c>
      <c r="D118" s="475"/>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108</v>
      </c>
      <c r="M120" s="207">
        <f t="shared" si="27"/>
        <v>192</v>
      </c>
      <c r="N120" s="207">
        <f t="shared" si="27"/>
        <v>0</v>
      </c>
      <c r="O120" s="207">
        <f t="shared" si="27"/>
        <v>0</v>
      </c>
      <c r="P120" s="208">
        <f t="shared" si="27"/>
        <v>0</v>
      </c>
      <c r="Q120" s="110">
        <f t="shared" si="26"/>
        <v>1550</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89" t="str">
        <f>'Subcases Monthly'!C123:D123</f>
        <v>Uniform Traffic Citations</v>
      </c>
      <c r="D123" s="490"/>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6253.5</v>
      </c>
      <c r="M123" s="189">
        <f>IF('Subcases Monthly'!M123="","",('Subcases Monthly'!M123*'Subcases Weighted Total (Auto)'!$R123))</f>
        <v>5650.5</v>
      </c>
      <c r="N123" s="189">
        <f>IF('Subcases Monthly'!N123="","",('Subcases Monthly'!N123*'Subcases Weighted Total (Auto)'!$R123))</f>
        <v>0</v>
      </c>
      <c r="O123" s="189">
        <f>IF('Subcases Monthly'!O123="","",('Subcases Monthly'!O123*'Subcases Weighted Total (Auto)'!$R123))</f>
        <v>0</v>
      </c>
      <c r="P123" s="190">
        <f>IF('Subcases Monthly'!P123="","",('Subcases Monthly'!P123*'Subcases Weighted Total (Auto)'!$R123))</f>
        <v>0</v>
      </c>
      <c r="Q123" s="191">
        <f t="shared" ref="Q123:Q124" si="29">SUM(E123:P123)</f>
        <v>48462</v>
      </c>
      <c r="R123" s="187">
        <f>LookupData!$A$184</f>
        <v>1.5</v>
      </c>
      <c r="S123" s="4"/>
    </row>
    <row r="124" spans="1:19" ht="20.100000000000001" customHeight="1" thickTop="1" thickBot="1" x14ac:dyDescent="0.25">
      <c r="B124" s="200" t="str">
        <f>IF('Subcases Monthly'!B124="","",'Subcases Monthly'!B124)</f>
        <v/>
      </c>
      <c r="C124" s="487" t="str">
        <f>'Subcases Monthly'!C124:D124</f>
        <v>Total Civil Traffic - UTCs =</v>
      </c>
      <c r="D124" s="488"/>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6253.5</v>
      </c>
      <c r="M124" s="64">
        <f t="shared" si="30"/>
        <v>5650.5</v>
      </c>
      <c r="N124" s="64">
        <f t="shared" si="30"/>
        <v>0</v>
      </c>
      <c r="O124" s="64">
        <f t="shared" si="30"/>
        <v>0</v>
      </c>
      <c r="P124" s="77">
        <f t="shared" si="30"/>
        <v>0</v>
      </c>
      <c r="Q124" s="110">
        <f t="shared" si="29"/>
        <v>48462</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June</v>
      </c>
      <c r="C9" s="43" t="str">
        <f>IF('Subcases Monthly'!H4="",TEXT(EDATE(B5,-1),"MMMM"),'Subcases Monthly'!H4)</f>
        <v>June</v>
      </c>
      <c r="G9" s="47">
        <v>8</v>
      </c>
      <c r="L9" s="48"/>
    </row>
    <row r="10" spans="1:14" x14ac:dyDescent="0.25">
      <c r="A10" s="49" t="s">
        <v>115</v>
      </c>
      <c r="B10" s="43" t="str">
        <f>E1&amp;" "&amp;B1&amp;" "&amp;B9&amp;" Ver"&amp;B8&amp;" "&amp;TEXT(B5,"Mmddyy")&amp;".xlsx"</f>
        <v>Brevard Outputs June VerCarol Vail  012024.xlsx</v>
      </c>
      <c r="G10" s="47">
        <v>9</v>
      </c>
      <c r="L10" s="48"/>
    </row>
    <row r="11" spans="1:14" x14ac:dyDescent="0.25">
      <c r="A11" s="49" t="s">
        <v>117</v>
      </c>
      <c r="B11" s="43" t="str">
        <f>"R:\!CFY"&amp;(N2-2000)&amp;""&amp;(N2-1999)&amp;"\Incoming Reports\Outputs\"&amp;B9&amp;"\"</f>
        <v>R:\!CFY2324\Incoming Reports\Outputs\June\</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577</v>
      </c>
      <c r="O21" s="193">
        <f>'Subcases Monthly'!M11</f>
        <v>554</v>
      </c>
      <c r="P21" s="193">
        <f>'Subcases Monthly'!N11</f>
        <v>0</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1</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25</v>
      </c>
      <c r="O23" s="193">
        <f>'Subcases Monthly'!M13</f>
        <v>24</v>
      </c>
      <c r="P23" s="193">
        <f>'Subcases Monthly'!N13</f>
        <v>0</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419</v>
      </c>
      <c r="L25" s="193">
        <f>'Subcases Monthly'!J18</f>
        <v>415</v>
      </c>
      <c r="M25" s="193">
        <f>'Subcases Monthly'!K18</f>
        <v>468</v>
      </c>
      <c r="N25" s="193">
        <f>'Subcases Monthly'!L18</f>
        <v>461</v>
      </c>
      <c r="O25" s="193">
        <f>'Subcases Monthly'!M18</f>
        <v>446</v>
      </c>
      <c r="P25" s="193">
        <f>'Subcases Monthly'!N18</f>
        <v>0</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7</v>
      </c>
      <c r="O26" s="193">
        <f>'Subcases Monthly'!M19</f>
        <v>6</v>
      </c>
      <c r="P26" s="193">
        <f>'Subcases Monthly'!N19</f>
        <v>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156</v>
      </c>
      <c r="O27" s="193">
        <f>'Subcases Monthly'!M20</f>
        <v>194</v>
      </c>
      <c r="P27" s="193">
        <f>'Subcases Monthly'!N20</f>
        <v>0</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5</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96</v>
      </c>
      <c r="O30" s="193">
        <f>'Subcases Monthly'!M26</f>
        <v>75</v>
      </c>
      <c r="P30" s="193">
        <f>'Subcases Monthly'!N26</f>
        <v>0</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9</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199</v>
      </c>
      <c r="O34" s="193">
        <f>'Subcases Monthly'!M33</f>
        <v>209</v>
      </c>
      <c r="P34" s="193">
        <f>'Subcases Monthly'!N33</f>
        <v>0</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656</v>
      </c>
      <c r="O35" s="193">
        <f>'Subcases Monthly'!M34</f>
        <v>639</v>
      </c>
      <c r="P35" s="193">
        <f>'Subcases Monthly'!N34</f>
        <v>0</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4</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3</v>
      </c>
      <c r="O37" s="193">
        <f>'Subcases Monthly'!M39</f>
        <v>5</v>
      </c>
      <c r="P37" s="193">
        <f>'Subcases Monthly'!N39</f>
        <v>0</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1</v>
      </c>
      <c r="P38" s="193">
        <f>'Subcases Monthly'!N40</f>
        <v>0</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68</v>
      </c>
      <c r="O39" s="193">
        <f>'Subcases Monthly'!M41</f>
        <v>59</v>
      </c>
      <c r="P39" s="193">
        <f>'Subcases Monthly'!N41</f>
        <v>0</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1</v>
      </c>
      <c r="O40" s="193">
        <f>'Subcases Monthly'!M42</f>
        <v>3</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75</v>
      </c>
      <c r="O41" s="193">
        <f>'Subcases Monthly'!M43</f>
        <v>64</v>
      </c>
      <c r="P41" s="193">
        <f>'Subcases Monthly'!N43</f>
        <v>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9</v>
      </c>
      <c r="O42" s="193">
        <f>'Subcases Monthly'!M44</f>
        <v>4</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47</v>
      </c>
      <c r="O43" s="193">
        <f>'Subcases Monthly'!M45</f>
        <v>50</v>
      </c>
      <c r="P43" s="193">
        <f>'Subcases Monthly'!N45</f>
        <v>0</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2</v>
      </c>
      <c r="O44" s="193">
        <f>'Subcases Monthly'!M46</f>
        <v>0</v>
      </c>
      <c r="P44" s="193">
        <f>'Subcases Monthly'!N46</f>
        <v>0</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40</v>
      </c>
      <c r="O45" s="193">
        <f>'Subcases Monthly'!M47</f>
        <v>32</v>
      </c>
      <c r="P45" s="193">
        <f>'Subcases Monthly'!N47</f>
        <v>0</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25</v>
      </c>
      <c r="O46" s="193">
        <f>'Subcases Monthly'!M48</f>
        <v>29</v>
      </c>
      <c r="P46" s="193">
        <f>'Subcases Monthly'!N48</f>
        <v>0</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30</v>
      </c>
      <c r="O47" s="193">
        <f>'Subcases Monthly'!M49</f>
        <v>26</v>
      </c>
      <c r="P47" s="193">
        <f>'Subcases Monthly'!N49</f>
        <v>0</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37</v>
      </c>
      <c r="O48" s="193">
        <f>'Subcases Monthly'!M50</f>
        <v>27</v>
      </c>
      <c r="P48" s="193">
        <f>'Subcases Monthly'!N50</f>
        <v>0</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1</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12</v>
      </c>
      <c r="O52" s="193">
        <f>'Subcases Monthly'!M54</f>
        <v>8</v>
      </c>
      <c r="P52" s="193">
        <f>'Subcases Monthly'!N54</f>
        <v>0</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3</v>
      </c>
      <c r="O53" s="193">
        <f>'Subcases Monthly'!M55</f>
        <v>0</v>
      </c>
      <c r="P53" s="193">
        <f>'Subcases Monthly'!N55</f>
        <v>0</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3</v>
      </c>
      <c r="O56" s="193">
        <f>'Subcases Monthly'!M58</f>
        <v>0</v>
      </c>
      <c r="P56" s="193">
        <f>'Subcases Monthly'!N58</f>
        <v>0</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515</v>
      </c>
      <c r="O58" s="193">
        <f>'Subcases Monthly'!M63</f>
        <v>439</v>
      </c>
      <c r="P58" s="193">
        <f>'Subcases Monthly'!N63</f>
        <v>0</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165</v>
      </c>
      <c r="O59" s="193">
        <f>'Subcases Monthly'!M64</f>
        <v>140</v>
      </c>
      <c r="P59" s="193">
        <f>'Subcases Monthly'!N64</f>
        <v>0</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172</v>
      </c>
      <c r="O60" s="193">
        <f>'Subcases Monthly'!M65</f>
        <v>186</v>
      </c>
      <c r="P60" s="193">
        <f>'Subcases Monthly'!N65</f>
        <v>0</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82</v>
      </c>
      <c r="O61" s="193">
        <f>'Subcases Monthly'!M66</f>
        <v>65</v>
      </c>
      <c r="P61" s="193">
        <f>'Subcases Monthly'!N66</f>
        <v>0</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30</v>
      </c>
      <c r="O62" s="193">
        <f>'Subcases Monthly'!M67</f>
        <v>33</v>
      </c>
      <c r="P62" s="193">
        <f>'Subcases Monthly'!N67</f>
        <v>0</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7</v>
      </c>
      <c r="O63" s="193">
        <f>'Subcases Monthly'!M68</f>
        <v>14</v>
      </c>
      <c r="P63" s="193">
        <f>'Subcases Monthly'!N68</f>
        <v>0</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243</v>
      </c>
      <c r="O64" s="193">
        <f>'Subcases Monthly'!M69</f>
        <v>251</v>
      </c>
      <c r="P64" s="193">
        <f>'Subcases Monthly'!N69</f>
        <v>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7</v>
      </c>
      <c r="O65" s="193">
        <f>'Subcases Monthly'!M70</f>
        <v>0</v>
      </c>
      <c r="P65" s="193">
        <f>'Subcases Monthly'!N70</f>
        <v>0</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5</v>
      </c>
      <c r="O66" s="193">
        <f>'Subcases Monthly'!M71</f>
        <v>4</v>
      </c>
      <c r="P66" s="193">
        <f>'Subcases Monthly'!N71</f>
        <v>0</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216</v>
      </c>
      <c r="O69" s="193">
        <f>'Subcases Monthly'!M77</f>
        <v>195</v>
      </c>
      <c r="P69" s="193">
        <f>'Subcases Monthly'!N77</f>
        <v>0</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34</v>
      </c>
      <c r="O70" s="193">
        <f>'Subcases Monthly'!M78</f>
        <v>19</v>
      </c>
      <c r="P70" s="193">
        <f>'Subcases Monthly'!N78</f>
        <v>0</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4</v>
      </c>
      <c r="O71" s="193">
        <f>'Subcases Monthly'!M79</f>
        <v>3</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46</v>
      </c>
      <c r="O72" s="193">
        <f>'Subcases Monthly'!M80</f>
        <v>54</v>
      </c>
      <c r="P72" s="193">
        <f>'Subcases Monthly'!N80</f>
        <v>0</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17</v>
      </c>
      <c r="O73" s="193">
        <f>'Subcases Monthly'!M81</f>
        <v>24</v>
      </c>
      <c r="P73" s="193">
        <f>'Subcases Monthly'!N81</f>
        <v>0</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10</v>
      </c>
      <c r="O74" s="193">
        <f>'Subcases Monthly'!M82</f>
        <v>7</v>
      </c>
      <c r="P74" s="193">
        <f>'Subcases Monthly'!N82</f>
        <v>0</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4</v>
      </c>
      <c r="O76" s="193">
        <f>'Subcases Monthly'!M84</f>
        <v>4</v>
      </c>
      <c r="P76" s="193">
        <f>'Subcases Monthly'!N84</f>
        <v>0</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141</v>
      </c>
      <c r="O77" s="193">
        <f>'Subcases Monthly'!M85</f>
        <v>124</v>
      </c>
      <c r="P77" s="193">
        <f>'Subcases Monthly'!N85</f>
        <v>0</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123</v>
      </c>
      <c r="O78" s="193">
        <f>'Subcases Monthly'!M86</f>
        <v>93</v>
      </c>
      <c r="P78" s="193">
        <f>'Subcases Monthly'!N86</f>
        <v>0</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27</v>
      </c>
      <c r="O79" s="193">
        <f>'Subcases Monthly'!M87</f>
        <v>33</v>
      </c>
      <c r="P79" s="193">
        <f>'Subcases Monthly'!N87</f>
        <v>0</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1</v>
      </c>
      <c r="O80" s="193">
        <f>'Subcases Monthly'!M88</f>
        <v>1</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7</v>
      </c>
      <c r="O81" s="193">
        <f>'Subcases Monthly'!M89</f>
        <v>12</v>
      </c>
      <c r="P81" s="193">
        <f>'Subcases Monthly'!N89</f>
        <v>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1</v>
      </c>
      <c r="O84" s="193">
        <f>'Subcases Monthly'!M92</f>
        <v>1</v>
      </c>
      <c r="P84" s="193">
        <f>'Subcases Monthly'!N92</f>
        <v>0</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18</v>
      </c>
      <c r="O86" s="193">
        <f>'Subcases Monthly'!M97</f>
        <v>12</v>
      </c>
      <c r="P86" s="193">
        <f>'Subcases Monthly'!N97</f>
        <v>0</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133</v>
      </c>
      <c r="O87" s="193">
        <f>'Subcases Monthly'!M98</f>
        <v>133</v>
      </c>
      <c r="P87" s="193">
        <f>'Subcases Monthly'!N98</f>
        <v>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173</v>
      </c>
      <c r="O88" s="193">
        <f>'Subcases Monthly'!M99</f>
        <v>185</v>
      </c>
      <c r="P88" s="193">
        <f>'Subcases Monthly'!N99</f>
        <v>0</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11</v>
      </c>
      <c r="O89" s="193">
        <f>'Subcases Monthly'!M100</f>
        <v>10</v>
      </c>
      <c r="P89" s="193">
        <f>'Subcases Monthly'!N100</f>
        <v>0</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1</v>
      </c>
      <c r="O90" s="193">
        <f>'Subcases Monthly'!M101</f>
        <v>1</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13</v>
      </c>
      <c r="O91" s="193">
        <f>'Subcases Monthly'!M102</f>
        <v>15</v>
      </c>
      <c r="P91" s="193">
        <f>'Subcases Monthly'!N102</f>
        <v>0</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23</v>
      </c>
      <c r="O92" s="193">
        <f>'Subcases Monthly'!M103</f>
        <v>17</v>
      </c>
      <c r="P92" s="193">
        <f>'Subcases Monthly'!N103</f>
        <v>0</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21</v>
      </c>
      <c r="O93" s="193">
        <f>'Subcases Monthly'!M104</f>
        <v>33</v>
      </c>
      <c r="P93" s="193">
        <f>'Subcases Monthly'!N104</f>
        <v>0</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30</v>
      </c>
      <c r="O94" s="193">
        <f>'Subcases Monthly'!M105</f>
        <v>25</v>
      </c>
      <c r="P94" s="193">
        <f>'Subcases Monthly'!N105</f>
        <v>0</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40</v>
      </c>
      <c r="O95" s="193">
        <f>'Subcases Monthly'!M106</f>
        <v>49</v>
      </c>
      <c r="P95" s="193">
        <f>'Subcases Monthly'!N106</f>
        <v>0</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12</v>
      </c>
      <c r="O97" s="193">
        <f>'Subcases Monthly'!M111</f>
        <v>17</v>
      </c>
      <c r="P97" s="193">
        <f>'Subcases Monthly'!N111</f>
        <v>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1</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0</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0</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9</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4169</v>
      </c>
      <c r="O106" s="193">
        <f>'Subcases Monthly'!M123</f>
        <v>3767</v>
      </c>
      <c r="P106" s="193">
        <f>'Subcases Monthly'!N123</f>
        <v>0</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838</v>
      </c>
      <c r="O107" s="193">
        <f>'Outputs Monthly'!M23</f>
        <v>948</v>
      </c>
      <c r="P107" s="193">
        <f>'Outputs Monthly'!N23</f>
        <v>0</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121</v>
      </c>
      <c r="O108" s="193">
        <f>'Outputs Monthly'!M24</f>
        <v>146</v>
      </c>
      <c r="P108" s="193">
        <f>'Outputs Monthly'!N24</f>
        <v>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129</v>
      </c>
      <c r="O109" s="193">
        <f>'Outputs Monthly'!M25</f>
        <v>188</v>
      </c>
      <c r="P109" s="193">
        <f>'Outputs Monthly'!N25</f>
        <v>0</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149</v>
      </c>
      <c r="O110" s="193">
        <f>'Outputs Monthly'!M26</f>
        <v>222</v>
      </c>
      <c r="P110" s="193">
        <f>'Outputs Monthly'!N26</f>
        <v>0</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122</v>
      </c>
      <c r="O111" s="193">
        <f>'Outputs Monthly'!M27</f>
        <v>111</v>
      </c>
      <c r="P111" s="193">
        <f>'Outputs Monthly'!N27</f>
        <v>0</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472</v>
      </c>
      <c r="O112" s="193">
        <f>'Outputs Monthly'!M28</f>
        <v>442</v>
      </c>
      <c r="P112" s="193">
        <f>'Outputs Monthly'!N28</f>
        <v>0</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374</v>
      </c>
      <c r="O113" s="193">
        <f>'Outputs Monthly'!M29</f>
        <v>274</v>
      </c>
      <c r="P113" s="193">
        <f>'Outputs Monthly'!N29</f>
        <v>0</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514</v>
      </c>
      <c r="O114" s="193">
        <f>'Outputs Monthly'!M30</f>
        <v>568</v>
      </c>
      <c r="P114" s="193">
        <f>'Outputs Monthly'!N30</f>
        <v>0</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69</v>
      </c>
      <c r="O115" s="193">
        <f>'Outputs Monthly'!M31</f>
        <v>66</v>
      </c>
      <c r="P115" s="193">
        <f>'Outputs Monthly'!N31</f>
        <v>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6</v>
      </c>
      <c r="O117" s="193">
        <f>'Outputs Monthly'!M36</f>
        <v>18</v>
      </c>
      <c r="P117" s="193">
        <f>'Outputs Monthly'!N36</f>
        <v>0</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1</v>
      </c>
      <c r="O118" s="193">
        <f>'Outputs Monthly'!M37</f>
        <v>1</v>
      </c>
      <c r="P118" s="193">
        <f>'Outputs Monthly'!N37</f>
        <v>0</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8</v>
      </c>
      <c r="O120" s="193">
        <f>'Outputs Monthly'!M39</f>
        <v>5</v>
      </c>
      <c r="P120" s="193">
        <f>'Outputs Monthly'!N39</f>
        <v>0</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7</v>
      </c>
      <c r="O121" s="193">
        <f>'Outputs Monthly'!M40</f>
        <v>5</v>
      </c>
      <c r="P121" s="193">
        <f>'Outputs Monthly'!N40</f>
        <v>0</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3</v>
      </c>
      <c r="O122" s="193">
        <f>'Outputs Monthly'!M41</f>
        <v>3</v>
      </c>
      <c r="P122" s="193">
        <f>'Outputs Monthly'!N41</f>
        <v>0</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3</v>
      </c>
      <c r="O123" s="193">
        <f>'Outputs Monthly'!M42</f>
        <v>1</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5</v>
      </c>
      <c r="O124" s="193">
        <f>'Outputs Monthly'!M43</f>
        <v>2</v>
      </c>
      <c r="P124" s="193">
        <f>'Outputs Monthly'!N43</f>
        <v>0</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1</v>
      </c>
      <c r="O125" s="193">
        <f>'Outputs Monthly'!M44</f>
        <v>6</v>
      </c>
      <c r="P125" s="193">
        <f>'Outputs Monthly'!N44</f>
        <v>0</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1</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89497</v>
      </c>
      <c r="J127" s="194">
        <f>'Timeliness Quarterly'!J46</f>
        <v>0</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31643</v>
      </c>
      <c r="J128" s="194">
        <f>'Timeliness Quarterly'!J49</f>
        <v>0</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6748</v>
      </c>
      <c r="J129" s="194">
        <f>'Timeliness Quarterly'!J52</f>
        <v>0</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15954</v>
      </c>
      <c r="J130" s="194">
        <f>'Timeliness Quarterly'!J55</f>
        <v>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60921</v>
      </c>
      <c r="J131" s="194">
        <f>'Timeliness Quarterly'!J58</f>
        <v>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47796</v>
      </c>
      <c r="J132" s="194">
        <f>'Timeliness Quarterly'!J61</f>
        <v>0</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26626</v>
      </c>
      <c r="J133" s="194">
        <f>'Timeliness Quarterly'!J64</f>
        <v>0</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39653</v>
      </c>
      <c r="J134" s="194">
        <f>'Timeliness Quarterly'!J67</f>
        <v>0</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979</v>
      </c>
      <c r="J135" s="194">
        <f>'Timeliness Quarterly'!J70</f>
        <v>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37448</v>
      </c>
      <c r="J136" s="194">
        <f>'Timeliness Quarterly'!J73</f>
        <v>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1710</v>
      </c>
      <c r="J137" s="194">
        <f>'Timeliness Quarterly'!J12</f>
        <v>0</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1544</v>
      </c>
      <c r="J138" s="194">
        <f>'Timeliness Quarterly'!J15</f>
        <v>0</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221</v>
      </c>
      <c r="J139" s="194">
        <f>'Timeliness Quarterly'!J18</f>
        <v>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2314</v>
      </c>
      <c r="J140" s="194">
        <f>'Timeliness Quarterly'!J21</f>
        <v>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700</v>
      </c>
      <c r="J141" s="194">
        <f>'Timeliness Quarterly'!J24</f>
        <v>0</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2370</v>
      </c>
      <c r="J142" s="194">
        <f>'Timeliness Quarterly'!J27</f>
        <v>0</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1502</v>
      </c>
      <c r="J143" s="194">
        <f>'Timeliness Quarterly'!J30</f>
        <v>0</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1470</v>
      </c>
      <c r="J144" s="194">
        <f>'Timeliness Quarterly'!J33</f>
        <v>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66</v>
      </c>
      <c r="J145" s="194">
        <f>'Timeliness Quarterly'!J36</f>
        <v>0</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10830</v>
      </c>
      <c r="J146" s="194">
        <f>'Timeliness Quarterly'!J39</f>
        <v>0</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82557</v>
      </c>
      <c r="J147" s="194">
        <f>'Timeliness Quarterly'!J47</f>
        <v>0</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28476</v>
      </c>
      <c r="J148" s="194">
        <f>'Timeliness Quarterly'!J50</f>
        <v>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6699</v>
      </c>
      <c r="J149" s="194">
        <f>'Timeliness Quarterly'!J53</f>
        <v>0</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13592</v>
      </c>
      <c r="J150" s="194">
        <f>'Timeliness Quarterly'!J56</f>
        <v>0</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58512</v>
      </c>
      <c r="J151" s="194">
        <f>'Timeliness Quarterly'!J59</f>
        <v>0</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43203</v>
      </c>
      <c r="J152" s="194">
        <f>'Timeliness Quarterly'!J62</f>
        <v>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21120</v>
      </c>
      <c r="J153" s="194">
        <f>'Timeliness Quarterly'!J65</f>
        <v>0</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39081</v>
      </c>
      <c r="J154" s="194">
        <f>'Timeliness Quarterly'!J68</f>
        <v>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962</v>
      </c>
      <c r="J155" s="194">
        <f>'Timeliness Quarterly'!J71</f>
        <v>0</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35466</v>
      </c>
      <c r="J156" s="194">
        <f>'Timeliness Quarterly'!J74</f>
        <v>0</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0.97160000000000002</v>
      </c>
      <c r="J157" s="194">
        <f>'Timeliness Quarterly'!J13</f>
        <v>1</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0.99060000000000004</v>
      </c>
      <c r="I158" s="194">
        <f>'Timeliness Quarterly'!I16</f>
        <v>0.79420000000000002</v>
      </c>
      <c r="J158" s="194">
        <f>'Timeliness Quarterly'!J16</f>
        <v>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0.86670000000000003</v>
      </c>
      <c r="J159" s="194">
        <f>'Timeliness Quarterly'!J19</f>
        <v>1</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0.9153</v>
      </c>
      <c r="J160" s="194">
        <f>'Timeliness Quarterly'!J22</f>
        <v>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0.71430000000000005</v>
      </c>
      <c r="J161" s="194">
        <f>'Timeliness Quarterly'!J25</f>
        <v>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0.67910000000000004</v>
      </c>
      <c r="J162" s="194">
        <f>'Timeliness Quarterly'!J28</f>
        <v>1</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0.78849999999999998</v>
      </c>
      <c r="J163" s="194">
        <f>'Timeliness Quarterly'!J31</f>
        <v>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0.99660000000000004</v>
      </c>
      <c r="J164" s="194">
        <f>'Timeliness Quarterly'!J34</f>
        <v>1</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0.98509999999999998</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0.93579999999999997</v>
      </c>
      <c r="J166" s="194">
        <f>'Timeliness Quarterly'!J40</f>
        <v>1</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0.92249999999999999</v>
      </c>
      <c r="J167" s="194">
        <f>'Timeliness Quarterly'!J48</f>
        <v>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0.89990000000000003</v>
      </c>
      <c r="J168" s="194">
        <f>'Timeliness Quarterly'!J51</f>
        <v>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0.99270000000000003</v>
      </c>
      <c r="J169" s="194">
        <f>'Timeliness Quarterly'!J54</f>
        <v>1</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0.85189999999999999</v>
      </c>
      <c r="J170" s="194">
        <f>'Timeliness Quarterly'!J57</f>
        <v>1</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0.96050000000000002</v>
      </c>
      <c r="J171" s="194">
        <f>'Timeliness Quarterly'!J60</f>
        <v>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0.90390000000000004</v>
      </c>
      <c r="J172" s="194">
        <f>'Timeliness Quarterly'!J63</f>
        <v>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0.79320000000000002</v>
      </c>
      <c r="J173" s="194">
        <f>'Timeliness Quarterly'!J66</f>
        <v>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0.98560000000000003</v>
      </c>
      <c r="J174" s="194">
        <f>'Timeliness Quarterly'!J69</f>
        <v>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0.98260000000000003</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0.94710000000000005</v>
      </c>
      <c r="J176" s="194">
        <f>'Timeliness Quarterly'!J75</f>
        <v>1</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t="str">
        <f>'Timeliness Quarterly'!P14</f>
        <v>Staffing - Internal</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t="str">
        <f>'Timeliness Quarterly'!P23</f>
        <v>Staffing - Internal</v>
      </c>
      <c r="J182" s="192">
        <f>'Timeliness Quarterly'!R23</f>
        <v>0</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t="str">
        <f>'Timeliness Quarterly'!P26</f>
        <v>Staffing - Internal</v>
      </c>
      <c r="J183" s="192">
        <f>'Timeliness Quarterly'!R26</f>
        <v>0</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f>'Timeliness Quarterly'!R61</f>
        <v>0</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t="str">
        <f>'Timeliness Quarterly'!Q14</f>
        <v xml:space="preserve">We experienced staff changes and shortages, requiring hiring and training. We are working on hiring and training new staff to recover from these shortages.  </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t="str">
        <f>'Timeliness Quarterly'!Q23</f>
        <v xml:space="preserve">We experienced staff changes and shortages, requiring hiring and training. We are working on hiring and training new staff to recover from these shortages.  </v>
      </c>
      <c r="J202" s="192">
        <f>'Timeliness Quarterly'!S23</f>
        <v>0</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t="str">
        <f>'Timeliness Quarterly'!Q26</f>
        <v xml:space="preserve">We experienced staff changes and shortages, requiring hiring and training. We are working on hiring and training new staff to recover from these shortages.  </v>
      </c>
      <c r="J203" s="192">
        <f>'Timeliness Quarterly'!S26</f>
        <v>0</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f>'Timeliness Quarterly'!S61</f>
        <v>0</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1</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1</v>
      </c>
      <c r="J222" s="192">
        <f t="shared" si="12"/>
        <v>0</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1</v>
      </c>
      <c r="J223" s="192">
        <f t="shared" si="13"/>
        <v>0</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0</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79" t="s">
        <v>458</v>
      </c>
      <c r="C2" s="579"/>
      <c r="D2" s="579"/>
      <c r="E2" s="579"/>
      <c r="F2" s="579"/>
      <c r="G2" s="579"/>
      <c r="H2" s="579"/>
      <c r="I2" s="579"/>
      <c r="J2" s="579"/>
      <c r="K2" s="579"/>
      <c r="L2" s="579"/>
      <c r="M2" s="579"/>
      <c r="N2" s="579"/>
      <c r="O2" s="579" t="s">
        <v>459</v>
      </c>
      <c r="P2" s="579"/>
      <c r="Q2" s="579"/>
      <c r="R2" s="579"/>
      <c r="S2" s="579"/>
      <c r="T2" s="579"/>
      <c r="U2" s="579"/>
      <c r="V2" s="579"/>
      <c r="W2" s="579"/>
      <c r="X2" s="579"/>
      <c r="Y2" s="579"/>
      <c r="Z2" s="579"/>
      <c r="AA2" s="579"/>
      <c r="AB2" s="579" t="s">
        <v>460</v>
      </c>
      <c r="AC2" s="579"/>
      <c r="AD2" s="579"/>
      <c r="AE2" s="579"/>
      <c r="AF2" s="579"/>
      <c r="AG2" s="579"/>
      <c r="AH2" s="579"/>
      <c r="AI2" s="579"/>
      <c r="AJ2" s="579"/>
      <c r="AK2" s="579"/>
      <c r="AL2" s="579"/>
      <c r="AM2" s="579"/>
      <c r="AN2" s="579"/>
      <c r="AO2" s="579" t="s">
        <v>461</v>
      </c>
      <c r="AP2" s="579"/>
      <c r="AQ2" s="579"/>
      <c r="AR2" s="579"/>
      <c r="AS2" s="579"/>
      <c r="AT2" s="579"/>
      <c r="AU2" s="579"/>
      <c r="AV2" s="579"/>
      <c r="AW2" s="579"/>
      <c r="AX2" s="579"/>
      <c r="AY2" s="579"/>
      <c r="AZ2" s="579"/>
      <c r="BA2" s="579"/>
      <c r="BB2" s="579" t="s">
        <v>462</v>
      </c>
      <c r="BC2" s="579"/>
      <c r="BD2" s="579"/>
      <c r="BE2" s="579"/>
      <c r="BF2" s="579"/>
      <c r="BG2" s="579"/>
      <c r="BH2" s="579"/>
      <c r="BI2" s="579"/>
      <c r="BJ2" s="579"/>
      <c r="BK2" s="579"/>
      <c r="BL2" s="579"/>
      <c r="BM2" s="579"/>
      <c r="BN2" s="579"/>
      <c r="BO2" s="576" t="s">
        <v>463</v>
      </c>
      <c r="BP2" s="576"/>
      <c r="BQ2" s="576"/>
      <c r="BR2" s="576"/>
      <c r="BS2" s="576"/>
      <c r="BT2" s="576"/>
      <c r="BU2" s="576"/>
      <c r="BV2" s="576"/>
      <c r="BW2" s="576"/>
      <c r="BX2" s="576"/>
      <c r="BY2" s="576"/>
      <c r="BZ2" s="576"/>
      <c r="CA2" s="576"/>
      <c r="CB2" s="576" t="s">
        <v>464</v>
      </c>
      <c r="CC2" s="576"/>
      <c r="CD2" s="576"/>
      <c r="CE2" s="576"/>
      <c r="CF2" s="576"/>
      <c r="CG2" s="576"/>
      <c r="CH2" s="576"/>
      <c r="CI2" s="576"/>
      <c r="CJ2" s="576"/>
      <c r="CK2" s="576"/>
      <c r="CL2" s="576"/>
      <c r="CM2" s="576"/>
      <c r="CN2" s="576"/>
      <c r="CO2" s="576" t="s">
        <v>465</v>
      </c>
      <c r="CP2" s="576"/>
      <c r="CQ2" s="576"/>
      <c r="CR2" s="576"/>
      <c r="CS2" s="576"/>
      <c r="CT2" s="576"/>
      <c r="CU2" s="576"/>
      <c r="CV2" s="576"/>
      <c r="CW2" s="576"/>
      <c r="CX2" s="576"/>
      <c r="CY2" s="576"/>
      <c r="CZ2" s="576"/>
      <c r="DA2" s="576"/>
      <c r="DB2" s="576" t="s">
        <v>466</v>
      </c>
      <c r="DC2" s="576"/>
      <c r="DD2" s="576"/>
      <c r="DE2" s="576"/>
      <c r="DF2" s="576"/>
      <c r="DG2" s="576"/>
      <c r="DH2" s="576"/>
      <c r="DI2" s="576"/>
      <c r="DJ2" s="576"/>
      <c r="DK2" s="576"/>
      <c r="DL2" s="576"/>
      <c r="DM2" s="576"/>
      <c r="DN2" s="576"/>
      <c r="DO2" s="576" t="s">
        <v>467</v>
      </c>
      <c r="DP2" s="576"/>
      <c r="DQ2" s="576"/>
      <c r="DR2" s="576"/>
      <c r="DS2" s="576"/>
      <c r="DT2" s="576"/>
      <c r="DU2" s="576"/>
      <c r="DV2" s="576"/>
      <c r="DW2" s="576"/>
      <c r="DX2" s="576"/>
      <c r="DY2" s="576"/>
      <c r="DZ2" s="576"/>
      <c r="EA2" s="576"/>
      <c r="EB2" s="576" t="s">
        <v>468</v>
      </c>
      <c r="EC2" s="576"/>
      <c r="ED2" s="576"/>
      <c r="EE2" s="576"/>
      <c r="EF2" s="576"/>
      <c r="EG2" s="576"/>
      <c r="EH2" s="576"/>
      <c r="EI2" s="576"/>
      <c r="EJ2" s="576"/>
      <c r="EK2" s="576"/>
      <c r="EL2" s="576"/>
      <c r="EM2" s="576"/>
      <c r="EN2" s="576"/>
      <c r="EO2" s="577" t="s">
        <v>469</v>
      </c>
      <c r="EP2" s="577"/>
      <c r="EQ2" s="577"/>
      <c r="ER2" s="577"/>
      <c r="ES2" s="577"/>
      <c r="ET2" s="577"/>
      <c r="EU2" s="577"/>
      <c r="EV2" s="577"/>
      <c r="EW2" s="577"/>
      <c r="EX2" s="577"/>
      <c r="EY2" s="577"/>
      <c r="EZ2" s="577"/>
      <c r="FA2" s="577"/>
      <c r="FB2" s="577" t="s">
        <v>470</v>
      </c>
      <c r="FC2" s="577"/>
      <c r="FD2" s="577"/>
      <c r="FE2" s="577"/>
      <c r="FF2" s="577"/>
      <c r="FG2" s="577"/>
      <c r="FH2" s="577"/>
      <c r="FI2" s="577"/>
      <c r="FJ2" s="577"/>
      <c r="FK2" s="577"/>
      <c r="FL2" s="577"/>
      <c r="FM2" s="577"/>
      <c r="FN2" s="577"/>
      <c r="FO2" s="577" t="s">
        <v>471</v>
      </c>
      <c r="FP2" s="577"/>
      <c r="FQ2" s="577"/>
      <c r="FR2" s="577"/>
      <c r="FS2" s="577"/>
      <c r="FT2" s="577"/>
      <c r="FU2" s="577"/>
      <c r="FV2" s="577"/>
      <c r="FW2" s="577"/>
      <c r="FX2" s="577"/>
      <c r="FY2" s="577"/>
      <c r="FZ2" s="577"/>
      <c r="GA2" s="577"/>
      <c r="GB2" s="577" t="s">
        <v>472</v>
      </c>
      <c r="GC2" s="577"/>
      <c r="GD2" s="577"/>
      <c r="GE2" s="577"/>
      <c r="GF2" s="577"/>
      <c r="GG2" s="577"/>
      <c r="GH2" s="577"/>
      <c r="GI2" s="577"/>
      <c r="GJ2" s="577"/>
      <c r="GK2" s="577"/>
      <c r="GL2" s="577"/>
      <c r="GM2" s="577"/>
      <c r="GN2" s="577"/>
      <c r="GO2" s="577" t="s">
        <v>473</v>
      </c>
      <c r="GP2" s="577"/>
      <c r="GQ2" s="577"/>
      <c r="GR2" s="577"/>
      <c r="GS2" s="577"/>
      <c r="GT2" s="577"/>
      <c r="GU2" s="577"/>
      <c r="GV2" s="577"/>
      <c r="GW2" s="577"/>
      <c r="GX2" s="577"/>
      <c r="GY2" s="577"/>
      <c r="GZ2" s="577"/>
      <c r="HA2" s="577"/>
      <c r="HB2" s="578" t="s">
        <v>474</v>
      </c>
      <c r="HC2" s="578"/>
      <c r="HD2" s="578"/>
      <c r="HE2" s="578"/>
      <c r="HF2" s="578"/>
      <c r="HG2" s="578"/>
      <c r="HH2" s="578"/>
      <c r="HI2" s="578"/>
      <c r="HJ2" s="578"/>
      <c r="HK2" s="578"/>
      <c r="HL2" s="578"/>
      <c r="HM2" s="578"/>
      <c r="HN2" s="578"/>
      <c r="HO2" s="578" t="s">
        <v>475</v>
      </c>
      <c r="HP2" s="578"/>
      <c r="HQ2" s="578"/>
      <c r="HR2" s="578"/>
      <c r="HS2" s="578"/>
      <c r="HT2" s="578"/>
      <c r="HU2" s="578"/>
      <c r="HV2" s="578"/>
      <c r="HW2" s="578"/>
      <c r="HX2" s="578"/>
      <c r="HY2" s="578"/>
      <c r="HZ2" s="578"/>
      <c r="IA2" s="578"/>
      <c r="IB2" s="578" t="s">
        <v>476</v>
      </c>
      <c r="IC2" s="578"/>
      <c r="ID2" s="578"/>
      <c r="IE2" s="578"/>
      <c r="IF2" s="578"/>
      <c r="IG2" s="578"/>
      <c r="IH2" s="578"/>
      <c r="II2" s="578"/>
      <c r="IJ2" s="578"/>
      <c r="IK2" s="578"/>
      <c r="IL2" s="578"/>
      <c r="IM2" s="578"/>
      <c r="IN2" s="578"/>
      <c r="IO2" s="578" t="s">
        <v>477</v>
      </c>
      <c r="IP2" s="578"/>
      <c r="IQ2" s="578"/>
      <c r="IR2" s="578"/>
      <c r="IS2" s="578"/>
      <c r="IT2" s="578"/>
      <c r="IU2" s="578"/>
      <c r="IV2" s="578"/>
      <c r="IW2" s="578"/>
      <c r="IX2" s="578"/>
      <c r="IY2" s="578"/>
      <c r="IZ2" s="578"/>
      <c r="JA2" s="578"/>
      <c r="JB2" s="572" t="s">
        <v>478</v>
      </c>
      <c r="JC2" s="572"/>
      <c r="JD2" s="572"/>
      <c r="JE2" s="572"/>
      <c r="JF2" s="572"/>
      <c r="JG2" s="572"/>
      <c r="JH2" s="572"/>
      <c r="JI2" s="572"/>
      <c r="JJ2" s="572"/>
      <c r="JK2" s="572"/>
      <c r="JL2" s="572"/>
      <c r="JM2" s="572"/>
      <c r="JN2" s="572"/>
      <c r="JO2" s="572" t="s">
        <v>479</v>
      </c>
      <c r="JP2" s="572"/>
      <c r="JQ2" s="572"/>
      <c r="JR2" s="572"/>
      <c r="JS2" s="572"/>
      <c r="JT2" s="572"/>
      <c r="JU2" s="572"/>
      <c r="JV2" s="572"/>
      <c r="JW2" s="572"/>
      <c r="JX2" s="572"/>
      <c r="JY2" s="572"/>
      <c r="JZ2" s="572"/>
      <c r="KA2" s="572"/>
      <c r="KB2" s="572" t="s">
        <v>480</v>
      </c>
      <c r="KC2" s="572"/>
      <c r="KD2" s="572"/>
      <c r="KE2" s="572"/>
      <c r="KF2" s="572"/>
      <c r="KG2" s="572"/>
      <c r="KH2" s="572"/>
      <c r="KI2" s="572"/>
      <c r="KJ2" s="572"/>
      <c r="KK2" s="572"/>
      <c r="KL2" s="572"/>
      <c r="KM2" s="572"/>
      <c r="KN2" s="572"/>
      <c r="KO2" s="572" t="s">
        <v>481</v>
      </c>
      <c r="KP2" s="572"/>
      <c r="KQ2" s="572"/>
      <c r="KR2" s="572"/>
      <c r="KS2" s="572"/>
      <c r="KT2" s="572"/>
      <c r="KU2" s="572"/>
      <c r="KV2" s="572"/>
      <c r="KW2" s="572"/>
      <c r="KX2" s="572"/>
      <c r="KY2" s="572"/>
      <c r="KZ2" s="572"/>
      <c r="LA2" s="572"/>
      <c r="LB2" s="572" t="s">
        <v>482</v>
      </c>
      <c r="LC2" s="572"/>
      <c r="LD2" s="572"/>
      <c r="LE2" s="572"/>
      <c r="LF2" s="572"/>
      <c r="LG2" s="572"/>
      <c r="LH2" s="572"/>
      <c r="LI2" s="572"/>
      <c r="LJ2" s="572"/>
      <c r="LK2" s="572"/>
      <c r="LL2" s="572"/>
      <c r="LM2" s="572"/>
      <c r="LN2" s="572"/>
      <c r="LO2" s="573" t="s">
        <v>483</v>
      </c>
      <c r="LP2" s="574"/>
      <c r="LQ2" s="574"/>
      <c r="LR2" s="574"/>
      <c r="LS2" s="574"/>
      <c r="LT2" s="574"/>
      <c r="LU2" s="574"/>
      <c r="LV2" s="574"/>
      <c r="LW2" s="574"/>
      <c r="LX2" s="574"/>
      <c r="LY2" s="574"/>
      <c r="LZ2" s="574"/>
      <c r="MA2" s="575"/>
      <c r="MB2" s="572" t="s">
        <v>484</v>
      </c>
      <c r="MC2" s="572"/>
      <c r="MD2" s="572"/>
      <c r="ME2" s="572"/>
      <c r="MF2" s="572"/>
      <c r="MG2" s="572"/>
      <c r="MH2" s="572"/>
      <c r="MI2" s="572"/>
      <c r="MJ2" s="572"/>
      <c r="MK2" s="572"/>
      <c r="ML2" s="572"/>
      <c r="MM2" s="572"/>
      <c r="MN2" s="572"/>
      <c r="MO2" s="572" t="s">
        <v>485</v>
      </c>
      <c r="MP2" s="572"/>
      <c r="MQ2" s="572"/>
      <c r="MR2" s="572"/>
      <c r="MS2" s="572"/>
      <c r="MT2" s="572"/>
      <c r="MU2" s="572"/>
      <c r="MV2" s="572"/>
      <c r="MW2" s="572"/>
      <c r="MX2" s="572"/>
      <c r="MY2" s="572"/>
      <c r="MZ2" s="572"/>
      <c r="NA2" s="572"/>
      <c r="NB2" s="572" t="s">
        <v>486</v>
      </c>
      <c r="NC2" s="572"/>
      <c r="ND2" s="572"/>
      <c r="NE2" s="572"/>
      <c r="NF2" s="572"/>
      <c r="NG2" s="572"/>
      <c r="NH2" s="572"/>
      <c r="NI2" s="572"/>
      <c r="NJ2" s="572"/>
      <c r="NK2" s="572"/>
      <c r="NL2" s="572"/>
      <c r="NM2" s="572"/>
      <c r="NN2" s="572"/>
      <c r="NO2" s="572" t="s">
        <v>487</v>
      </c>
      <c r="NP2" s="572"/>
      <c r="NQ2" s="572"/>
      <c r="NR2" s="572"/>
      <c r="NS2" s="572"/>
      <c r="NT2" s="572"/>
      <c r="NU2" s="572"/>
      <c r="NV2" s="572"/>
      <c r="NW2" s="572"/>
      <c r="NX2" s="572"/>
      <c r="NY2" s="572"/>
      <c r="NZ2" s="572"/>
      <c r="OA2" s="572"/>
      <c r="OB2" s="572" t="s">
        <v>488</v>
      </c>
      <c r="OC2" s="572"/>
      <c r="OD2" s="572"/>
      <c r="OE2" s="572"/>
      <c r="OF2" s="572"/>
      <c r="OG2" s="572"/>
      <c r="OH2" s="572"/>
      <c r="OI2" s="572"/>
      <c r="OJ2" s="572"/>
      <c r="OK2" s="572"/>
      <c r="OL2" s="572"/>
      <c r="OM2" s="572"/>
      <c r="ON2" s="572"/>
      <c r="OO2" s="572" t="s">
        <v>489</v>
      </c>
      <c r="OP2" s="572"/>
      <c r="OQ2" s="572"/>
      <c r="OR2" s="572"/>
      <c r="OS2" s="572"/>
      <c r="OT2" s="572"/>
      <c r="OU2" s="572"/>
      <c r="OV2" s="572"/>
      <c r="OW2" s="572"/>
      <c r="OX2" s="572"/>
      <c r="OY2" s="572"/>
      <c r="OZ2" s="572"/>
      <c r="PA2" s="572"/>
      <c r="PB2" s="572" t="s">
        <v>490</v>
      </c>
      <c r="PC2" s="572"/>
      <c r="PD2" s="572"/>
      <c r="PE2" s="572"/>
      <c r="PF2" s="572"/>
      <c r="PG2" s="572"/>
      <c r="PH2" s="572"/>
      <c r="PI2" s="572"/>
      <c r="PJ2" s="572"/>
      <c r="PK2" s="572"/>
      <c r="PL2" s="572"/>
      <c r="PM2" s="572"/>
      <c r="PN2" s="572"/>
      <c r="PO2" s="572" t="s">
        <v>491</v>
      </c>
      <c r="PP2" s="572"/>
      <c r="PQ2" s="572"/>
      <c r="PR2" s="572"/>
      <c r="PS2" s="572"/>
      <c r="PT2" s="572"/>
      <c r="PU2" s="572"/>
      <c r="PV2" s="572"/>
      <c r="PW2" s="572"/>
      <c r="PX2" s="572"/>
      <c r="PY2" s="572"/>
      <c r="PZ2" s="572"/>
      <c r="QA2" s="572"/>
      <c r="QB2" s="572" t="s">
        <v>492</v>
      </c>
      <c r="QC2" s="572"/>
      <c r="QD2" s="572"/>
      <c r="QE2" s="572"/>
      <c r="QF2" s="572"/>
      <c r="QG2" s="572"/>
      <c r="QH2" s="572"/>
      <c r="QI2" s="572"/>
      <c r="QJ2" s="572"/>
      <c r="QK2" s="572"/>
      <c r="QL2" s="572"/>
      <c r="QM2" s="572"/>
      <c r="QN2" s="572"/>
      <c r="QO2" s="572" t="s">
        <v>493</v>
      </c>
      <c r="QP2" s="572"/>
      <c r="QQ2" s="572"/>
      <c r="QR2" s="572"/>
      <c r="QS2" s="572"/>
      <c r="QT2" s="572"/>
      <c r="QU2" s="572"/>
      <c r="QV2" s="572"/>
      <c r="QW2" s="572"/>
      <c r="QX2" s="572"/>
      <c r="QY2" s="572"/>
      <c r="QZ2" s="572"/>
      <c r="RA2" s="572"/>
      <c r="RB2" s="572" t="s">
        <v>494</v>
      </c>
      <c r="RC2" s="572"/>
      <c r="RD2" s="572"/>
      <c r="RE2" s="572"/>
      <c r="RF2" s="572"/>
      <c r="RG2" s="572"/>
      <c r="RH2" s="572"/>
      <c r="RI2" s="572"/>
      <c r="RJ2" s="572"/>
      <c r="RK2" s="572"/>
      <c r="RL2" s="572"/>
      <c r="RM2" s="572"/>
      <c r="RN2" s="572"/>
      <c r="RO2" s="572" t="s">
        <v>495</v>
      </c>
      <c r="RP2" s="572"/>
      <c r="RQ2" s="572"/>
      <c r="RR2" s="572"/>
      <c r="RS2" s="572"/>
      <c r="RT2" s="572"/>
      <c r="RU2" s="572"/>
      <c r="RV2" s="572"/>
      <c r="RW2" s="572"/>
      <c r="RX2" s="572"/>
      <c r="RY2" s="572"/>
      <c r="RZ2" s="572"/>
      <c r="SA2" s="572"/>
      <c r="SB2" s="572" t="s">
        <v>496</v>
      </c>
      <c r="SC2" s="572"/>
      <c r="SD2" s="572"/>
      <c r="SE2" s="572"/>
      <c r="SF2" s="572"/>
      <c r="SG2" s="572"/>
      <c r="SH2" s="572"/>
      <c r="SI2" s="572"/>
      <c r="SJ2" s="572"/>
      <c r="SK2" s="572"/>
      <c r="SL2" s="572"/>
      <c r="SM2" s="572"/>
      <c r="SN2" s="572"/>
      <c r="SO2" s="572" t="s">
        <v>497</v>
      </c>
      <c r="SP2" s="572"/>
      <c r="SQ2" s="572"/>
      <c r="SR2" s="572"/>
      <c r="SS2" s="572"/>
      <c r="ST2" s="572"/>
      <c r="SU2" s="572"/>
      <c r="SV2" s="572"/>
      <c r="SW2" s="572"/>
      <c r="SX2" s="572"/>
      <c r="SY2" s="572"/>
      <c r="SZ2" s="572"/>
      <c r="TA2" s="572"/>
      <c r="TB2" s="572" t="s">
        <v>498</v>
      </c>
      <c r="TC2" s="572"/>
      <c r="TD2" s="572"/>
      <c r="TE2" s="572"/>
      <c r="TF2" s="572"/>
      <c r="TG2" s="572"/>
      <c r="TH2" s="572"/>
      <c r="TI2" s="572"/>
      <c r="TJ2" s="572"/>
      <c r="TK2" s="572"/>
      <c r="TL2" s="572"/>
      <c r="TM2" s="572"/>
      <c r="TN2" s="572"/>
      <c r="TO2" s="572" t="s">
        <v>499</v>
      </c>
      <c r="TP2" s="572"/>
      <c r="TQ2" s="572"/>
      <c r="TR2" s="572"/>
      <c r="TS2" s="572"/>
      <c r="TT2" s="572"/>
      <c r="TU2" s="572"/>
      <c r="TV2" s="572"/>
      <c r="TW2" s="572"/>
      <c r="TX2" s="572"/>
      <c r="TY2" s="572"/>
      <c r="TZ2" s="572"/>
      <c r="UA2" s="572"/>
      <c r="UB2" s="569" t="s">
        <v>500</v>
      </c>
      <c r="UC2" s="570"/>
      <c r="UD2" s="570"/>
      <c r="UE2" s="570"/>
      <c r="UF2" s="570"/>
      <c r="UG2" s="570"/>
      <c r="UH2" s="570"/>
      <c r="UI2" s="570"/>
      <c r="UJ2" s="570"/>
      <c r="UK2" s="570"/>
      <c r="UL2" s="570"/>
      <c r="UM2" s="570"/>
      <c r="UN2" s="571"/>
      <c r="UO2" s="569" t="s">
        <v>501</v>
      </c>
      <c r="UP2" s="570"/>
      <c r="UQ2" s="570"/>
      <c r="UR2" s="570"/>
      <c r="US2" s="570"/>
      <c r="UT2" s="570"/>
      <c r="UU2" s="570"/>
      <c r="UV2" s="570"/>
      <c r="UW2" s="570"/>
      <c r="UX2" s="570"/>
      <c r="UY2" s="570"/>
      <c r="UZ2" s="570"/>
      <c r="VA2" s="571"/>
      <c r="VB2" s="569" t="s">
        <v>1900</v>
      </c>
      <c r="VC2" s="570"/>
      <c r="VD2" s="570"/>
      <c r="VE2" s="570"/>
      <c r="VF2" s="570"/>
      <c r="VG2" s="570"/>
      <c r="VH2" s="570"/>
      <c r="VI2" s="570"/>
      <c r="VJ2" s="570"/>
      <c r="VK2" s="570"/>
      <c r="VL2" s="570"/>
      <c r="VM2" s="570"/>
      <c r="VN2" s="571"/>
      <c r="VO2" s="569" t="s">
        <v>1899</v>
      </c>
      <c r="VP2" s="570"/>
      <c r="VQ2" s="570"/>
      <c r="VR2" s="570"/>
      <c r="VS2" s="570"/>
      <c r="VT2" s="570"/>
      <c r="VU2" s="570"/>
      <c r="VV2" s="570"/>
      <c r="VW2" s="570"/>
      <c r="VX2" s="570"/>
      <c r="VY2" s="570"/>
      <c r="VZ2" s="570"/>
      <c r="WA2" s="571"/>
      <c r="WB2" s="569" t="s">
        <v>502</v>
      </c>
      <c r="WC2" s="570"/>
      <c r="WD2" s="570"/>
      <c r="WE2" s="570"/>
      <c r="WF2" s="570"/>
      <c r="WG2" s="570"/>
      <c r="WH2" s="570"/>
      <c r="WI2" s="570"/>
      <c r="WJ2" s="570"/>
      <c r="WK2" s="570"/>
      <c r="WL2" s="570"/>
      <c r="WM2" s="570"/>
      <c r="WN2" s="571"/>
      <c r="WO2" s="569" t="s">
        <v>503</v>
      </c>
      <c r="WP2" s="570"/>
      <c r="WQ2" s="570"/>
      <c r="WR2" s="570"/>
      <c r="WS2" s="570"/>
      <c r="WT2" s="570"/>
      <c r="WU2" s="570"/>
      <c r="WV2" s="570"/>
      <c r="WW2" s="570"/>
      <c r="WX2" s="570"/>
      <c r="WY2" s="570"/>
      <c r="WZ2" s="570"/>
      <c r="XA2" s="571"/>
      <c r="XB2" s="569" t="s">
        <v>504</v>
      </c>
      <c r="XC2" s="570"/>
      <c r="XD2" s="570"/>
      <c r="XE2" s="570"/>
      <c r="XF2" s="570"/>
      <c r="XG2" s="570"/>
      <c r="XH2" s="570"/>
      <c r="XI2" s="570"/>
      <c r="XJ2" s="570"/>
      <c r="XK2" s="570"/>
      <c r="XL2" s="570"/>
      <c r="XM2" s="570"/>
      <c r="XN2" s="571"/>
      <c r="XO2" s="569" t="s">
        <v>505</v>
      </c>
      <c r="XP2" s="570"/>
      <c r="XQ2" s="570"/>
      <c r="XR2" s="570"/>
      <c r="XS2" s="570"/>
      <c r="XT2" s="570"/>
      <c r="XU2" s="570"/>
      <c r="XV2" s="570"/>
      <c r="XW2" s="570"/>
      <c r="XX2" s="570"/>
      <c r="XY2" s="570"/>
      <c r="XZ2" s="570"/>
      <c r="YA2" s="571"/>
      <c r="YB2" s="569" t="s">
        <v>506</v>
      </c>
      <c r="YC2" s="570"/>
      <c r="YD2" s="570"/>
      <c r="YE2" s="570"/>
      <c r="YF2" s="570"/>
      <c r="YG2" s="570"/>
      <c r="YH2" s="570"/>
      <c r="YI2" s="570"/>
      <c r="YJ2" s="570"/>
      <c r="YK2" s="570"/>
      <c r="YL2" s="570"/>
      <c r="YM2" s="570"/>
      <c r="YN2" s="571"/>
      <c r="YO2" s="569" t="s">
        <v>507</v>
      </c>
      <c r="YP2" s="570"/>
      <c r="YQ2" s="570"/>
      <c r="YR2" s="570"/>
      <c r="YS2" s="570"/>
      <c r="YT2" s="570"/>
      <c r="YU2" s="570"/>
      <c r="YV2" s="570"/>
      <c r="YW2" s="570"/>
      <c r="YX2" s="570"/>
      <c r="YY2" s="570"/>
      <c r="YZ2" s="570"/>
      <c r="ZA2" s="571"/>
      <c r="ZB2" s="569" t="s">
        <v>508</v>
      </c>
      <c r="ZC2" s="570"/>
      <c r="ZD2" s="570"/>
      <c r="ZE2" s="570"/>
      <c r="ZF2" s="570"/>
      <c r="ZG2" s="570"/>
      <c r="ZH2" s="570"/>
      <c r="ZI2" s="570"/>
      <c r="ZJ2" s="570"/>
      <c r="ZK2" s="570"/>
      <c r="ZL2" s="570"/>
      <c r="ZM2" s="570"/>
      <c r="ZN2" s="571"/>
      <c r="ZO2" s="569" t="s">
        <v>509</v>
      </c>
      <c r="ZP2" s="570"/>
      <c r="ZQ2" s="570"/>
      <c r="ZR2" s="570"/>
      <c r="ZS2" s="570"/>
      <c r="ZT2" s="570"/>
      <c r="ZU2" s="570"/>
      <c r="ZV2" s="570"/>
      <c r="ZW2" s="570"/>
      <c r="ZX2" s="570"/>
      <c r="ZY2" s="570"/>
      <c r="ZZ2" s="570"/>
      <c r="AAA2" s="571"/>
      <c r="AAB2" s="566" t="s">
        <v>510</v>
      </c>
      <c r="AAC2" s="567"/>
      <c r="AAD2" s="567"/>
      <c r="AAE2" s="567"/>
      <c r="AAF2" s="567"/>
      <c r="AAG2" s="567"/>
      <c r="AAH2" s="567"/>
      <c r="AAI2" s="567"/>
      <c r="AAJ2" s="567"/>
      <c r="AAK2" s="567"/>
      <c r="AAL2" s="567"/>
      <c r="AAM2" s="567"/>
      <c r="AAN2" s="568"/>
      <c r="AAO2" s="566" t="s">
        <v>511</v>
      </c>
      <c r="AAP2" s="567"/>
      <c r="AAQ2" s="567"/>
      <c r="AAR2" s="567"/>
      <c r="AAS2" s="567"/>
      <c r="AAT2" s="567"/>
      <c r="AAU2" s="567"/>
      <c r="AAV2" s="567"/>
      <c r="AAW2" s="567"/>
      <c r="AAX2" s="567"/>
      <c r="AAY2" s="567"/>
      <c r="AAZ2" s="567"/>
      <c r="ABA2" s="568"/>
      <c r="ABB2" s="566" t="s">
        <v>512</v>
      </c>
      <c r="ABC2" s="567"/>
      <c r="ABD2" s="567"/>
      <c r="ABE2" s="567"/>
      <c r="ABF2" s="567"/>
      <c r="ABG2" s="567"/>
      <c r="ABH2" s="567"/>
      <c r="ABI2" s="567"/>
      <c r="ABJ2" s="567"/>
      <c r="ABK2" s="567"/>
      <c r="ABL2" s="567"/>
      <c r="ABM2" s="567"/>
      <c r="ABN2" s="568"/>
      <c r="ABO2" s="566" t="s">
        <v>513</v>
      </c>
      <c r="ABP2" s="567"/>
      <c r="ABQ2" s="567"/>
      <c r="ABR2" s="567"/>
      <c r="ABS2" s="567"/>
      <c r="ABT2" s="567"/>
      <c r="ABU2" s="567"/>
      <c r="ABV2" s="567"/>
      <c r="ABW2" s="567"/>
      <c r="ABX2" s="567"/>
      <c r="ABY2" s="567"/>
      <c r="ABZ2" s="567"/>
      <c r="ACA2" s="568"/>
      <c r="ACB2" s="566" t="s">
        <v>514</v>
      </c>
      <c r="ACC2" s="567"/>
      <c r="ACD2" s="567"/>
      <c r="ACE2" s="567"/>
      <c r="ACF2" s="567"/>
      <c r="ACG2" s="567"/>
      <c r="ACH2" s="567"/>
      <c r="ACI2" s="567"/>
      <c r="ACJ2" s="567"/>
      <c r="ACK2" s="567"/>
      <c r="ACL2" s="567"/>
      <c r="ACM2" s="567"/>
      <c r="ACN2" s="568"/>
      <c r="ACO2" s="566" t="s">
        <v>515</v>
      </c>
      <c r="ACP2" s="567"/>
      <c r="ACQ2" s="567"/>
      <c r="ACR2" s="567"/>
      <c r="ACS2" s="567"/>
      <c r="ACT2" s="567"/>
      <c r="ACU2" s="567"/>
      <c r="ACV2" s="567"/>
      <c r="ACW2" s="567"/>
      <c r="ACX2" s="567"/>
      <c r="ACY2" s="567"/>
      <c r="ACZ2" s="567"/>
      <c r="ADA2" s="568"/>
      <c r="ADB2" s="566" t="s">
        <v>516</v>
      </c>
      <c r="ADC2" s="567"/>
      <c r="ADD2" s="567"/>
      <c r="ADE2" s="567"/>
      <c r="ADF2" s="567"/>
      <c r="ADG2" s="567"/>
      <c r="ADH2" s="567"/>
      <c r="ADI2" s="567"/>
      <c r="ADJ2" s="567"/>
      <c r="ADK2" s="567"/>
      <c r="ADL2" s="567"/>
      <c r="ADM2" s="567"/>
      <c r="ADN2" s="568"/>
      <c r="ADO2" s="566" t="s">
        <v>517</v>
      </c>
      <c r="ADP2" s="567"/>
      <c r="ADQ2" s="567"/>
      <c r="ADR2" s="567"/>
      <c r="ADS2" s="567"/>
      <c r="ADT2" s="567"/>
      <c r="ADU2" s="567"/>
      <c r="ADV2" s="567"/>
      <c r="ADW2" s="567"/>
      <c r="ADX2" s="567"/>
      <c r="ADY2" s="567"/>
      <c r="ADZ2" s="567"/>
      <c r="AEA2" s="568"/>
      <c r="AEB2" s="566" t="s">
        <v>518</v>
      </c>
      <c r="AEC2" s="567"/>
      <c r="AED2" s="567"/>
      <c r="AEE2" s="567"/>
      <c r="AEF2" s="567"/>
      <c r="AEG2" s="567"/>
      <c r="AEH2" s="567"/>
      <c r="AEI2" s="567"/>
      <c r="AEJ2" s="567"/>
      <c r="AEK2" s="567"/>
      <c r="AEL2" s="567"/>
      <c r="AEM2" s="567"/>
      <c r="AEN2" s="568"/>
      <c r="AEO2" s="566" t="s">
        <v>519</v>
      </c>
      <c r="AEP2" s="567"/>
      <c r="AEQ2" s="567"/>
      <c r="AER2" s="567"/>
      <c r="AES2" s="567"/>
      <c r="AET2" s="567"/>
      <c r="AEU2" s="567"/>
      <c r="AEV2" s="567"/>
      <c r="AEW2" s="567"/>
      <c r="AEX2" s="567"/>
      <c r="AEY2" s="567"/>
      <c r="AEZ2" s="567"/>
      <c r="AFA2" s="568"/>
      <c r="AFB2" s="566" t="s">
        <v>520</v>
      </c>
      <c r="AFC2" s="567"/>
      <c r="AFD2" s="567"/>
      <c r="AFE2" s="567"/>
      <c r="AFF2" s="567"/>
      <c r="AFG2" s="567"/>
      <c r="AFH2" s="567"/>
      <c r="AFI2" s="567"/>
      <c r="AFJ2" s="567"/>
      <c r="AFK2" s="567"/>
      <c r="AFL2" s="567"/>
      <c r="AFM2" s="567"/>
      <c r="AFN2" s="568"/>
      <c r="AFO2" s="566" t="s">
        <v>521</v>
      </c>
      <c r="AFP2" s="567"/>
      <c r="AFQ2" s="567"/>
      <c r="AFR2" s="567"/>
      <c r="AFS2" s="567"/>
      <c r="AFT2" s="567"/>
      <c r="AFU2" s="567"/>
      <c r="AFV2" s="567"/>
      <c r="AFW2" s="567"/>
      <c r="AFX2" s="567"/>
      <c r="AFY2" s="567"/>
      <c r="AFZ2" s="567"/>
      <c r="AGA2" s="568"/>
      <c r="AGB2" s="566" t="s">
        <v>522</v>
      </c>
      <c r="AGC2" s="567"/>
      <c r="AGD2" s="567"/>
      <c r="AGE2" s="567"/>
      <c r="AGF2" s="567"/>
      <c r="AGG2" s="567"/>
      <c r="AGH2" s="567"/>
      <c r="AGI2" s="567"/>
      <c r="AGJ2" s="567"/>
      <c r="AGK2" s="567"/>
      <c r="AGL2" s="567"/>
      <c r="AGM2" s="567"/>
      <c r="AGN2" s="568"/>
      <c r="AGO2" s="566" t="s">
        <v>523</v>
      </c>
      <c r="AGP2" s="567"/>
      <c r="AGQ2" s="567"/>
      <c r="AGR2" s="567"/>
      <c r="AGS2" s="567"/>
      <c r="AGT2" s="567"/>
      <c r="AGU2" s="567"/>
      <c r="AGV2" s="567"/>
      <c r="AGW2" s="567"/>
      <c r="AGX2" s="567"/>
      <c r="AGY2" s="567"/>
      <c r="AGZ2" s="567"/>
      <c r="AHA2" s="568"/>
      <c r="AHB2" s="566" t="s">
        <v>524</v>
      </c>
      <c r="AHC2" s="567"/>
      <c r="AHD2" s="567"/>
      <c r="AHE2" s="567"/>
      <c r="AHF2" s="567"/>
      <c r="AHG2" s="567"/>
      <c r="AHH2" s="567"/>
      <c r="AHI2" s="567"/>
      <c r="AHJ2" s="567"/>
      <c r="AHK2" s="567"/>
      <c r="AHL2" s="567"/>
      <c r="AHM2" s="567"/>
      <c r="AHN2" s="568"/>
      <c r="AHO2" s="334" t="s">
        <v>525</v>
      </c>
      <c r="AHP2" s="334"/>
      <c r="AHQ2" s="334"/>
      <c r="AHR2" s="334"/>
      <c r="AHS2" s="334"/>
      <c r="AHT2" s="334"/>
      <c r="AHU2" s="334"/>
      <c r="AHV2" s="334"/>
      <c r="AHW2" s="334"/>
      <c r="AHX2" s="334"/>
      <c r="AHY2" s="334"/>
      <c r="AHZ2" s="334"/>
      <c r="AIA2" s="334"/>
      <c r="AIB2" s="566" t="s">
        <v>526</v>
      </c>
      <c r="AIC2" s="567"/>
      <c r="AID2" s="567"/>
      <c r="AIE2" s="567"/>
      <c r="AIF2" s="567"/>
      <c r="AIG2" s="567"/>
      <c r="AIH2" s="567"/>
      <c r="AII2" s="567"/>
      <c r="AIJ2" s="567"/>
      <c r="AIK2" s="567"/>
      <c r="AIL2" s="567"/>
      <c r="AIM2" s="567"/>
      <c r="AIN2" s="568"/>
      <c r="AIO2" s="566" t="s">
        <v>527</v>
      </c>
      <c r="AIP2" s="567"/>
      <c r="AIQ2" s="567"/>
      <c r="AIR2" s="567"/>
      <c r="AIS2" s="567"/>
      <c r="AIT2" s="567"/>
      <c r="AIU2" s="567"/>
      <c r="AIV2" s="567"/>
      <c r="AIW2" s="567"/>
      <c r="AIX2" s="567"/>
      <c r="AIY2" s="567"/>
      <c r="AIZ2" s="567"/>
      <c r="AJA2" s="568"/>
      <c r="AJB2" s="563" t="s">
        <v>528</v>
      </c>
      <c r="AJC2" s="564"/>
      <c r="AJD2" s="564"/>
      <c r="AJE2" s="564"/>
      <c r="AJF2" s="564"/>
      <c r="AJG2" s="564"/>
      <c r="AJH2" s="564"/>
      <c r="AJI2" s="564"/>
      <c r="AJJ2" s="564"/>
      <c r="AJK2" s="564"/>
      <c r="AJL2" s="564"/>
      <c r="AJM2" s="564"/>
      <c r="AJN2" s="565"/>
      <c r="AJO2" s="563" t="s">
        <v>529</v>
      </c>
      <c r="AJP2" s="564"/>
      <c r="AJQ2" s="564"/>
      <c r="AJR2" s="564"/>
      <c r="AJS2" s="564"/>
      <c r="AJT2" s="564"/>
      <c r="AJU2" s="564"/>
      <c r="AJV2" s="564"/>
      <c r="AJW2" s="564"/>
      <c r="AJX2" s="564"/>
      <c r="AJY2" s="564"/>
      <c r="AJZ2" s="564"/>
      <c r="AKA2" s="565"/>
      <c r="AKB2" s="563" t="s">
        <v>530</v>
      </c>
      <c r="AKC2" s="564"/>
      <c r="AKD2" s="564"/>
      <c r="AKE2" s="564"/>
      <c r="AKF2" s="564"/>
      <c r="AKG2" s="564"/>
      <c r="AKH2" s="564"/>
      <c r="AKI2" s="564"/>
      <c r="AKJ2" s="564"/>
      <c r="AKK2" s="564"/>
      <c r="AKL2" s="564"/>
      <c r="AKM2" s="564"/>
      <c r="AKN2" s="565"/>
      <c r="AKO2" s="563" t="s">
        <v>531</v>
      </c>
      <c r="AKP2" s="564"/>
      <c r="AKQ2" s="564"/>
      <c r="AKR2" s="564"/>
      <c r="AKS2" s="564"/>
      <c r="AKT2" s="564"/>
      <c r="AKU2" s="564"/>
      <c r="AKV2" s="564"/>
      <c r="AKW2" s="564"/>
      <c r="AKX2" s="564"/>
      <c r="AKY2" s="564"/>
      <c r="AKZ2" s="564"/>
      <c r="ALA2" s="565"/>
      <c r="ALB2" s="563" t="s">
        <v>532</v>
      </c>
      <c r="ALC2" s="564"/>
      <c r="ALD2" s="564"/>
      <c r="ALE2" s="564"/>
      <c r="ALF2" s="564"/>
      <c r="ALG2" s="564"/>
      <c r="ALH2" s="564"/>
      <c r="ALI2" s="564"/>
      <c r="ALJ2" s="564"/>
      <c r="ALK2" s="564"/>
      <c r="ALL2" s="564"/>
      <c r="ALM2" s="564"/>
      <c r="ALN2" s="565"/>
      <c r="ALO2" s="563" t="s">
        <v>533</v>
      </c>
      <c r="ALP2" s="564"/>
      <c r="ALQ2" s="564"/>
      <c r="ALR2" s="564"/>
      <c r="ALS2" s="564"/>
      <c r="ALT2" s="564"/>
      <c r="ALU2" s="564"/>
      <c r="ALV2" s="564"/>
      <c r="ALW2" s="564"/>
      <c r="ALX2" s="564"/>
      <c r="ALY2" s="564"/>
      <c r="ALZ2" s="564"/>
      <c r="AMA2" s="565"/>
      <c r="AMB2" s="563" t="s">
        <v>534</v>
      </c>
      <c r="AMC2" s="564"/>
      <c r="AMD2" s="564"/>
      <c r="AME2" s="564"/>
      <c r="AMF2" s="564"/>
      <c r="AMG2" s="564"/>
      <c r="AMH2" s="564"/>
      <c r="AMI2" s="564"/>
      <c r="AMJ2" s="564"/>
      <c r="AMK2" s="564"/>
      <c r="AML2" s="564"/>
      <c r="AMM2" s="564"/>
      <c r="AMN2" s="565"/>
      <c r="AMO2" s="563" t="s">
        <v>535</v>
      </c>
      <c r="AMP2" s="564"/>
      <c r="AMQ2" s="564"/>
      <c r="AMR2" s="564"/>
      <c r="AMS2" s="564"/>
      <c r="AMT2" s="564"/>
      <c r="AMU2" s="564"/>
      <c r="AMV2" s="564"/>
      <c r="AMW2" s="564"/>
      <c r="AMX2" s="564"/>
      <c r="AMY2" s="564"/>
      <c r="AMZ2" s="564"/>
      <c r="ANA2" s="565"/>
      <c r="ANB2" s="563" t="s">
        <v>536</v>
      </c>
      <c r="ANC2" s="564"/>
      <c r="AND2" s="564"/>
      <c r="ANE2" s="564"/>
      <c r="ANF2" s="564"/>
      <c r="ANG2" s="564"/>
      <c r="ANH2" s="564"/>
      <c r="ANI2" s="564"/>
      <c r="ANJ2" s="564"/>
      <c r="ANK2" s="564"/>
      <c r="ANL2" s="564"/>
      <c r="ANM2" s="564"/>
      <c r="ANN2" s="565"/>
      <c r="ANO2" s="563" t="s">
        <v>537</v>
      </c>
      <c r="ANP2" s="564"/>
      <c r="ANQ2" s="564"/>
      <c r="ANR2" s="564"/>
      <c r="ANS2" s="564"/>
      <c r="ANT2" s="564"/>
      <c r="ANU2" s="564"/>
      <c r="ANV2" s="564"/>
      <c r="ANW2" s="564"/>
      <c r="ANX2" s="564"/>
      <c r="ANY2" s="564"/>
      <c r="ANZ2" s="564"/>
      <c r="AOA2" s="565"/>
      <c r="AOB2" s="563" t="s">
        <v>538</v>
      </c>
      <c r="AOC2" s="564"/>
      <c r="AOD2" s="564"/>
      <c r="AOE2" s="564"/>
      <c r="AOF2" s="564"/>
      <c r="AOG2" s="564"/>
      <c r="AOH2" s="564"/>
      <c r="AOI2" s="564"/>
      <c r="AOJ2" s="564"/>
      <c r="AOK2" s="564"/>
      <c r="AOL2" s="564"/>
      <c r="AOM2" s="564"/>
      <c r="AON2" s="565"/>
      <c r="AOO2" s="563" t="s">
        <v>539</v>
      </c>
      <c r="AOP2" s="564"/>
      <c r="AOQ2" s="564"/>
      <c r="AOR2" s="564"/>
      <c r="AOS2" s="564"/>
      <c r="AOT2" s="564"/>
      <c r="AOU2" s="564"/>
      <c r="AOV2" s="564"/>
      <c r="AOW2" s="564"/>
      <c r="AOX2" s="564"/>
      <c r="AOY2" s="564"/>
      <c r="AOZ2" s="564"/>
      <c r="APA2" s="565"/>
      <c r="APB2" s="556" t="s">
        <v>540</v>
      </c>
      <c r="APC2" s="557"/>
      <c r="APD2" s="557"/>
      <c r="APE2" s="557"/>
      <c r="APF2" s="557"/>
      <c r="APG2" s="557"/>
      <c r="APH2" s="557"/>
      <c r="API2" s="557"/>
      <c r="APJ2" s="557"/>
      <c r="APK2" s="557"/>
      <c r="APL2" s="557"/>
      <c r="APM2" s="557"/>
      <c r="APN2" s="558"/>
      <c r="APO2" s="556" t="s">
        <v>541</v>
      </c>
      <c r="APP2" s="557"/>
      <c r="APQ2" s="557"/>
      <c r="APR2" s="557"/>
      <c r="APS2" s="557"/>
      <c r="APT2" s="557"/>
      <c r="APU2" s="557"/>
      <c r="APV2" s="557"/>
      <c r="APW2" s="557"/>
      <c r="APX2" s="557"/>
      <c r="APY2" s="557"/>
      <c r="APZ2" s="557"/>
      <c r="AQA2" s="558"/>
      <c r="AQB2" s="556" t="s">
        <v>542</v>
      </c>
      <c r="AQC2" s="557"/>
      <c r="AQD2" s="557"/>
      <c r="AQE2" s="557"/>
      <c r="AQF2" s="557"/>
      <c r="AQG2" s="557"/>
      <c r="AQH2" s="557"/>
      <c r="AQI2" s="557"/>
      <c r="AQJ2" s="557"/>
      <c r="AQK2" s="557"/>
      <c r="AQL2" s="557"/>
      <c r="AQM2" s="557"/>
      <c r="AQN2" s="558"/>
      <c r="AQO2" s="556" t="s">
        <v>543</v>
      </c>
      <c r="AQP2" s="557"/>
      <c r="AQQ2" s="557"/>
      <c r="AQR2" s="557"/>
      <c r="AQS2" s="557"/>
      <c r="AQT2" s="557"/>
      <c r="AQU2" s="557"/>
      <c r="AQV2" s="557"/>
      <c r="AQW2" s="557"/>
      <c r="AQX2" s="557"/>
      <c r="AQY2" s="557"/>
      <c r="AQZ2" s="557"/>
      <c r="ARA2" s="558"/>
      <c r="ARB2" s="556" t="s">
        <v>544</v>
      </c>
      <c r="ARC2" s="557"/>
      <c r="ARD2" s="557"/>
      <c r="ARE2" s="557"/>
      <c r="ARF2" s="557"/>
      <c r="ARG2" s="557"/>
      <c r="ARH2" s="557"/>
      <c r="ARI2" s="557"/>
      <c r="ARJ2" s="557"/>
      <c r="ARK2" s="557"/>
      <c r="ARL2" s="557"/>
      <c r="ARM2" s="557"/>
      <c r="ARN2" s="558"/>
      <c r="ARO2" s="556" t="s">
        <v>545</v>
      </c>
      <c r="ARP2" s="557"/>
      <c r="ARQ2" s="557"/>
      <c r="ARR2" s="557"/>
      <c r="ARS2" s="557"/>
      <c r="ART2" s="557"/>
      <c r="ARU2" s="557"/>
      <c r="ARV2" s="557"/>
      <c r="ARW2" s="557"/>
      <c r="ARX2" s="557"/>
      <c r="ARY2" s="557"/>
      <c r="ARZ2" s="557"/>
      <c r="ASA2" s="558"/>
      <c r="ASB2" s="556" t="s">
        <v>546</v>
      </c>
      <c r="ASC2" s="557"/>
      <c r="ASD2" s="557"/>
      <c r="ASE2" s="557"/>
      <c r="ASF2" s="557"/>
      <c r="ASG2" s="557"/>
      <c r="ASH2" s="557"/>
      <c r="ASI2" s="557"/>
      <c r="ASJ2" s="557"/>
      <c r="ASK2" s="557"/>
      <c r="ASL2" s="557"/>
      <c r="ASM2" s="557"/>
      <c r="ASN2" s="558"/>
      <c r="ASO2" s="556" t="s">
        <v>547</v>
      </c>
      <c r="ASP2" s="557"/>
      <c r="ASQ2" s="557"/>
      <c r="ASR2" s="557"/>
      <c r="ASS2" s="557"/>
      <c r="AST2" s="557"/>
      <c r="ASU2" s="557"/>
      <c r="ASV2" s="557"/>
      <c r="ASW2" s="557"/>
      <c r="ASX2" s="557"/>
      <c r="ASY2" s="557"/>
      <c r="ASZ2" s="557"/>
      <c r="ATA2" s="558"/>
      <c r="ATB2" s="556" t="s">
        <v>548</v>
      </c>
      <c r="ATC2" s="557"/>
      <c r="ATD2" s="557"/>
      <c r="ATE2" s="557"/>
      <c r="ATF2" s="557"/>
      <c r="ATG2" s="557"/>
      <c r="ATH2" s="557"/>
      <c r="ATI2" s="557"/>
      <c r="ATJ2" s="557"/>
      <c r="ATK2" s="557"/>
      <c r="ATL2" s="557"/>
      <c r="ATM2" s="557"/>
      <c r="ATN2" s="558"/>
      <c r="ATO2" s="556" t="s">
        <v>549</v>
      </c>
      <c r="ATP2" s="557"/>
      <c r="ATQ2" s="557"/>
      <c r="ATR2" s="557"/>
      <c r="ATS2" s="557"/>
      <c r="ATT2" s="557"/>
      <c r="ATU2" s="557"/>
      <c r="ATV2" s="557"/>
      <c r="ATW2" s="557"/>
      <c r="ATX2" s="557"/>
      <c r="ATY2" s="557"/>
      <c r="ATZ2" s="557"/>
      <c r="AUA2" s="558"/>
      <c r="AUB2" s="559" t="s">
        <v>550</v>
      </c>
      <c r="AUC2" s="560"/>
      <c r="AUD2" s="560"/>
      <c r="AUE2" s="560"/>
      <c r="AUF2" s="560"/>
      <c r="AUG2" s="560"/>
      <c r="AUH2" s="560"/>
      <c r="AUI2" s="560"/>
      <c r="AUJ2" s="560"/>
      <c r="AUK2" s="560"/>
      <c r="AUL2" s="560"/>
      <c r="AUM2" s="560"/>
      <c r="AUN2" s="561"/>
      <c r="AUO2" s="559" t="s">
        <v>551</v>
      </c>
      <c r="AUP2" s="560"/>
      <c r="AUQ2" s="560"/>
      <c r="AUR2" s="560"/>
      <c r="AUS2" s="560"/>
      <c r="AUT2" s="560"/>
      <c r="AUU2" s="560"/>
      <c r="AUV2" s="560"/>
      <c r="AUW2" s="560"/>
      <c r="AUX2" s="560"/>
      <c r="AUY2" s="560"/>
      <c r="AUZ2" s="560"/>
      <c r="AVA2" s="562"/>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79"/>
      <c r="D2" s="579"/>
      <c r="E2" s="579"/>
      <c r="F2" s="579"/>
      <c r="G2" s="579"/>
      <c r="H2" s="579"/>
      <c r="I2" s="579"/>
      <c r="J2" s="579"/>
      <c r="K2" s="579"/>
      <c r="L2" s="579"/>
      <c r="M2" s="579"/>
      <c r="N2" s="588"/>
      <c r="P2" s="589" t="s">
        <v>591</v>
      </c>
      <c r="Q2" s="576"/>
      <c r="R2" s="576"/>
      <c r="S2" s="576"/>
      <c r="T2" s="576"/>
      <c r="U2" s="576"/>
      <c r="V2" s="576"/>
      <c r="W2" s="576"/>
      <c r="X2" s="576"/>
      <c r="Y2" s="576"/>
      <c r="Z2" s="576"/>
      <c r="AA2" s="576"/>
      <c r="AB2" s="590"/>
      <c r="AD2" s="591" t="s">
        <v>592</v>
      </c>
      <c r="AE2" s="577"/>
      <c r="AF2" s="577"/>
      <c r="AG2" s="577"/>
      <c r="AH2" s="577"/>
      <c r="AI2" s="577"/>
      <c r="AJ2" s="577"/>
      <c r="AK2" s="577"/>
      <c r="AL2" s="577"/>
      <c r="AM2" s="577"/>
      <c r="AN2" s="577"/>
      <c r="AO2" s="577"/>
      <c r="AP2" s="592"/>
      <c r="AR2" s="593" t="s">
        <v>593</v>
      </c>
      <c r="AS2" s="578"/>
      <c r="AT2" s="578"/>
      <c r="AU2" s="578"/>
      <c r="AV2" s="578"/>
      <c r="AW2" s="578"/>
      <c r="AX2" s="578"/>
      <c r="AY2" s="578"/>
      <c r="AZ2" s="578"/>
      <c r="BA2" s="578"/>
      <c r="BB2" s="578"/>
      <c r="BC2" s="578"/>
      <c r="BD2" s="594"/>
      <c r="BF2" s="595" t="s">
        <v>594</v>
      </c>
      <c r="BG2" s="572"/>
      <c r="BH2" s="572"/>
      <c r="BI2" s="572"/>
      <c r="BJ2" s="572"/>
      <c r="BK2" s="572"/>
      <c r="BL2" s="572"/>
      <c r="BM2" s="572"/>
      <c r="BN2" s="572"/>
      <c r="BO2" s="572"/>
      <c r="BP2" s="572"/>
      <c r="BQ2" s="572"/>
      <c r="BR2" s="596"/>
      <c r="BT2" s="597" t="s">
        <v>595</v>
      </c>
      <c r="BU2" s="570"/>
      <c r="BV2" s="570"/>
      <c r="BW2" s="570"/>
      <c r="BX2" s="570"/>
      <c r="BY2" s="570"/>
      <c r="BZ2" s="570"/>
      <c r="CA2" s="570"/>
      <c r="CB2" s="570"/>
      <c r="CC2" s="570"/>
      <c r="CD2" s="570"/>
      <c r="CE2" s="570"/>
      <c r="CF2" s="598"/>
      <c r="CH2" s="580" t="s">
        <v>596</v>
      </c>
      <c r="CI2" s="567"/>
      <c r="CJ2" s="567"/>
      <c r="CK2" s="567"/>
      <c r="CL2" s="567"/>
      <c r="CM2" s="567"/>
      <c r="CN2" s="567"/>
      <c r="CO2" s="567"/>
      <c r="CP2" s="567"/>
      <c r="CQ2" s="567"/>
      <c r="CR2" s="567"/>
      <c r="CS2" s="567"/>
      <c r="CT2" s="581"/>
      <c r="CV2" s="582" t="s">
        <v>597</v>
      </c>
      <c r="CW2" s="564"/>
      <c r="CX2" s="564"/>
      <c r="CY2" s="564"/>
      <c r="CZ2" s="564"/>
      <c r="DA2" s="564"/>
      <c r="DB2" s="564"/>
      <c r="DC2" s="564"/>
      <c r="DD2" s="564"/>
      <c r="DE2" s="564"/>
      <c r="DF2" s="564"/>
      <c r="DG2" s="564"/>
      <c r="DH2" s="583"/>
      <c r="DJ2" s="584" t="s">
        <v>598</v>
      </c>
      <c r="DK2" s="557"/>
      <c r="DL2" s="557"/>
      <c r="DM2" s="557"/>
      <c r="DN2" s="557"/>
      <c r="DO2" s="557"/>
      <c r="DP2" s="557"/>
      <c r="DQ2" s="557"/>
      <c r="DR2" s="557"/>
      <c r="DS2" s="557"/>
      <c r="DT2" s="557"/>
      <c r="DU2" s="557"/>
      <c r="DV2" s="585"/>
      <c r="DX2" s="586" t="s">
        <v>599</v>
      </c>
      <c r="DY2" s="560"/>
      <c r="DZ2" s="560"/>
      <c r="EA2" s="560"/>
      <c r="EB2" s="560"/>
      <c r="EC2" s="560"/>
      <c r="ED2" s="560"/>
      <c r="EE2" s="560"/>
      <c r="EF2" s="560"/>
      <c r="EG2" s="560"/>
      <c r="EH2" s="560"/>
      <c r="EI2" s="560"/>
      <c r="EJ2" s="562"/>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7" t="s">
        <v>415</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9"/>
      <c r="AP1" s="610" t="s">
        <v>416</v>
      </c>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2"/>
      <c r="DR1" s="272" t="s">
        <v>417</v>
      </c>
      <c r="DS1" s="273"/>
      <c r="DT1" s="613"/>
      <c r="DU1" s="614"/>
      <c r="DV1" s="614"/>
    </row>
    <row r="2" spans="1:126" ht="16.5" thickTop="1" x14ac:dyDescent="0.3">
      <c r="A2" s="615" t="s">
        <v>418</v>
      </c>
      <c r="B2" s="616" t="s">
        <v>419</v>
      </c>
      <c r="C2" s="616"/>
      <c r="D2" s="616"/>
      <c r="E2" s="617"/>
      <c r="F2" s="616" t="s">
        <v>420</v>
      </c>
      <c r="G2" s="616"/>
      <c r="H2" s="616"/>
      <c r="I2" s="617"/>
      <c r="J2" s="616" t="s">
        <v>421</v>
      </c>
      <c r="K2" s="616"/>
      <c r="L2" s="616"/>
      <c r="M2" s="617"/>
      <c r="N2" s="616" t="s">
        <v>137</v>
      </c>
      <c r="O2" s="616"/>
      <c r="P2" s="616"/>
      <c r="Q2" s="617"/>
      <c r="R2" s="618" t="s">
        <v>422</v>
      </c>
      <c r="S2" s="618"/>
      <c r="T2" s="618"/>
      <c r="U2" s="619"/>
      <c r="V2" s="618" t="s">
        <v>423</v>
      </c>
      <c r="W2" s="618"/>
      <c r="X2" s="618"/>
      <c r="Y2" s="619"/>
      <c r="Z2" s="620" t="s">
        <v>424</v>
      </c>
      <c r="AA2" s="621"/>
      <c r="AB2" s="621"/>
      <c r="AC2" s="622"/>
      <c r="AD2" s="620" t="s">
        <v>425</v>
      </c>
      <c r="AE2" s="621"/>
      <c r="AF2" s="621"/>
      <c r="AG2" s="622"/>
      <c r="AH2" s="623" t="s">
        <v>426</v>
      </c>
      <c r="AI2" s="624"/>
      <c r="AJ2" s="624"/>
      <c r="AK2" s="625"/>
      <c r="AL2" s="618" t="s">
        <v>138</v>
      </c>
      <c r="AM2" s="618"/>
      <c r="AN2" s="618"/>
      <c r="AO2" s="619"/>
      <c r="AP2" s="626" t="s">
        <v>419</v>
      </c>
      <c r="AQ2" s="627"/>
      <c r="AR2" s="627"/>
      <c r="AS2" s="627"/>
      <c r="AT2" s="627"/>
      <c r="AU2" s="627"/>
      <c r="AV2" s="627"/>
      <c r="AW2" s="628"/>
      <c r="AX2" s="601" t="s">
        <v>420</v>
      </c>
      <c r="AY2" s="602"/>
      <c r="AZ2" s="602"/>
      <c r="BA2" s="602"/>
      <c r="BB2" s="602"/>
      <c r="BC2" s="602"/>
      <c r="BD2" s="602"/>
      <c r="BE2" s="602"/>
      <c r="BF2" s="601" t="s">
        <v>421</v>
      </c>
      <c r="BG2" s="602"/>
      <c r="BH2" s="602"/>
      <c r="BI2" s="602"/>
      <c r="BJ2" s="602"/>
      <c r="BK2" s="602"/>
      <c r="BL2" s="602"/>
      <c r="BM2" s="602"/>
      <c r="BN2" s="601" t="s">
        <v>137</v>
      </c>
      <c r="BO2" s="602"/>
      <c r="BP2" s="602"/>
      <c r="BQ2" s="602"/>
      <c r="BR2" s="602"/>
      <c r="BS2" s="602"/>
      <c r="BT2" s="602"/>
      <c r="BU2" s="602"/>
      <c r="BV2" s="599" t="s">
        <v>422</v>
      </c>
      <c r="BW2" s="600"/>
      <c r="BX2" s="600"/>
      <c r="BY2" s="600"/>
      <c r="BZ2" s="600"/>
      <c r="CA2" s="600"/>
      <c r="CB2" s="600"/>
      <c r="CC2" s="600"/>
      <c r="CD2" s="599" t="s">
        <v>423</v>
      </c>
      <c r="CE2" s="600"/>
      <c r="CF2" s="600"/>
      <c r="CG2" s="600"/>
      <c r="CH2" s="600"/>
      <c r="CI2" s="600"/>
      <c r="CJ2" s="600"/>
      <c r="CK2" s="600"/>
      <c r="CL2" s="274" t="s">
        <v>427</v>
      </c>
      <c r="CM2" s="275"/>
      <c r="CN2" s="275"/>
      <c r="CO2" s="275"/>
      <c r="CP2" s="275"/>
      <c r="CQ2" s="275"/>
      <c r="CR2" s="275"/>
      <c r="CS2" s="275"/>
      <c r="CT2" s="603" t="s">
        <v>425</v>
      </c>
      <c r="CU2" s="604"/>
      <c r="CV2" s="604"/>
      <c r="CW2" s="604"/>
      <c r="CX2" s="604"/>
      <c r="CY2" s="604"/>
      <c r="CZ2" s="604"/>
      <c r="DA2" s="605"/>
      <c r="DB2" s="599" t="s">
        <v>428</v>
      </c>
      <c r="DC2" s="600"/>
      <c r="DD2" s="600"/>
      <c r="DE2" s="600"/>
      <c r="DF2" s="600"/>
      <c r="DG2" s="600"/>
      <c r="DH2" s="600"/>
      <c r="DI2" s="606"/>
      <c r="DJ2" s="599" t="s">
        <v>138</v>
      </c>
      <c r="DK2" s="600"/>
      <c r="DL2" s="600"/>
      <c r="DM2" s="600"/>
      <c r="DN2" s="600"/>
      <c r="DO2" s="600"/>
      <c r="DP2" s="600"/>
      <c r="DQ2" s="600"/>
      <c r="DR2" s="276" t="s">
        <v>429</v>
      </c>
      <c r="DT2" s="277" t="s">
        <v>430</v>
      </c>
    </row>
    <row r="3" spans="1:126" ht="48" thickBot="1" x14ac:dyDescent="0.35">
      <c r="A3" s="615"/>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2024-07-17T19:27:33Z</dcterms:modified>
</cp:coreProperties>
</file>